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555" windowWidth="14820" windowHeight="8265" tabRatio="894"/>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NL" sheetId="69" r:id="rId22"/>
    <sheet name="BTGT" sheetId="60" r:id="rId23"/>
    <sheet name="THEGT" sheetId="61" r:id="rId24"/>
    <sheet name="SO-TS" sheetId="64" r:id="rId25"/>
    <sheet name="THE-TS" sheetId="68" r:id="rId26"/>
    <sheet name="Sheet2" sheetId="53" r:id="rId27"/>
  </sheets>
  <externalReferences>
    <externalReference r:id="rId28"/>
    <externalReference r:id="rId29"/>
    <externalReference r:id="rId30"/>
    <externalReference r:id="rId31"/>
  </externalReferences>
  <definedNames>
    <definedName name="_C111">TH!$S$10:$S$1066</definedName>
    <definedName name="_C112">TH!$V$10:$V$1066</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6" hidden="1">#REF!</definedName>
    <definedName name="_Fill" hidden="1">#REF!</definedName>
    <definedName name="_xlnm._FilterDatabase" localSheetId="8" hidden="1">'111'!$A$12:$J$107</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TH!$A$9:$AA$944</definedName>
    <definedName name="_xlnm._FilterDatabase" localSheetId="20" hidden="1">TK!$A$1:$J$1</definedName>
    <definedName name="_N111">TH!$R$10:$R$1066</definedName>
    <definedName name="_N112">TH!$U$10:$U$1066</definedName>
    <definedName name="_TH">TH!$K$10:$K$1066</definedName>
    <definedName name="DG">TH!$J$10:$J$1066</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'331'!$B$4:$B$48</definedName>
    <definedName name="DSKU">'341'!$B$5:$B$33</definedName>
    <definedName name="DSNL">NXT!$N$12:$S$553</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CDPS!$A$10:$D$71</definedName>
    <definedName name="DSTS1">'SO-TS'!$D$14:$D$33</definedName>
    <definedName name="DSTS2">'SO-TS'!$D$64:$D$65</definedName>
    <definedName name="KH">TH!$H$10:$H$1066</definedName>
    <definedName name="KHC">TH!$O$10:$O$1066</definedName>
    <definedName name="KHN">TH!$N$10:$N$1066</definedName>
    <definedName name="Loai">OFFSET(TH!$P$5,,,COUNTA(TH!$P$5:$P$39376))</definedName>
    <definedName name="Loai1">OFFSET(TH!$Q$5,,,COUNTA(TH!$Q$5:$Q$39376))</definedName>
    <definedName name="Loai10">OFFSET(TH!$AD$5,,,COUNTA(TH!$AD$5:$AD$39376))</definedName>
    <definedName name="Loai11">OFFSET(TH!$Y$5,,,COUNTA(TH!$Y$5:$Y$39376))</definedName>
    <definedName name="Loai2">OFFSET(TH!$T$5,,,COUNTA(TH!$T$5:$T$39376))</definedName>
    <definedName name="Loai3">OFFSET('SO-TS'!$P$13,,,COUNTA('SO-TS'!$P$13:$P$3935))</definedName>
    <definedName name="Loai4">OFFSET(TH!$W$5,,,COUNTA(TH!$W$5:$W$39376))</definedName>
    <definedName name="Loai5">OFFSET(TH!$X$5,,,COUNTA(TH!$X$5:$X$39376))</definedName>
    <definedName name="Loai6">OFFSET(TH!$Z$5,,,COUNTA(TH!$Z$5:$Z$39376))</definedName>
    <definedName name="Loai7">OFFSET(TH!$AA$5,,,COUNTA(TH!$AA$5:$AA$39376))</definedName>
    <definedName name="Loai8">OFFSET(TH!$AB$5,,,COUNTA(TH!$AB$5:$AB$39376))</definedName>
    <definedName name="Loai9">OFFSET(TH!$AC$5,,,COUNTA(TH!$AC$5:$AC$39376))</definedName>
    <definedName name="MH">TH!$F$10:$F$1066</definedName>
    <definedName name="NXT">NXT!$A$12:$A$378</definedName>
    <definedName name="_xlnm.Print_Area" localSheetId="8">'111'!$A$1:$J$120</definedName>
    <definedName name="_xlnm.Print_Area" localSheetId="9">'112'!$A$1:$I$99</definedName>
    <definedName name="_xlnm.Print_Area" localSheetId="19">'152-CT'!$B$2:$M$37</definedName>
    <definedName name="_xlnm.Print_Area" localSheetId="12">'331'!$A$1:$H$49</definedName>
    <definedName name="_xlnm.Print_Area" localSheetId="13">'331-CT'!$A$1:$J$54</definedName>
    <definedName name="_xlnm.Print_Area" localSheetId="14">'341'!$A$1:$P$34</definedName>
    <definedName name="_xlnm.Print_Area" localSheetId="15">'341-CT'!$A$1:$N$35</definedName>
    <definedName name="_xlnm.Print_Area" localSheetId="21">'BK-NL'!$A$1:$K$53</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6">Sheet2!$A$1:$G$21</definedName>
    <definedName name="_xlnm.Print_Area" localSheetId="24">'SO-TS'!$A$1:$O$78</definedName>
    <definedName name="_xlnm.Print_Area" localSheetId="25">'THE-TS'!$A$2:$H$53</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_xlnm.Print_Titles" localSheetId="24">'SO-TS'!$9:$12</definedName>
    <definedName name="SL">TH!$I$10:$I$1066</definedName>
    <definedName name="TH">TH!$M$10:$M$1066</definedName>
    <definedName name="TM">TH!$A$10:$O$1066</definedName>
  </definedNames>
  <calcPr calcId="145621"/>
</workbook>
</file>

<file path=xl/calcChain.xml><?xml version="1.0" encoding="utf-8"?>
<calcChain xmlns="http://schemas.openxmlformats.org/spreadsheetml/2006/main">
  <c r="E790" i="34" l="1"/>
  <c r="M790" i="34"/>
  <c r="E787" i="34"/>
  <c r="E788" i="34"/>
  <c r="E789" i="34"/>
  <c r="M787" i="34"/>
  <c r="M788" i="34"/>
  <c r="M789" i="34"/>
  <c r="P20" i="34"/>
  <c r="T20" i="34"/>
  <c r="U20" i="34"/>
  <c r="V20" i="34"/>
  <c r="W20" i="34"/>
  <c r="X20" i="34"/>
  <c r="Y20" i="34"/>
  <c r="AA20" i="34"/>
  <c r="AB20" i="34"/>
  <c r="AC20" i="34"/>
  <c r="P21" i="34"/>
  <c r="T21" i="34"/>
  <c r="U21" i="34"/>
  <c r="V21" i="34"/>
  <c r="W21" i="34"/>
  <c r="X21" i="34"/>
  <c r="Y21" i="34"/>
  <c r="AA21" i="34"/>
  <c r="AB21" i="34"/>
  <c r="AC21" i="34"/>
  <c r="P22" i="34"/>
  <c r="T22" i="34"/>
  <c r="U22" i="34"/>
  <c r="V22" i="34"/>
  <c r="W22" i="34"/>
  <c r="X22" i="34"/>
  <c r="Y22" i="34"/>
  <c r="AA22" i="34"/>
  <c r="AB22" i="34"/>
  <c r="AC22" i="34"/>
  <c r="P23" i="34"/>
  <c r="T23" i="34"/>
  <c r="U23" i="34"/>
  <c r="V23" i="34"/>
  <c r="W23" i="34"/>
  <c r="X23" i="34"/>
  <c r="Y23" i="34"/>
  <c r="AA23" i="34"/>
  <c r="AB23" i="34"/>
  <c r="AC23" i="34"/>
  <c r="P24" i="34"/>
  <c r="T24" i="34"/>
  <c r="U24" i="34"/>
  <c r="V24" i="34"/>
  <c r="W24" i="34"/>
  <c r="X24" i="34"/>
  <c r="Y24" i="34"/>
  <c r="AA24" i="34"/>
  <c r="AB24" i="34"/>
  <c r="AC24" i="34"/>
  <c r="P25" i="34"/>
  <c r="T25" i="34"/>
  <c r="U25" i="34"/>
  <c r="V25" i="34"/>
  <c r="W25" i="34"/>
  <c r="X25" i="34"/>
  <c r="Y25" i="34"/>
  <c r="AB25" i="34"/>
  <c r="AC25" i="34"/>
  <c r="AD25" i="34"/>
  <c r="P26" i="34"/>
  <c r="T26" i="34"/>
  <c r="U26" i="34"/>
  <c r="V26" i="34"/>
  <c r="W26" i="34"/>
  <c r="X26" i="34"/>
  <c r="Y26" i="34"/>
  <c r="AB26" i="34"/>
  <c r="AC26" i="34"/>
  <c r="AD26" i="34"/>
  <c r="P27" i="34"/>
  <c r="T27" i="34"/>
  <c r="U27" i="34"/>
  <c r="V27" i="34"/>
  <c r="W27" i="34"/>
  <c r="X27" i="34"/>
  <c r="Y27" i="34"/>
  <c r="AB27" i="34"/>
  <c r="AC27" i="34"/>
  <c r="AD27" i="34"/>
  <c r="P28" i="34"/>
  <c r="T28" i="34"/>
  <c r="U28" i="34"/>
  <c r="V28" i="34"/>
  <c r="W28" i="34"/>
  <c r="X28" i="34"/>
  <c r="Y28" i="34"/>
  <c r="AB28" i="34"/>
  <c r="AC28" i="34"/>
  <c r="AD28" i="34"/>
  <c r="P29" i="34"/>
  <c r="T29" i="34"/>
  <c r="U29" i="34"/>
  <c r="V29" i="34"/>
  <c r="W29" i="34"/>
  <c r="X29" i="34"/>
  <c r="Y29" i="34"/>
  <c r="AB29" i="34"/>
  <c r="AC29" i="34"/>
  <c r="AD29" i="34"/>
  <c r="P30" i="34"/>
  <c r="T30" i="34"/>
  <c r="U30" i="34"/>
  <c r="V30" i="34"/>
  <c r="W30" i="34"/>
  <c r="X30" i="34"/>
  <c r="Y30" i="34"/>
  <c r="AB30" i="34"/>
  <c r="AC30" i="34"/>
  <c r="AD30" i="34"/>
  <c r="P31" i="34"/>
  <c r="T31" i="34"/>
  <c r="U31" i="34"/>
  <c r="V31" i="34"/>
  <c r="W31" i="34"/>
  <c r="X31" i="34"/>
  <c r="Y31" i="34"/>
  <c r="AB31" i="34"/>
  <c r="AC31" i="34"/>
  <c r="AD31" i="34"/>
  <c r="P32" i="34"/>
  <c r="T32" i="34"/>
  <c r="U32" i="34"/>
  <c r="V32" i="34"/>
  <c r="W32" i="34"/>
  <c r="X32" i="34"/>
  <c r="Y32" i="34"/>
  <c r="AB32" i="34"/>
  <c r="AC32" i="34"/>
  <c r="AD32" i="34"/>
  <c r="P33" i="34"/>
  <c r="T33" i="34"/>
  <c r="U33" i="34"/>
  <c r="V33" i="34"/>
  <c r="W33" i="34"/>
  <c r="X33" i="34"/>
  <c r="Y33" i="34"/>
  <c r="AB33" i="34"/>
  <c r="AC33" i="34"/>
  <c r="AD33" i="34"/>
  <c r="P34" i="34"/>
  <c r="T34" i="34"/>
  <c r="U34" i="34"/>
  <c r="V34" i="34"/>
  <c r="W34" i="34"/>
  <c r="X34" i="34"/>
  <c r="Y34" i="34"/>
  <c r="AB34" i="34"/>
  <c r="AC34" i="34"/>
  <c r="AD34" i="34"/>
  <c r="P35" i="34"/>
  <c r="T35" i="34"/>
  <c r="U35" i="34"/>
  <c r="V35" i="34"/>
  <c r="W35" i="34"/>
  <c r="X35" i="34"/>
  <c r="Y35" i="34"/>
  <c r="AB35" i="34"/>
  <c r="AC35" i="34"/>
  <c r="AD35" i="34"/>
  <c r="P36" i="34"/>
  <c r="T36" i="34"/>
  <c r="U36" i="34"/>
  <c r="V36" i="34"/>
  <c r="W36" i="34"/>
  <c r="X36" i="34"/>
  <c r="Y36" i="34"/>
  <c r="AB36" i="34"/>
  <c r="AC36" i="34"/>
  <c r="AD36" i="34"/>
  <c r="P37" i="34"/>
  <c r="T37" i="34"/>
  <c r="U37" i="34"/>
  <c r="V37" i="34"/>
  <c r="W37" i="34"/>
  <c r="X37" i="34"/>
  <c r="Y37" i="34"/>
  <c r="AB37" i="34"/>
  <c r="AC37" i="34"/>
  <c r="AD37" i="34"/>
  <c r="P38" i="34"/>
  <c r="T38" i="34"/>
  <c r="U38" i="34"/>
  <c r="V38" i="34"/>
  <c r="W38" i="34"/>
  <c r="X38" i="34"/>
  <c r="Y38" i="34"/>
  <c r="AB38" i="34"/>
  <c r="AC38" i="34"/>
  <c r="AD38" i="34"/>
  <c r="P39" i="34"/>
  <c r="T39" i="34"/>
  <c r="U39" i="34"/>
  <c r="V39" i="34"/>
  <c r="W39" i="34"/>
  <c r="X39" i="34"/>
  <c r="Y39" i="34"/>
  <c r="AB39" i="34"/>
  <c r="AC39" i="34"/>
  <c r="AD39" i="34"/>
  <c r="P40" i="34"/>
  <c r="T40" i="34"/>
  <c r="U40" i="34"/>
  <c r="V40" i="34"/>
  <c r="W40" i="34"/>
  <c r="X40" i="34"/>
  <c r="Y40" i="34"/>
  <c r="AB40" i="34"/>
  <c r="AC40" i="34"/>
  <c r="AD40" i="34"/>
  <c r="P41" i="34"/>
  <c r="T41" i="34"/>
  <c r="U41" i="34"/>
  <c r="V41" i="34"/>
  <c r="W41" i="34"/>
  <c r="X41" i="34"/>
  <c r="Y41" i="34"/>
  <c r="AB41" i="34"/>
  <c r="AC41" i="34"/>
  <c r="AD41" i="34"/>
  <c r="P42" i="34"/>
  <c r="T42" i="34"/>
  <c r="U42" i="34"/>
  <c r="V42" i="34"/>
  <c r="W42" i="34"/>
  <c r="X42" i="34"/>
  <c r="Y42" i="34"/>
  <c r="AB42" i="34"/>
  <c r="AC42" i="34"/>
  <c r="AD42" i="34"/>
  <c r="P43" i="34"/>
  <c r="T43" i="34"/>
  <c r="U43" i="34"/>
  <c r="V43" i="34"/>
  <c r="W43" i="34"/>
  <c r="X43" i="34"/>
  <c r="Y43" i="34"/>
  <c r="AB43" i="34"/>
  <c r="AC43" i="34"/>
  <c r="AD43" i="34"/>
  <c r="P44" i="34"/>
  <c r="T44" i="34"/>
  <c r="U44" i="34"/>
  <c r="V44" i="34"/>
  <c r="W44" i="34"/>
  <c r="X44" i="34"/>
  <c r="Y44" i="34"/>
  <c r="AB44" i="34"/>
  <c r="AC44" i="34"/>
  <c r="AD44" i="34"/>
  <c r="P45" i="34"/>
  <c r="T45" i="34"/>
  <c r="U45" i="34"/>
  <c r="V45" i="34"/>
  <c r="W45" i="34"/>
  <c r="X45" i="34"/>
  <c r="Y45" i="34"/>
  <c r="AB45" i="34"/>
  <c r="AC45" i="34"/>
  <c r="AD45" i="34"/>
  <c r="P46" i="34"/>
  <c r="T46" i="34"/>
  <c r="U46" i="34"/>
  <c r="V46" i="34"/>
  <c r="W46" i="34"/>
  <c r="X46" i="34"/>
  <c r="Y46" i="34"/>
  <c r="AB46" i="34"/>
  <c r="AC46" i="34"/>
  <c r="AD46" i="34"/>
  <c r="P47" i="34"/>
  <c r="T47" i="34"/>
  <c r="U47" i="34"/>
  <c r="V47" i="34"/>
  <c r="W47" i="34"/>
  <c r="X47" i="34"/>
  <c r="Y47" i="34"/>
  <c r="AB47" i="34"/>
  <c r="AC47" i="34"/>
  <c r="AD47" i="34"/>
  <c r="P48" i="34"/>
  <c r="T48" i="34"/>
  <c r="U48" i="34"/>
  <c r="V48" i="34"/>
  <c r="W48" i="34"/>
  <c r="X48" i="34"/>
  <c r="Y48" i="34"/>
  <c r="AB48" i="34"/>
  <c r="AC48" i="34"/>
  <c r="AD48" i="34"/>
  <c r="P49" i="34"/>
  <c r="T49" i="34"/>
  <c r="U49" i="34"/>
  <c r="V49" i="34"/>
  <c r="W49" i="34"/>
  <c r="X49" i="34"/>
  <c r="Y49" i="34"/>
  <c r="AB49" i="34"/>
  <c r="AC49" i="34"/>
  <c r="AD49" i="34"/>
  <c r="P50" i="34"/>
  <c r="T50" i="34"/>
  <c r="U50" i="34"/>
  <c r="V50" i="34"/>
  <c r="W50" i="34"/>
  <c r="X50" i="34"/>
  <c r="Y50" i="34"/>
  <c r="AB50" i="34"/>
  <c r="AC50" i="34"/>
  <c r="AD50" i="34"/>
  <c r="P51" i="34"/>
  <c r="T51" i="34"/>
  <c r="U51" i="34"/>
  <c r="V51" i="34"/>
  <c r="W51" i="34"/>
  <c r="X51" i="34"/>
  <c r="Y51" i="34"/>
  <c r="AB51" i="34"/>
  <c r="AC51" i="34"/>
  <c r="AD51" i="34"/>
  <c r="P52" i="34"/>
  <c r="T52" i="34"/>
  <c r="U52" i="34"/>
  <c r="V52" i="34"/>
  <c r="W52" i="34"/>
  <c r="X52" i="34"/>
  <c r="Y52" i="34"/>
  <c r="AB52" i="34"/>
  <c r="AC52" i="34"/>
  <c r="AD52" i="34"/>
  <c r="P53" i="34"/>
  <c r="T53" i="34"/>
  <c r="U53" i="34"/>
  <c r="V53" i="34"/>
  <c r="W53" i="34"/>
  <c r="X53" i="34"/>
  <c r="Y53" i="34"/>
  <c r="AB53" i="34"/>
  <c r="AC53" i="34"/>
  <c r="AD53" i="34"/>
  <c r="P54" i="34"/>
  <c r="T54" i="34"/>
  <c r="U54" i="34"/>
  <c r="V54" i="34"/>
  <c r="W54" i="34"/>
  <c r="X54" i="34"/>
  <c r="Y54" i="34"/>
  <c r="AB54" i="34"/>
  <c r="AC54" i="34"/>
  <c r="AD54" i="34"/>
  <c r="P55" i="34"/>
  <c r="T55" i="34"/>
  <c r="U55" i="34"/>
  <c r="V55" i="34"/>
  <c r="W55" i="34"/>
  <c r="X55" i="34"/>
  <c r="Y55" i="34"/>
  <c r="AB55" i="34"/>
  <c r="AC55" i="34"/>
  <c r="AD55" i="34"/>
  <c r="P56" i="34"/>
  <c r="T56" i="34"/>
  <c r="U56" i="34"/>
  <c r="V56" i="34"/>
  <c r="W56" i="34"/>
  <c r="X56" i="34"/>
  <c r="Y56" i="34"/>
  <c r="AB56" i="34"/>
  <c r="AC56" i="34"/>
  <c r="AD56" i="34"/>
  <c r="P57" i="34"/>
  <c r="T57" i="34"/>
  <c r="U57" i="34"/>
  <c r="V57" i="34"/>
  <c r="W57" i="34"/>
  <c r="X57" i="34"/>
  <c r="Y57" i="34"/>
  <c r="AB57" i="34"/>
  <c r="AC57" i="34"/>
  <c r="AD57" i="34"/>
  <c r="P58" i="34"/>
  <c r="T58" i="34"/>
  <c r="U58" i="34"/>
  <c r="V58" i="34"/>
  <c r="W58" i="34"/>
  <c r="X58" i="34"/>
  <c r="Y58" i="34"/>
  <c r="AB58" i="34"/>
  <c r="AC58" i="34"/>
  <c r="AD58" i="34"/>
  <c r="P59" i="34"/>
  <c r="T59" i="34"/>
  <c r="U59" i="34"/>
  <c r="V59" i="34"/>
  <c r="W59" i="34"/>
  <c r="X59" i="34"/>
  <c r="Y59" i="34"/>
  <c r="AB59" i="34"/>
  <c r="AC59" i="34"/>
  <c r="AD59" i="34"/>
  <c r="P60" i="34"/>
  <c r="T60" i="34"/>
  <c r="U60" i="34"/>
  <c r="V60" i="34"/>
  <c r="W60" i="34"/>
  <c r="X60" i="34"/>
  <c r="Y60" i="34"/>
  <c r="AB60" i="34"/>
  <c r="AC60" i="34"/>
  <c r="AD60" i="34"/>
  <c r="P61" i="34"/>
  <c r="T61" i="34"/>
  <c r="U61" i="34"/>
  <c r="V61" i="34"/>
  <c r="W61" i="34"/>
  <c r="X61" i="34"/>
  <c r="Y61" i="34"/>
  <c r="AB61" i="34"/>
  <c r="AC61" i="34"/>
  <c r="AD61" i="34"/>
  <c r="P62" i="34"/>
  <c r="T62" i="34"/>
  <c r="U62" i="34"/>
  <c r="V62" i="34"/>
  <c r="W62" i="34"/>
  <c r="X62" i="34"/>
  <c r="Y62" i="34"/>
  <c r="AB62" i="34"/>
  <c r="AC62" i="34"/>
  <c r="AD62" i="34"/>
  <c r="P63" i="34"/>
  <c r="T63" i="34"/>
  <c r="U63" i="34"/>
  <c r="V63" i="34"/>
  <c r="W63" i="34"/>
  <c r="X63" i="34"/>
  <c r="Y63" i="34"/>
  <c r="AB63" i="34"/>
  <c r="AC63" i="34"/>
  <c r="AD63" i="34"/>
  <c r="P64" i="34"/>
  <c r="T64" i="34"/>
  <c r="U64" i="34"/>
  <c r="V64" i="34"/>
  <c r="W64" i="34"/>
  <c r="X64" i="34"/>
  <c r="Y64" i="34"/>
  <c r="AB64" i="34"/>
  <c r="AC64" i="34"/>
  <c r="AD64" i="34"/>
  <c r="P65" i="34"/>
  <c r="T65" i="34"/>
  <c r="U65" i="34"/>
  <c r="V65" i="34"/>
  <c r="W65" i="34"/>
  <c r="X65" i="34"/>
  <c r="Y65" i="34"/>
  <c r="AB65" i="34"/>
  <c r="AC65" i="34"/>
  <c r="AD65" i="34"/>
  <c r="P66" i="34"/>
  <c r="T66" i="34"/>
  <c r="U66" i="34"/>
  <c r="V66" i="34"/>
  <c r="W66" i="34"/>
  <c r="X66" i="34"/>
  <c r="Y66" i="34"/>
  <c r="AB66" i="34"/>
  <c r="AC66" i="34"/>
  <c r="AD66" i="34"/>
  <c r="P67" i="34"/>
  <c r="T67" i="34"/>
  <c r="U67" i="34"/>
  <c r="V67" i="34"/>
  <c r="W67" i="34"/>
  <c r="X67" i="34"/>
  <c r="Y67" i="34"/>
  <c r="AB67" i="34"/>
  <c r="AC67" i="34"/>
  <c r="AD67" i="34"/>
  <c r="P68" i="34"/>
  <c r="T68" i="34"/>
  <c r="U68" i="34"/>
  <c r="V68" i="34"/>
  <c r="W68" i="34"/>
  <c r="X68" i="34"/>
  <c r="Y68" i="34"/>
  <c r="AB68" i="34"/>
  <c r="AC68" i="34"/>
  <c r="AD68" i="34"/>
  <c r="P69" i="34"/>
  <c r="T69" i="34"/>
  <c r="U69" i="34"/>
  <c r="V69" i="34"/>
  <c r="W69" i="34"/>
  <c r="X69" i="34"/>
  <c r="Y69" i="34"/>
  <c r="AB69" i="34"/>
  <c r="AC69" i="34"/>
  <c r="AD69" i="34"/>
  <c r="P70" i="34"/>
  <c r="T70" i="34"/>
  <c r="U70" i="34"/>
  <c r="V70" i="34"/>
  <c r="W70" i="34"/>
  <c r="X70" i="34"/>
  <c r="Y70" i="34"/>
  <c r="AB70" i="34"/>
  <c r="AC70" i="34"/>
  <c r="AD70" i="34"/>
  <c r="P71" i="34"/>
  <c r="T71" i="34"/>
  <c r="U71" i="34"/>
  <c r="V71" i="34"/>
  <c r="W71" i="34"/>
  <c r="X71" i="34"/>
  <c r="Y71" i="34"/>
  <c r="AB71" i="34"/>
  <c r="AC71" i="34"/>
  <c r="AD71" i="34"/>
  <c r="P72" i="34"/>
  <c r="T72" i="34"/>
  <c r="U72" i="34"/>
  <c r="V72" i="34"/>
  <c r="W72" i="34"/>
  <c r="X72" i="34"/>
  <c r="Y72" i="34"/>
  <c r="AB72" i="34"/>
  <c r="AC72" i="34"/>
  <c r="AD72" i="34"/>
  <c r="P73" i="34"/>
  <c r="T73" i="34"/>
  <c r="U73" i="34"/>
  <c r="V73" i="34"/>
  <c r="W73" i="34"/>
  <c r="X73" i="34"/>
  <c r="Y73" i="34"/>
  <c r="AB73" i="34"/>
  <c r="AC73" i="34"/>
  <c r="AD73" i="34"/>
  <c r="P74" i="34"/>
  <c r="T74" i="34"/>
  <c r="U74" i="34"/>
  <c r="V74" i="34"/>
  <c r="W74" i="34"/>
  <c r="X74" i="34"/>
  <c r="Y74" i="34"/>
  <c r="AB74" i="34"/>
  <c r="AC74" i="34"/>
  <c r="AD74" i="34"/>
  <c r="P75" i="34"/>
  <c r="T75" i="34"/>
  <c r="U75" i="34"/>
  <c r="V75" i="34"/>
  <c r="W75" i="34"/>
  <c r="X75" i="34"/>
  <c r="Y75" i="34"/>
  <c r="AB75" i="34"/>
  <c r="AC75" i="34"/>
  <c r="AD75" i="34"/>
  <c r="P76" i="34"/>
  <c r="T76" i="34"/>
  <c r="U76" i="34"/>
  <c r="V76" i="34"/>
  <c r="W76" i="34"/>
  <c r="X76" i="34"/>
  <c r="Y76" i="34"/>
  <c r="AB76" i="34"/>
  <c r="AC76" i="34"/>
  <c r="AD76" i="34"/>
  <c r="P77" i="34"/>
  <c r="T77" i="34"/>
  <c r="U77" i="34"/>
  <c r="V77" i="34"/>
  <c r="W77" i="34"/>
  <c r="X77" i="34"/>
  <c r="Y77" i="34"/>
  <c r="AB77" i="34"/>
  <c r="AC77" i="34"/>
  <c r="AD77" i="34"/>
  <c r="P78" i="34"/>
  <c r="T78" i="34"/>
  <c r="U78" i="34"/>
  <c r="V78" i="34"/>
  <c r="W78" i="34"/>
  <c r="X78" i="34"/>
  <c r="Y78" i="34"/>
  <c r="AB78" i="34"/>
  <c r="AC78" i="34"/>
  <c r="AD78" i="34"/>
  <c r="P79" i="34"/>
  <c r="T79" i="34"/>
  <c r="U79" i="34"/>
  <c r="V79" i="34"/>
  <c r="W79" i="34"/>
  <c r="X79" i="34"/>
  <c r="Y79" i="34"/>
  <c r="AB79" i="34"/>
  <c r="AC79" i="34"/>
  <c r="AD79" i="34"/>
  <c r="P80" i="34"/>
  <c r="T80" i="34"/>
  <c r="U80" i="34"/>
  <c r="V80" i="34"/>
  <c r="W80" i="34"/>
  <c r="X80" i="34"/>
  <c r="Y80" i="34"/>
  <c r="AA80" i="34"/>
  <c r="AB80" i="34"/>
  <c r="AC80" i="34"/>
  <c r="P81" i="34"/>
  <c r="T81" i="34"/>
  <c r="U81" i="34"/>
  <c r="V81" i="34"/>
  <c r="W81" i="34"/>
  <c r="X81" i="34"/>
  <c r="Y81" i="34"/>
  <c r="AA81" i="34"/>
  <c r="AB81" i="34"/>
  <c r="AC81" i="34"/>
  <c r="P82" i="34"/>
  <c r="T82" i="34"/>
  <c r="U82" i="34"/>
  <c r="V82" i="34"/>
  <c r="W82" i="34"/>
  <c r="X82" i="34"/>
  <c r="Y82" i="34"/>
  <c r="AA82" i="34"/>
  <c r="AB82" i="34"/>
  <c r="AC82" i="34"/>
  <c r="P83" i="34"/>
  <c r="T83" i="34"/>
  <c r="U83" i="34"/>
  <c r="V83" i="34"/>
  <c r="W83" i="34"/>
  <c r="X83" i="34"/>
  <c r="Y83" i="34"/>
  <c r="AA83" i="34"/>
  <c r="AB83" i="34"/>
  <c r="AC83" i="34"/>
  <c r="P84" i="34"/>
  <c r="T84" i="34"/>
  <c r="U84" i="34"/>
  <c r="V84" i="34"/>
  <c r="W84" i="34"/>
  <c r="X84" i="34"/>
  <c r="Y84" i="34"/>
  <c r="AA84" i="34"/>
  <c r="AB84" i="34"/>
  <c r="AC84" i="34"/>
  <c r="P85" i="34"/>
  <c r="T85" i="34"/>
  <c r="U85" i="34"/>
  <c r="V85" i="34"/>
  <c r="W85" i="34"/>
  <c r="X85" i="34"/>
  <c r="Y85" i="34"/>
  <c r="AA85" i="34"/>
  <c r="AB85" i="34"/>
  <c r="AC85" i="34"/>
  <c r="P86" i="34"/>
  <c r="T86" i="34"/>
  <c r="U86" i="34"/>
  <c r="V86" i="34"/>
  <c r="W86" i="34"/>
  <c r="X86" i="34"/>
  <c r="Y86" i="34"/>
  <c r="AA86" i="34"/>
  <c r="AB86" i="34"/>
  <c r="AC86" i="34"/>
  <c r="P87" i="34"/>
  <c r="T87" i="34"/>
  <c r="U87" i="34"/>
  <c r="V87" i="34"/>
  <c r="W87" i="34"/>
  <c r="X87" i="34"/>
  <c r="Y87" i="34"/>
  <c r="AA87" i="34"/>
  <c r="AB87" i="34"/>
  <c r="AC87" i="34"/>
  <c r="P88" i="34"/>
  <c r="T88" i="34"/>
  <c r="U88" i="34"/>
  <c r="V88" i="34"/>
  <c r="W88" i="34"/>
  <c r="X88" i="34"/>
  <c r="Y88" i="34"/>
  <c r="AA88" i="34"/>
  <c r="AB88" i="34"/>
  <c r="AC88" i="34"/>
  <c r="P89" i="34"/>
  <c r="T89" i="34"/>
  <c r="U89" i="34"/>
  <c r="V89" i="34"/>
  <c r="W89" i="34"/>
  <c r="X89" i="34"/>
  <c r="Y89" i="34"/>
  <c r="AA89" i="34"/>
  <c r="AB89" i="34"/>
  <c r="AC89" i="34"/>
  <c r="P90" i="34"/>
  <c r="T90" i="34"/>
  <c r="U90" i="34"/>
  <c r="V90" i="34"/>
  <c r="W90" i="34"/>
  <c r="X90" i="34"/>
  <c r="Y90" i="34"/>
  <c r="AB90" i="34"/>
  <c r="AC90" i="34"/>
  <c r="AD90" i="34"/>
  <c r="P91" i="34"/>
  <c r="T91" i="34"/>
  <c r="U91" i="34"/>
  <c r="V91" i="34"/>
  <c r="W91" i="34"/>
  <c r="X91" i="34"/>
  <c r="Y91" i="34"/>
  <c r="AA91" i="34"/>
  <c r="AB91" i="34"/>
  <c r="AC91" i="34"/>
  <c r="P92" i="34"/>
  <c r="T92" i="34"/>
  <c r="U92" i="34"/>
  <c r="V92" i="34"/>
  <c r="W92" i="34"/>
  <c r="X92" i="34"/>
  <c r="Y92" i="34"/>
  <c r="AA92" i="34"/>
  <c r="AB92" i="34"/>
  <c r="AC92" i="34"/>
  <c r="P93" i="34"/>
  <c r="T93" i="34"/>
  <c r="U93" i="34"/>
  <c r="V93" i="34"/>
  <c r="W93" i="34"/>
  <c r="X93" i="34"/>
  <c r="Y93" i="34"/>
  <c r="AA93" i="34"/>
  <c r="AB93" i="34"/>
  <c r="AC93" i="34"/>
  <c r="P94" i="34"/>
  <c r="T94" i="34"/>
  <c r="U94" i="34"/>
  <c r="V94" i="34"/>
  <c r="W94" i="34"/>
  <c r="X94" i="34"/>
  <c r="Y94" i="34"/>
  <c r="AA94" i="34"/>
  <c r="AB94" i="34"/>
  <c r="AC94" i="34"/>
  <c r="P95" i="34"/>
  <c r="T95" i="34"/>
  <c r="U95" i="34"/>
  <c r="V95" i="34"/>
  <c r="W95" i="34"/>
  <c r="X95" i="34"/>
  <c r="Y95" i="34"/>
  <c r="AA95" i="34"/>
  <c r="AB95" i="34"/>
  <c r="AC95" i="34"/>
  <c r="P96" i="34"/>
  <c r="T96" i="34"/>
  <c r="U96" i="34"/>
  <c r="V96" i="34"/>
  <c r="W96" i="34"/>
  <c r="X96" i="34"/>
  <c r="Y96" i="34"/>
  <c r="AA96" i="34"/>
  <c r="AB96" i="34"/>
  <c r="AC96" i="34"/>
  <c r="P97" i="34"/>
  <c r="T97" i="34"/>
  <c r="U97" i="34"/>
  <c r="V97" i="34"/>
  <c r="W97" i="34"/>
  <c r="X97" i="34"/>
  <c r="Y97" i="34"/>
  <c r="AA97" i="34"/>
  <c r="AB97" i="34"/>
  <c r="AC97" i="34"/>
  <c r="P98" i="34"/>
  <c r="T98" i="34"/>
  <c r="U98" i="34"/>
  <c r="V98" i="34"/>
  <c r="W98" i="34"/>
  <c r="X98" i="34"/>
  <c r="Y98" i="34"/>
  <c r="AA98" i="34"/>
  <c r="AB98" i="34"/>
  <c r="AC98" i="34"/>
  <c r="P99" i="34"/>
  <c r="T99" i="34"/>
  <c r="U99" i="34"/>
  <c r="V99" i="34"/>
  <c r="W99" i="34"/>
  <c r="X99" i="34"/>
  <c r="Y99" i="34"/>
  <c r="AA99" i="34"/>
  <c r="AB99" i="34"/>
  <c r="AC99" i="34"/>
  <c r="P100" i="34"/>
  <c r="T100" i="34"/>
  <c r="U100" i="34"/>
  <c r="V100" i="34"/>
  <c r="W100" i="34"/>
  <c r="X100" i="34"/>
  <c r="Y100" i="34"/>
  <c r="AA100" i="34"/>
  <c r="AB100" i="34"/>
  <c r="AC100" i="34"/>
  <c r="P101" i="34"/>
  <c r="T101" i="34"/>
  <c r="U101" i="34"/>
  <c r="V101" i="34"/>
  <c r="W101" i="34"/>
  <c r="X101" i="34"/>
  <c r="Y101" i="34"/>
  <c r="AA101" i="34"/>
  <c r="AB101" i="34"/>
  <c r="AC101" i="34"/>
  <c r="P102" i="34"/>
  <c r="T102" i="34"/>
  <c r="U102" i="34"/>
  <c r="V102" i="34"/>
  <c r="W102" i="34"/>
  <c r="X102" i="34"/>
  <c r="Y102" i="34"/>
  <c r="AA102" i="34"/>
  <c r="AB102" i="34"/>
  <c r="AC102" i="34"/>
  <c r="P103" i="34"/>
  <c r="T103" i="34"/>
  <c r="U103" i="34"/>
  <c r="V103" i="34"/>
  <c r="W103" i="34"/>
  <c r="X103" i="34"/>
  <c r="Y103" i="34"/>
  <c r="AA103" i="34"/>
  <c r="AB103" i="34"/>
  <c r="AC103" i="34"/>
  <c r="P104" i="34"/>
  <c r="T104" i="34"/>
  <c r="U104" i="34"/>
  <c r="V104" i="34"/>
  <c r="W104" i="34"/>
  <c r="X104" i="34"/>
  <c r="Y104" i="34"/>
  <c r="AA104" i="34"/>
  <c r="AB104" i="34"/>
  <c r="AC104" i="34"/>
  <c r="P105" i="34"/>
  <c r="T105" i="34"/>
  <c r="U105" i="34"/>
  <c r="V105" i="34"/>
  <c r="W105" i="34"/>
  <c r="X105" i="34"/>
  <c r="Y105" i="34"/>
  <c r="AA105" i="34"/>
  <c r="AB105" i="34"/>
  <c r="AC105" i="34"/>
  <c r="P106" i="34"/>
  <c r="T106" i="34"/>
  <c r="U106" i="34"/>
  <c r="V106" i="34"/>
  <c r="W106" i="34"/>
  <c r="X106" i="34"/>
  <c r="Y106" i="34"/>
  <c r="AA106" i="34"/>
  <c r="AB106" i="34"/>
  <c r="AC106" i="34"/>
  <c r="P107" i="34"/>
  <c r="T107" i="34"/>
  <c r="U107" i="34"/>
  <c r="V107" i="34"/>
  <c r="W107" i="34"/>
  <c r="X107" i="34"/>
  <c r="Y107" i="34"/>
  <c r="AA107" i="34"/>
  <c r="AB107" i="34"/>
  <c r="AC107" i="34"/>
  <c r="P108" i="34"/>
  <c r="T108" i="34"/>
  <c r="U108" i="34"/>
  <c r="V108" i="34"/>
  <c r="W108" i="34"/>
  <c r="X108" i="34"/>
  <c r="Y108" i="34"/>
  <c r="AA108" i="34"/>
  <c r="AB108" i="34"/>
  <c r="AC108" i="34"/>
  <c r="P109" i="34"/>
  <c r="T109" i="34"/>
  <c r="U109" i="34"/>
  <c r="V109" i="34"/>
  <c r="W109" i="34"/>
  <c r="X109" i="34"/>
  <c r="Y109" i="34"/>
  <c r="AA109" i="34"/>
  <c r="AB109" i="34"/>
  <c r="AC109" i="34"/>
  <c r="P110" i="34"/>
  <c r="T110" i="34"/>
  <c r="U110" i="34"/>
  <c r="V110" i="34"/>
  <c r="W110" i="34"/>
  <c r="X110" i="34"/>
  <c r="Y110" i="34"/>
  <c r="AA110" i="34"/>
  <c r="AB110" i="34"/>
  <c r="AC110" i="34"/>
  <c r="P111" i="34"/>
  <c r="T111" i="34"/>
  <c r="U111" i="34"/>
  <c r="V111" i="34"/>
  <c r="W111" i="34"/>
  <c r="X111" i="34"/>
  <c r="Y111" i="34"/>
  <c r="AA111" i="34"/>
  <c r="AB111" i="34"/>
  <c r="AC111" i="34"/>
  <c r="P112" i="34"/>
  <c r="T112" i="34"/>
  <c r="U112" i="34"/>
  <c r="V112" i="34"/>
  <c r="W112" i="34"/>
  <c r="X112" i="34"/>
  <c r="Y112" i="34"/>
  <c r="AA112" i="34"/>
  <c r="AB112" i="34"/>
  <c r="AC112" i="34"/>
  <c r="P113" i="34"/>
  <c r="T113" i="34"/>
  <c r="U113" i="34"/>
  <c r="V113" i="34"/>
  <c r="W113" i="34"/>
  <c r="X113" i="34"/>
  <c r="Y113" i="34"/>
  <c r="AA113" i="34"/>
  <c r="AB113" i="34"/>
  <c r="AC113" i="34"/>
  <c r="P114" i="34"/>
  <c r="T114" i="34"/>
  <c r="U114" i="34"/>
  <c r="V114" i="34"/>
  <c r="W114" i="34"/>
  <c r="X114" i="34"/>
  <c r="Y114" i="34"/>
  <c r="AA114" i="34"/>
  <c r="AB114" i="34"/>
  <c r="AC114" i="34"/>
  <c r="P115" i="34"/>
  <c r="T115" i="34"/>
  <c r="U115" i="34"/>
  <c r="V115" i="34"/>
  <c r="W115" i="34"/>
  <c r="X115" i="34"/>
  <c r="Y115" i="34"/>
  <c r="AA115" i="34"/>
  <c r="AB115" i="34"/>
  <c r="AC115" i="34"/>
  <c r="P116" i="34"/>
  <c r="T116" i="34"/>
  <c r="U116" i="34"/>
  <c r="V116" i="34"/>
  <c r="W116" i="34"/>
  <c r="X116" i="34"/>
  <c r="Y116" i="34"/>
  <c r="AA116" i="34"/>
  <c r="AB116" i="34"/>
  <c r="AC116" i="34"/>
  <c r="P117" i="34"/>
  <c r="T117" i="34"/>
  <c r="U117" i="34"/>
  <c r="V117" i="34"/>
  <c r="W117" i="34"/>
  <c r="X117" i="34"/>
  <c r="Y117" i="34"/>
  <c r="AA117" i="34"/>
  <c r="AB117" i="34"/>
  <c r="AC117" i="34"/>
  <c r="P118" i="34"/>
  <c r="T118" i="34"/>
  <c r="U118" i="34"/>
  <c r="V118" i="34"/>
  <c r="W118" i="34"/>
  <c r="X118" i="34"/>
  <c r="Y118" i="34"/>
  <c r="AA118" i="34"/>
  <c r="AB118" i="34"/>
  <c r="AC118" i="34"/>
  <c r="P119" i="34"/>
  <c r="T119" i="34"/>
  <c r="U119" i="34"/>
  <c r="V119" i="34"/>
  <c r="W119" i="34"/>
  <c r="X119" i="34"/>
  <c r="Y119" i="34"/>
  <c r="AA119" i="34"/>
  <c r="AB119" i="34"/>
  <c r="AC119" i="34"/>
  <c r="P120" i="34"/>
  <c r="T120" i="34"/>
  <c r="U120" i="34"/>
  <c r="V120" i="34"/>
  <c r="W120" i="34"/>
  <c r="X120" i="34"/>
  <c r="Y120" i="34"/>
  <c r="AA120" i="34"/>
  <c r="AB120" i="34"/>
  <c r="AC120" i="34"/>
  <c r="P121" i="34"/>
  <c r="T121" i="34"/>
  <c r="U121" i="34"/>
  <c r="V121" i="34"/>
  <c r="W121" i="34"/>
  <c r="X121" i="34"/>
  <c r="Y121" i="34"/>
  <c r="AA121" i="34"/>
  <c r="AB121" i="34"/>
  <c r="AC121" i="34"/>
  <c r="P122" i="34"/>
  <c r="T122" i="34"/>
  <c r="U122" i="34"/>
  <c r="V122" i="34"/>
  <c r="W122" i="34"/>
  <c r="X122" i="34"/>
  <c r="Y122" i="34"/>
  <c r="AA122" i="34"/>
  <c r="AB122" i="34"/>
  <c r="AC122" i="34"/>
  <c r="P123" i="34"/>
  <c r="T123" i="34"/>
  <c r="U123" i="34"/>
  <c r="V123" i="34"/>
  <c r="W123" i="34"/>
  <c r="X123" i="34"/>
  <c r="Y123" i="34"/>
  <c r="AA123" i="34"/>
  <c r="AB123" i="34"/>
  <c r="AC123" i="34"/>
  <c r="P124" i="34"/>
  <c r="T124" i="34"/>
  <c r="U124" i="34"/>
  <c r="V124" i="34"/>
  <c r="W124" i="34"/>
  <c r="X124" i="34"/>
  <c r="Y124" i="34"/>
  <c r="AA124" i="34"/>
  <c r="AB124" i="34"/>
  <c r="AC124" i="34"/>
  <c r="P125" i="34"/>
  <c r="T125" i="34"/>
  <c r="U125" i="34"/>
  <c r="V125" i="34"/>
  <c r="W125" i="34"/>
  <c r="X125" i="34"/>
  <c r="Y125" i="34"/>
  <c r="AA125" i="34"/>
  <c r="AB125" i="34"/>
  <c r="AC125" i="34"/>
  <c r="P126" i="34"/>
  <c r="T126" i="34"/>
  <c r="U126" i="34"/>
  <c r="V126" i="34"/>
  <c r="W126" i="34"/>
  <c r="X126" i="34"/>
  <c r="Y126" i="34"/>
  <c r="AA126" i="34"/>
  <c r="AB126" i="34"/>
  <c r="AC126" i="34"/>
  <c r="P127" i="34"/>
  <c r="T127" i="34"/>
  <c r="U127" i="34"/>
  <c r="V127" i="34"/>
  <c r="W127" i="34"/>
  <c r="X127" i="34"/>
  <c r="Y127" i="34"/>
  <c r="AA127" i="34"/>
  <c r="AB127" i="34"/>
  <c r="AC127" i="34"/>
  <c r="P128" i="34"/>
  <c r="T128" i="34"/>
  <c r="U128" i="34"/>
  <c r="V128" i="34"/>
  <c r="W128" i="34"/>
  <c r="X128" i="34"/>
  <c r="Y128" i="34"/>
  <c r="AA128" i="34"/>
  <c r="AB128" i="34"/>
  <c r="AC128" i="34"/>
  <c r="P129" i="34"/>
  <c r="T129" i="34"/>
  <c r="U129" i="34"/>
  <c r="V129" i="34"/>
  <c r="W129" i="34"/>
  <c r="X129" i="34"/>
  <c r="Y129" i="34"/>
  <c r="AA129" i="34"/>
  <c r="AB129" i="34"/>
  <c r="AC129" i="34"/>
  <c r="P130" i="34"/>
  <c r="T130" i="34"/>
  <c r="U130" i="34"/>
  <c r="V130" i="34"/>
  <c r="W130" i="34"/>
  <c r="X130" i="34"/>
  <c r="Y130" i="34"/>
  <c r="AA130" i="34"/>
  <c r="AB130" i="34"/>
  <c r="AC130" i="34"/>
  <c r="AD130" i="34"/>
  <c r="P131" i="34"/>
  <c r="T131" i="34"/>
  <c r="U131" i="34"/>
  <c r="V131" i="34"/>
  <c r="W131" i="34"/>
  <c r="X131" i="34"/>
  <c r="Y131" i="34"/>
  <c r="AA131" i="34"/>
  <c r="AB131" i="34"/>
  <c r="AC131" i="34"/>
  <c r="AD131" i="34"/>
  <c r="P132" i="34"/>
  <c r="T132" i="34"/>
  <c r="U132" i="34"/>
  <c r="V132" i="34"/>
  <c r="W132" i="34"/>
  <c r="X132" i="34"/>
  <c r="Y132" i="34"/>
  <c r="AA132" i="34"/>
  <c r="AB132" i="34"/>
  <c r="AC132" i="34"/>
  <c r="AD132" i="34"/>
  <c r="P133" i="34"/>
  <c r="T133" i="34"/>
  <c r="U133" i="34"/>
  <c r="V133" i="34"/>
  <c r="W133" i="34"/>
  <c r="X133" i="34"/>
  <c r="Y133" i="34"/>
  <c r="AA133" i="34"/>
  <c r="AB133" i="34"/>
  <c r="AC133" i="34"/>
  <c r="AD133" i="34"/>
  <c r="P134" i="34"/>
  <c r="T134" i="34"/>
  <c r="U134" i="34"/>
  <c r="V134" i="34"/>
  <c r="W134" i="34"/>
  <c r="X134" i="34"/>
  <c r="Y134" i="34"/>
  <c r="AA134" i="34"/>
  <c r="AB134" i="34"/>
  <c r="AC134" i="34"/>
  <c r="AD134" i="34"/>
  <c r="P135" i="34"/>
  <c r="T135" i="34"/>
  <c r="U135" i="34"/>
  <c r="V135" i="34"/>
  <c r="W135" i="34"/>
  <c r="X135" i="34"/>
  <c r="Y135" i="34"/>
  <c r="AA135" i="34"/>
  <c r="AB135" i="34"/>
  <c r="AC135" i="34"/>
  <c r="AD135" i="34"/>
  <c r="P136" i="34"/>
  <c r="T136" i="34"/>
  <c r="U136" i="34"/>
  <c r="V136" i="34"/>
  <c r="W136" i="34"/>
  <c r="X136" i="34"/>
  <c r="Y136" i="34"/>
  <c r="AA136" i="34"/>
  <c r="AB136" i="34"/>
  <c r="AC136" i="34"/>
  <c r="AD136" i="34"/>
  <c r="P137" i="34"/>
  <c r="T137" i="34"/>
  <c r="U137" i="34"/>
  <c r="V137" i="34"/>
  <c r="W137" i="34"/>
  <c r="X137" i="34"/>
  <c r="Y137" i="34"/>
  <c r="AA137" i="34"/>
  <c r="AB137" i="34"/>
  <c r="AC137" i="34"/>
  <c r="AD137" i="34"/>
  <c r="P138" i="34"/>
  <c r="T138" i="34"/>
  <c r="U138" i="34"/>
  <c r="V138" i="34"/>
  <c r="W138" i="34"/>
  <c r="X138" i="34"/>
  <c r="Y138" i="34"/>
  <c r="AA138" i="34"/>
  <c r="AB138" i="34"/>
  <c r="AC138" i="34"/>
  <c r="AD138" i="34"/>
  <c r="P139" i="34"/>
  <c r="T139" i="34"/>
  <c r="U139" i="34"/>
  <c r="V139" i="34"/>
  <c r="W139" i="34"/>
  <c r="X139" i="34"/>
  <c r="Y139" i="34"/>
  <c r="AB139" i="34"/>
  <c r="AC139" i="34"/>
  <c r="AD139" i="34"/>
  <c r="P140" i="34"/>
  <c r="T140" i="34"/>
  <c r="U140" i="34"/>
  <c r="V140" i="34"/>
  <c r="W140" i="34"/>
  <c r="X140" i="34"/>
  <c r="Y140" i="34"/>
  <c r="AB140" i="34"/>
  <c r="AC140" i="34"/>
  <c r="AD140" i="34"/>
  <c r="P141" i="34"/>
  <c r="T141" i="34"/>
  <c r="U141" i="34"/>
  <c r="V141" i="34"/>
  <c r="W141" i="34"/>
  <c r="X141" i="34"/>
  <c r="Y141" i="34"/>
  <c r="AB141" i="34"/>
  <c r="AC141" i="34"/>
  <c r="AD141" i="34"/>
  <c r="P142" i="34"/>
  <c r="T142" i="34"/>
  <c r="U142" i="34"/>
  <c r="V142" i="34"/>
  <c r="W142" i="34"/>
  <c r="X142" i="34"/>
  <c r="Y142" i="34"/>
  <c r="AB142" i="34"/>
  <c r="AC142" i="34"/>
  <c r="AD142" i="34"/>
  <c r="P143" i="34"/>
  <c r="T143" i="34"/>
  <c r="U143" i="34"/>
  <c r="V143" i="34"/>
  <c r="W143" i="34"/>
  <c r="X143" i="34"/>
  <c r="Y143" i="34"/>
  <c r="AB143" i="34"/>
  <c r="AC143" i="34"/>
  <c r="AD143" i="34"/>
  <c r="P144" i="34"/>
  <c r="T144" i="34"/>
  <c r="U144" i="34"/>
  <c r="V144" i="34"/>
  <c r="W144" i="34"/>
  <c r="X144" i="34"/>
  <c r="Y144" i="34"/>
  <c r="AB144" i="34"/>
  <c r="AC144" i="34"/>
  <c r="AD144" i="34"/>
  <c r="P145" i="34"/>
  <c r="T145" i="34"/>
  <c r="U145" i="34"/>
  <c r="V145" i="34"/>
  <c r="W145" i="34"/>
  <c r="X145" i="34"/>
  <c r="Y145" i="34"/>
  <c r="AB145" i="34"/>
  <c r="AC145" i="34"/>
  <c r="AD145" i="34"/>
  <c r="P146" i="34"/>
  <c r="T146" i="34"/>
  <c r="U146" i="34"/>
  <c r="V146" i="34"/>
  <c r="W146" i="34"/>
  <c r="X146" i="34"/>
  <c r="Y146" i="34"/>
  <c r="AB146" i="34"/>
  <c r="AC146" i="34"/>
  <c r="AD146" i="34"/>
  <c r="P147" i="34"/>
  <c r="T147" i="34"/>
  <c r="U147" i="34"/>
  <c r="V147" i="34"/>
  <c r="W147" i="34"/>
  <c r="X147" i="34"/>
  <c r="Y147" i="34"/>
  <c r="AB147" i="34"/>
  <c r="AC147" i="34"/>
  <c r="AD147" i="34"/>
  <c r="P148" i="34"/>
  <c r="T148" i="34"/>
  <c r="U148" i="34"/>
  <c r="V148" i="34"/>
  <c r="W148" i="34"/>
  <c r="X148" i="34"/>
  <c r="Y148" i="34"/>
  <c r="AB148" i="34"/>
  <c r="AC148" i="34"/>
  <c r="AD148" i="34"/>
  <c r="P149" i="34"/>
  <c r="T149" i="34"/>
  <c r="U149" i="34"/>
  <c r="V149" i="34"/>
  <c r="W149" i="34"/>
  <c r="X149" i="34"/>
  <c r="Y149" i="34"/>
  <c r="AB149" i="34"/>
  <c r="AC149" i="34"/>
  <c r="AD149" i="34"/>
  <c r="P150" i="34"/>
  <c r="T150" i="34"/>
  <c r="U150" i="34"/>
  <c r="V150" i="34"/>
  <c r="W150" i="34"/>
  <c r="X150" i="34"/>
  <c r="Y150" i="34"/>
  <c r="AB150" i="34"/>
  <c r="AC150" i="34"/>
  <c r="AD150" i="34"/>
  <c r="P151" i="34"/>
  <c r="T151" i="34"/>
  <c r="U151" i="34"/>
  <c r="V151" i="34"/>
  <c r="W151" i="34"/>
  <c r="X151" i="34"/>
  <c r="Y151" i="34"/>
  <c r="AA151" i="34"/>
  <c r="AB151" i="34"/>
  <c r="AC151" i="34"/>
  <c r="P152" i="34"/>
  <c r="T152" i="34"/>
  <c r="U152" i="34"/>
  <c r="V152" i="34"/>
  <c r="W152" i="34"/>
  <c r="X152" i="34"/>
  <c r="Y152" i="34"/>
  <c r="AA152" i="34"/>
  <c r="AB152" i="34"/>
  <c r="AC152" i="34"/>
  <c r="P153" i="34"/>
  <c r="T153" i="34"/>
  <c r="U153" i="34"/>
  <c r="V153" i="34"/>
  <c r="W153" i="34"/>
  <c r="X153" i="34"/>
  <c r="Y153" i="34"/>
  <c r="AA153" i="34"/>
  <c r="AB153" i="34"/>
  <c r="AC153" i="34"/>
  <c r="P154" i="34"/>
  <c r="T154" i="34"/>
  <c r="U154" i="34"/>
  <c r="V154" i="34"/>
  <c r="W154" i="34"/>
  <c r="X154" i="34"/>
  <c r="Y154" i="34"/>
  <c r="AA154" i="34"/>
  <c r="AB154" i="34"/>
  <c r="AC154" i="34"/>
  <c r="P155" i="34"/>
  <c r="T155" i="34"/>
  <c r="U155" i="34"/>
  <c r="V155" i="34"/>
  <c r="W155" i="34"/>
  <c r="X155" i="34"/>
  <c r="Y155" i="34"/>
  <c r="AA155" i="34"/>
  <c r="AB155" i="34"/>
  <c r="AC155" i="34"/>
  <c r="P156" i="34"/>
  <c r="T156" i="34"/>
  <c r="U156" i="34"/>
  <c r="V156" i="34"/>
  <c r="W156" i="34"/>
  <c r="X156" i="34"/>
  <c r="Y156" i="34"/>
  <c r="AA156" i="34"/>
  <c r="AB156" i="34"/>
  <c r="AC156" i="34"/>
  <c r="P157" i="34"/>
  <c r="T157" i="34"/>
  <c r="U157" i="34"/>
  <c r="V157" i="34"/>
  <c r="W157" i="34"/>
  <c r="X157" i="34"/>
  <c r="Y157" i="34"/>
  <c r="AA157" i="34"/>
  <c r="AB157" i="34"/>
  <c r="AC157" i="34"/>
  <c r="P158" i="34"/>
  <c r="T158" i="34"/>
  <c r="U158" i="34"/>
  <c r="V158" i="34"/>
  <c r="W158" i="34"/>
  <c r="X158" i="34"/>
  <c r="Y158" i="34"/>
  <c r="AA158" i="34"/>
  <c r="AB158" i="34"/>
  <c r="AC158" i="34"/>
  <c r="P159" i="34"/>
  <c r="T159" i="34"/>
  <c r="U159" i="34"/>
  <c r="V159" i="34"/>
  <c r="W159" i="34"/>
  <c r="X159" i="34"/>
  <c r="Y159" i="34"/>
  <c r="AA159" i="34"/>
  <c r="AB159" i="34"/>
  <c r="AC159" i="34"/>
  <c r="P160" i="34"/>
  <c r="T160" i="34"/>
  <c r="U160" i="34"/>
  <c r="V160" i="34"/>
  <c r="W160" i="34"/>
  <c r="X160" i="34"/>
  <c r="Y160" i="34"/>
  <c r="AA160" i="34"/>
  <c r="AB160" i="34"/>
  <c r="AC160" i="34"/>
  <c r="P161" i="34"/>
  <c r="T161" i="34"/>
  <c r="U161" i="34"/>
  <c r="V161" i="34"/>
  <c r="W161" i="34"/>
  <c r="X161" i="34"/>
  <c r="Y161" i="34"/>
  <c r="AA161" i="34"/>
  <c r="AB161" i="34"/>
  <c r="AC161" i="34"/>
  <c r="P162" i="34"/>
  <c r="T162" i="34"/>
  <c r="U162" i="34"/>
  <c r="V162" i="34"/>
  <c r="W162" i="34"/>
  <c r="X162" i="34"/>
  <c r="Y162" i="34"/>
  <c r="AA162" i="34"/>
  <c r="AB162" i="34"/>
  <c r="AC162" i="34"/>
  <c r="P163" i="34"/>
  <c r="T163" i="34"/>
  <c r="U163" i="34"/>
  <c r="V163" i="34"/>
  <c r="W163" i="34"/>
  <c r="X163" i="34"/>
  <c r="Y163" i="34"/>
  <c r="AA163" i="34"/>
  <c r="AB163" i="34"/>
  <c r="AC163" i="34"/>
  <c r="P164" i="34"/>
  <c r="T164" i="34"/>
  <c r="U164" i="34"/>
  <c r="V164" i="34"/>
  <c r="W164" i="34"/>
  <c r="X164" i="34"/>
  <c r="Y164" i="34"/>
  <c r="AA164" i="34"/>
  <c r="AB164" i="34"/>
  <c r="AC164" i="34"/>
  <c r="P165" i="34"/>
  <c r="T165" i="34"/>
  <c r="U165" i="34"/>
  <c r="V165" i="34"/>
  <c r="W165" i="34"/>
  <c r="X165" i="34"/>
  <c r="Y165" i="34"/>
  <c r="AA165" i="34"/>
  <c r="AB165" i="34"/>
  <c r="AC165" i="34"/>
  <c r="P166" i="34"/>
  <c r="T166" i="34"/>
  <c r="U166" i="34"/>
  <c r="V166" i="34"/>
  <c r="W166" i="34"/>
  <c r="X166" i="34"/>
  <c r="Y166" i="34"/>
  <c r="AA166" i="34"/>
  <c r="AB166" i="34"/>
  <c r="AC166" i="34"/>
  <c r="P167" i="34"/>
  <c r="T167" i="34"/>
  <c r="U167" i="34"/>
  <c r="V167" i="34"/>
  <c r="W167" i="34"/>
  <c r="X167" i="34"/>
  <c r="Y167" i="34"/>
  <c r="AA167" i="34"/>
  <c r="AB167" i="34"/>
  <c r="AC167" i="34"/>
  <c r="P168" i="34"/>
  <c r="T168" i="34"/>
  <c r="U168" i="34"/>
  <c r="V168" i="34"/>
  <c r="W168" i="34"/>
  <c r="X168" i="34"/>
  <c r="Y168" i="34"/>
  <c r="AA168" i="34"/>
  <c r="AB168" i="34"/>
  <c r="AC168" i="34"/>
  <c r="P169" i="34"/>
  <c r="T169" i="34"/>
  <c r="U169" i="34"/>
  <c r="V169" i="34"/>
  <c r="W169" i="34"/>
  <c r="X169" i="34"/>
  <c r="Y169" i="34"/>
  <c r="AA169" i="34"/>
  <c r="AB169" i="34"/>
  <c r="AC169" i="34"/>
  <c r="P170" i="34"/>
  <c r="T170" i="34"/>
  <c r="U170" i="34"/>
  <c r="V170" i="34"/>
  <c r="W170" i="34"/>
  <c r="X170" i="34"/>
  <c r="Y170" i="34"/>
  <c r="AA170" i="34"/>
  <c r="AB170" i="34"/>
  <c r="AC170" i="34"/>
  <c r="P171" i="34"/>
  <c r="T171" i="34"/>
  <c r="U171" i="34"/>
  <c r="V171" i="34"/>
  <c r="W171" i="34"/>
  <c r="X171" i="34"/>
  <c r="Y171" i="34"/>
  <c r="AA171" i="34"/>
  <c r="AB171" i="34"/>
  <c r="AC171" i="34"/>
  <c r="P172" i="34"/>
  <c r="T172" i="34"/>
  <c r="U172" i="34"/>
  <c r="V172" i="34"/>
  <c r="W172" i="34"/>
  <c r="X172" i="34"/>
  <c r="Y172" i="34"/>
  <c r="AA172" i="34"/>
  <c r="AB172" i="34"/>
  <c r="AC172" i="34"/>
  <c r="P173" i="34"/>
  <c r="T173" i="34"/>
  <c r="U173" i="34"/>
  <c r="V173" i="34"/>
  <c r="W173" i="34"/>
  <c r="X173" i="34"/>
  <c r="Y173" i="34"/>
  <c r="AA173" i="34"/>
  <c r="AB173" i="34"/>
  <c r="AC173" i="34"/>
  <c r="P174" i="34"/>
  <c r="T174" i="34"/>
  <c r="U174" i="34"/>
  <c r="V174" i="34"/>
  <c r="W174" i="34"/>
  <c r="X174" i="34"/>
  <c r="Y174" i="34"/>
  <c r="AA174" i="34"/>
  <c r="AB174" i="34"/>
  <c r="AC174" i="34"/>
  <c r="P175" i="34"/>
  <c r="T175" i="34"/>
  <c r="U175" i="34"/>
  <c r="V175" i="34"/>
  <c r="W175" i="34"/>
  <c r="X175" i="34"/>
  <c r="Y175" i="34"/>
  <c r="AA175" i="34"/>
  <c r="AB175" i="34"/>
  <c r="AC175" i="34"/>
  <c r="P176" i="34"/>
  <c r="T176" i="34"/>
  <c r="U176" i="34"/>
  <c r="V176" i="34"/>
  <c r="W176" i="34"/>
  <c r="X176" i="34"/>
  <c r="Y176" i="34"/>
  <c r="AA176" i="34"/>
  <c r="AB176" i="34"/>
  <c r="AC176" i="34"/>
  <c r="P177" i="34"/>
  <c r="T177" i="34"/>
  <c r="U177" i="34"/>
  <c r="V177" i="34"/>
  <c r="W177" i="34"/>
  <c r="X177" i="34"/>
  <c r="Y177" i="34"/>
  <c r="AA177" i="34"/>
  <c r="AB177" i="34"/>
  <c r="AC177" i="34"/>
  <c r="P178" i="34"/>
  <c r="T178" i="34"/>
  <c r="U178" i="34"/>
  <c r="V178" i="34"/>
  <c r="W178" i="34"/>
  <c r="X178" i="34"/>
  <c r="Y178" i="34"/>
  <c r="AA178" i="34"/>
  <c r="AB178" i="34"/>
  <c r="AC178" i="34"/>
  <c r="P179" i="34"/>
  <c r="T179" i="34"/>
  <c r="U179" i="34"/>
  <c r="V179" i="34"/>
  <c r="W179" i="34"/>
  <c r="X179" i="34"/>
  <c r="Y179" i="34"/>
  <c r="AA179" i="34"/>
  <c r="AB179" i="34"/>
  <c r="AC179" i="34"/>
  <c r="P180" i="34"/>
  <c r="T180" i="34"/>
  <c r="U180" i="34"/>
  <c r="V180" i="34"/>
  <c r="W180" i="34"/>
  <c r="X180" i="34"/>
  <c r="Y180" i="34"/>
  <c r="AA180" i="34"/>
  <c r="AB180" i="34"/>
  <c r="AC180" i="34"/>
  <c r="P181" i="34"/>
  <c r="T181" i="34"/>
  <c r="U181" i="34"/>
  <c r="V181" i="34"/>
  <c r="W181" i="34"/>
  <c r="X181" i="34"/>
  <c r="Y181" i="34"/>
  <c r="AA181" i="34"/>
  <c r="AB181" i="34"/>
  <c r="AC181" i="34"/>
  <c r="P182" i="34"/>
  <c r="T182" i="34"/>
  <c r="U182" i="34"/>
  <c r="V182" i="34"/>
  <c r="W182" i="34"/>
  <c r="X182" i="34"/>
  <c r="Y182" i="34"/>
  <c r="AA182" i="34"/>
  <c r="AB182" i="34"/>
  <c r="AC182" i="34"/>
  <c r="P183" i="34"/>
  <c r="T183" i="34"/>
  <c r="U183" i="34"/>
  <c r="V183" i="34"/>
  <c r="W183" i="34"/>
  <c r="X183" i="34"/>
  <c r="Y183" i="34"/>
  <c r="AA183" i="34"/>
  <c r="AB183" i="34"/>
  <c r="AC183" i="34"/>
  <c r="P184" i="34"/>
  <c r="T184" i="34"/>
  <c r="U184" i="34"/>
  <c r="V184" i="34"/>
  <c r="W184" i="34"/>
  <c r="X184" i="34"/>
  <c r="Y184" i="34"/>
  <c r="AA184" i="34"/>
  <c r="AB184" i="34"/>
  <c r="AC184" i="34"/>
  <c r="P185" i="34"/>
  <c r="T185" i="34"/>
  <c r="U185" i="34"/>
  <c r="V185" i="34"/>
  <c r="W185" i="34"/>
  <c r="X185" i="34"/>
  <c r="Y185" i="34"/>
  <c r="AA185" i="34"/>
  <c r="AB185" i="34"/>
  <c r="AC185" i="34"/>
  <c r="P186" i="34"/>
  <c r="T186" i="34"/>
  <c r="U186" i="34"/>
  <c r="V186" i="34"/>
  <c r="W186" i="34"/>
  <c r="X186" i="34"/>
  <c r="Y186" i="34"/>
  <c r="AA186" i="34"/>
  <c r="AB186" i="34"/>
  <c r="AC186" i="34"/>
  <c r="P187" i="34"/>
  <c r="T187" i="34"/>
  <c r="U187" i="34"/>
  <c r="V187" i="34"/>
  <c r="W187" i="34"/>
  <c r="X187" i="34"/>
  <c r="Y187" i="34"/>
  <c r="AA187" i="34"/>
  <c r="AB187" i="34"/>
  <c r="AC187" i="34"/>
  <c r="P188" i="34"/>
  <c r="T188" i="34"/>
  <c r="U188" i="34"/>
  <c r="V188" i="34"/>
  <c r="W188" i="34"/>
  <c r="X188" i="34"/>
  <c r="Y188" i="34"/>
  <c r="AA188" i="34"/>
  <c r="AB188" i="34"/>
  <c r="AC188" i="34"/>
  <c r="P189" i="34"/>
  <c r="T189" i="34"/>
  <c r="U189" i="34"/>
  <c r="V189" i="34"/>
  <c r="W189" i="34"/>
  <c r="X189" i="34"/>
  <c r="Y189" i="34"/>
  <c r="AA189" i="34"/>
  <c r="AB189" i="34"/>
  <c r="AC189" i="34"/>
  <c r="P190" i="34"/>
  <c r="T190" i="34"/>
  <c r="U190" i="34"/>
  <c r="V190" i="34"/>
  <c r="W190" i="34"/>
  <c r="X190" i="34"/>
  <c r="Y190" i="34"/>
  <c r="AA190" i="34"/>
  <c r="AB190" i="34"/>
  <c r="AC190" i="34"/>
  <c r="P191" i="34"/>
  <c r="T191" i="34"/>
  <c r="U191" i="34"/>
  <c r="V191" i="34"/>
  <c r="W191" i="34"/>
  <c r="X191" i="34"/>
  <c r="Y191" i="34"/>
  <c r="AA191" i="34"/>
  <c r="AB191" i="34"/>
  <c r="AC191" i="34"/>
  <c r="P192" i="34"/>
  <c r="T192" i="34"/>
  <c r="U192" i="34"/>
  <c r="V192" i="34"/>
  <c r="W192" i="34"/>
  <c r="X192" i="34"/>
  <c r="Y192" i="34"/>
  <c r="AA192" i="34"/>
  <c r="AB192" i="34"/>
  <c r="AC192" i="34"/>
  <c r="P193" i="34"/>
  <c r="T193" i="34"/>
  <c r="U193" i="34"/>
  <c r="V193" i="34"/>
  <c r="W193" i="34"/>
  <c r="X193" i="34"/>
  <c r="Y193" i="34"/>
  <c r="AA193" i="34"/>
  <c r="AB193" i="34"/>
  <c r="AC193" i="34"/>
  <c r="P194" i="34"/>
  <c r="T194" i="34"/>
  <c r="U194" i="34"/>
  <c r="V194" i="34"/>
  <c r="W194" i="34"/>
  <c r="X194" i="34"/>
  <c r="Y194" i="34"/>
  <c r="AA194" i="34"/>
  <c r="AB194" i="34"/>
  <c r="AC194" i="34"/>
  <c r="P195" i="34"/>
  <c r="T195" i="34"/>
  <c r="U195" i="34"/>
  <c r="V195" i="34"/>
  <c r="W195" i="34"/>
  <c r="X195" i="34"/>
  <c r="Y195" i="34"/>
  <c r="AA195" i="34"/>
  <c r="AB195" i="34"/>
  <c r="AC195" i="34"/>
  <c r="P196" i="34"/>
  <c r="T196" i="34"/>
  <c r="U196" i="34"/>
  <c r="V196" i="34"/>
  <c r="W196" i="34"/>
  <c r="X196" i="34"/>
  <c r="Y196" i="34"/>
  <c r="AA196" i="34"/>
  <c r="AB196" i="34"/>
  <c r="AC196" i="34"/>
  <c r="P197" i="34"/>
  <c r="T197" i="34"/>
  <c r="U197" i="34"/>
  <c r="V197" i="34"/>
  <c r="W197" i="34"/>
  <c r="X197" i="34"/>
  <c r="Y197" i="34"/>
  <c r="AA197" i="34"/>
  <c r="AB197" i="34"/>
  <c r="AC197" i="34"/>
  <c r="P198" i="34"/>
  <c r="T198" i="34"/>
  <c r="U198" i="34"/>
  <c r="V198" i="34"/>
  <c r="W198" i="34"/>
  <c r="X198" i="34"/>
  <c r="Y198" i="34"/>
  <c r="AA198" i="34"/>
  <c r="AB198" i="34"/>
  <c r="AC198" i="34"/>
  <c r="P199" i="34"/>
  <c r="T199" i="34"/>
  <c r="U199" i="34"/>
  <c r="V199" i="34"/>
  <c r="W199" i="34"/>
  <c r="X199" i="34"/>
  <c r="Y199" i="34"/>
  <c r="AA199" i="34"/>
  <c r="AB199" i="34"/>
  <c r="AC199" i="34"/>
  <c r="P200" i="34"/>
  <c r="T200" i="34"/>
  <c r="U200" i="34"/>
  <c r="V200" i="34"/>
  <c r="W200" i="34"/>
  <c r="X200" i="34"/>
  <c r="Y200" i="34"/>
  <c r="AA200" i="34"/>
  <c r="AB200" i="34"/>
  <c r="AC200" i="34"/>
  <c r="P201" i="34"/>
  <c r="T201" i="34"/>
  <c r="U201" i="34"/>
  <c r="V201" i="34"/>
  <c r="W201" i="34"/>
  <c r="X201" i="34"/>
  <c r="Y201" i="34"/>
  <c r="AA201" i="34"/>
  <c r="AB201" i="34"/>
  <c r="AC201" i="34"/>
  <c r="P202" i="34"/>
  <c r="T202" i="34"/>
  <c r="U202" i="34"/>
  <c r="V202" i="34"/>
  <c r="W202" i="34"/>
  <c r="X202" i="34"/>
  <c r="Y202" i="34"/>
  <c r="AA202" i="34"/>
  <c r="AB202" i="34"/>
  <c r="AC202" i="34"/>
  <c r="P203" i="34"/>
  <c r="T203" i="34"/>
  <c r="U203" i="34"/>
  <c r="V203" i="34"/>
  <c r="W203" i="34"/>
  <c r="X203" i="34"/>
  <c r="Y203" i="34"/>
  <c r="AA203" i="34"/>
  <c r="AB203" i="34"/>
  <c r="AC203" i="34"/>
  <c r="P204" i="34"/>
  <c r="T204" i="34"/>
  <c r="U204" i="34"/>
  <c r="V204" i="34"/>
  <c r="W204" i="34"/>
  <c r="X204" i="34"/>
  <c r="Y204" i="34"/>
  <c r="AA204" i="34"/>
  <c r="AB204" i="34"/>
  <c r="AC204" i="34"/>
  <c r="P205" i="34"/>
  <c r="T205" i="34"/>
  <c r="U205" i="34"/>
  <c r="V205" i="34"/>
  <c r="W205" i="34"/>
  <c r="X205" i="34"/>
  <c r="Y205" i="34"/>
  <c r="AA205" i="34"/>
  <c r="AB205" i="34"/>
  <c r="AC205" i="34"/>
  <c r="AD205" i="34"/>
  <c r="P206" i="34"/>
  <c r="T206" i="34"/>
  <c r="U206" i="34"/>
  <c r="V206" i="34"/>
  <c r="W206" i="34"/>
  <c r="X206" i="34"/>
  <c r="Y206" i="34"/>
  <c r="AA206" i="34"/>
  <c r="AB206" i="34"/>
  <c r="AC206" i="34"/>
  <c r="AD206" i="34"/>
  <c r="P207" i="34"/>
  <c r="T207" i="34"/>
  <c r="U207" i="34"/>
  <c r="V207" i="34"/>
  <c r="W207" i="34"/>
  <c r="X207" i="34"/>
  <c r="Y207" i="34"/>
  <c r="AA207" i="34"/>
  <c r="AB207" i="34"/>
  <c r="AC207" i="34"/>
  <c r="AD207" i="34"/>
  <c r="P208" i="34"/>
  <c r="T208" i="34"/>
  <c r="U208" i="34"/>
  <c r="V208" i="34"/>
  <c r="W208" i="34"/>
  <c r="X208" i="34"/>
  <c r="Y208" i="34"/>
  <c r="AA208" i="34"/>
  <c r="AB208" i="34"/>
  <c r="AC208" i="34"/>
  <c r="AD208" i="34"/>
  <c r="P209" i="34"/>
  <c r="T209" i="34"/>
  <c r="U209" i="34"/>
  <c r="V209" i="34"/>
  <c r="W209" i="34"/>
  <c r="X209" i="34"/>
  <c r="Y209" i="34"/>
  <c r="AA209" i="34"/>
  <c r="AB209" i="34"/>
  <c r="AC209" i="34"/>
  <c r="AD209" i="34"/>
  <c r="P210" i="34"/>
  <c r="T210" i="34"/>
  <c r="U210" i="34"/>
  <c r="V210" i="34"/>
  <c r="W210" i="34"/>
  <c r="X210" i="34"/>
  <c r="Y210" i="34"/>
  <c r="AA210" i="34"/>
  <c r="AB210" i="34"/>
  <c r="AC210" i="34"/>
  <c r="AD210" i="34"/>
  <c r="P211" i="34"/>
  <c r="T211" i="34"/>
  <c r="U211" i="34"/>
  <c r="V211" i="34"/>
  <c r="W211" i="34"/>
  <c r="X211" i="34"/>
  <c r="Y211" i="34"/>
  <c r="AA211" i="34"/>
  <c r="AB211" i="34"/>
  <c r="AC211" i="34"/>
  <c r="AD211" i="34"/>
  <c r="P212" i="34"/>
  <c r="T212" i="34"/>
  <c r="U212" i="34"/>
  <c r="V212" i="34"/>
  <c r="W212" i="34"/>
  <c r="X212" i="34"/>
  <c r="Y212" i="34"/>
  <c r="AA212" i="34"/>
  <c r="AB212" i="34"/>
  <c r="AC212" i="34"/>
  <c r="AD212" i="34"/>
  <c r="P213" i="34"/>
  <c r="T213" i="34"/>
  <c r="U213" i="34"/>
  <c r="V213" i="34"/>
  <c r="W213" i="34"/>
  <c r="X213" i="34"/>
  <c r="Y213" i="34"/>
  <c r="AA213" i="34"/>
  <c r="AB213" i="34"/>
  <c r="AC213" i="34"/>
  <c r="AD213" i="34"/>
  <c r="P214" i="34"/>
  <c r="T214" i="34"/>
  <c r="U214" i="34"/>
  <c r="V214" i="34"/>
  <c r="W214" i="34"/>
  <c r="X214" i="34"/>
  <c r="Y214" i="34"/>
  <c r="AA214" i="34"/>
  <c r="AB214" i="34"/>
  <c r="AC214" i="34"/>
  <c r="AD214" i="34"/>
  <c r="P215" i="34"/>
  <c r="T215" i="34"/>
  <c r="U215" i="34"/>
  <c r="V215" i="34"/>
  <c r="W215" i="34"/>
  <c r="X215" i="34"/>
  <c r="Y215" i="34"/>
  <c r="AA215" i="34"/>
  <c r="AB215" i="34"/>
  <c r="AC215" i="34"/>
  <c r="AD215" i="34"/>
  <c r="P216" i="34"/>
  <c r="W216" i="34"/>
  <c r="X216" i="34"/>
  <c r="Y216" i="34"/>
  <c r="AA216" i="34"/>
  <c r="AB216" i="34"/>
  <c r="AC216" i="34"/>
  <c r="AD216" i="34"/>
  <c r="P217" i="34"/>
  <c r="W217" i="34"/>
  <c r="X217" i="34"/>
  <c r="Y217" i="34"/>
  <c r="AA217" i="34"/>
  <c r="AB217" i="34"/>
  <c r="AC217" i="34"/>
  <c r="AD217" i="34"/>
  <c r="P218" i="34"/>
  <c r="T218" i="34"/>
  <c r="U218" i="34"/>
  <c r="V218" i="34"/>
  <c r="W218" i="34"/>
  <c r="X218" i="34"/>
  <c r="Y218" i="34"/>
  <c r="AA218" i="34"/>
  <c r="AB218" i="34"/>
  <c r="AC218" i="34"/>
  <c r="AD218" i="34"/>
  <c r="P219" i="34"/>
  <c r="T219" i="34"/>
  <c r="U219" i="34"/>
  <c r="V219" i="34"/>
  <c r="W219" i="34"/>
  <c r="X219" i="34"/>
  <c r="Y219" i="34"/>
  <c r="AA219" i="34"/>
  <c r="AB219" i="34"/>
  <c r="AC219" i="34"/>
  <c r="AD219" i="34"/>
  <c r="P220" i="34"/>
  <c r="T220" i="34"/>
  <c r="U220" i="34"/>
  <c r="V220" i="34"/>
  <c r="W220" i="34"/>
  <c r="X220" i="34"/>
  <c r="Y220" i="34"/>
  <c r="AA220" i="34"/>
  <c r="AB220" i="34"/>
  <c r="AC220" i="34"/>
  <c r="AD220" i="34"/>
  <c r="P221" i="34"/>
  <c r="T221" i="34"/>
  <c r="U221" i="34"/>
  <c r="V221" i="34"/>
  <c r="W221" i="34"/>
  <c r="X221" i="34"/>
  <c r="Y221" i="34"/>
  <c r="AA221" i="34"/>
  <c r="AB221" i="34"/>
  <c r="AC221" i="34"/>
  <c r="AD221" i="34"/>
  <c r="P222" i="34"/>
  <c r="T222" i="34"/>
  <c r="U222" i="34"/>
  <c r="V222" i="34"/>
  <c r="W222" i="34"/>
  <c r="X222" i="34"/>
  <c r="Y222" i="34"/>
  <c r="AA222" i="34"/>
  <c r="AB222" i="34"/>
  <c r="AC222" i="34"/>
  <c r="AD222" i="34"/>
  <c r="P223" i="34"/>
  <c r="T223" i="34"/>
  <c r="U223" i="34"/>
  <c r="V223" i="34"/>
  <c r="W223" i="34"/>
  <c r="X223" i="34"/>
  <c r="Y223" i="34"/>
  <c r="AA223" i="34"/>
  <c r="AB223" i="34"/>
  <c r="AC223" i="34"/>
  <c r="AD223" i="34"/>
  <c r="P224" i="34"/>
  <c r="T224" i="34"/>
  <c r="U224" i="34"/>
  <c r="V224" i="34"/>
  <c r="W224" i="34"/>
  <c r="X224" i="34"/>
  <c r="Y224" i="34"/>
  <c r="AA224" i="34"/>
  <c r="AB224" i="34"/>
  <c r="AC224" i="34"/>
  <c r="AD224" i="34"/>
  <c r="P225" i="34"/>
  <c r="T225" i="34"/>
  <c r="U225" i="34"/>
  <c r="V225" i="34"/>
  <c r="W225" i="34"/>
  <c r="X225" i="34"/>
  <c r="Y225" i="34"/>
  <c r="AA225" i="34"/>
  <c r="AB225" i="34"/>
  <c r="AC225" i="34"/>
  <c r="AD225" i="34"/>
  <c r="P226" i="34"/>
  <c r="T226" i="34"/>
  <c r="U226" i="34"/>
  <c r="V226" i="34"/>
  <c r="W226" i="34"/>
  <c r="X226" i="34"/>
  <c r="Y226" i="34"/>
  <c r="AA226" i="34"/>
  <c r="AB226" i="34"/>
  <c r="AC226" i="34"/>
  <c r="AD226" i="34"/>
  <c r="P227" i="34"/>
  <c r="T227" i="34"/>
  <c r="U227" i="34"/>
  <c r="V227" i="34"/>
  <c r="W227" i="34"/>
  <c r="X227" i="34"/>
  <c r="Y227" i="34"/>
  <c r="AA227" i="34"/>
  <c r="AB227" i="34"/>
  <c r="AC227" i="34"/>
  <c r="AD227" i="34"/>
  <c r="P228" i="34"/>
  <c r="T228" i="34"/>
  <c r="U228" i="34"/>
  <c r="V228" i="34"/>
  <c r="W228" i="34"/>
  <c r="X228" i="34"/>
  <c r="Y228" i="34"/>
  <c r="AA228" i="34"/>
  <c r="AB228" i="34"/>
  <c r="AC228" i="34"/>
  <c r="AD228" i="34"/>
  <c r="P229" i="34"/>
  <c r="T229" i="34"/>
  <c r="U229" i="34"/>
  <c r="V229" i="34"/>
  <c r="W229" i="34"/>
  <c r="X229" i="34"/>
  <c r="Y229" i="34"/>
  <c r="AA229" i="34"/>
  <c r="AB229" i="34"/>
  <c r="AC229" i="34"/>
  <c r="AD229" i="34"/>
  <c r="P230" i="34"/>
  <c r="T230" i="34"/>
  <c r="U230" i="34"/>
  <c r="V230" i="34"/>
  <c r="W230" i="34"/>
  <c r="X230" i="34"/>
  <c r="Y230" i="34"/>
  <c r="AA230" i="34"/>
  <c r="AB230" i="34"/>
  <c r="AC230" i="34"/>
  <c r="AD230" i="34"/>
  <c r="P231" i="34"/>
  <c r="T231" i="34"/>
  <c r="U231" i="34"/>
  <c r="V231" i="34"/>
  <c r="W231" i="34"/>
  <c r="X231" i="34"/>
  <c r="Y231" i="34"/>
  <c r="AA231" i="34"/>
  <c r="AB231" i="34"/>
  <c r="AC231" i="34"/>
  <c r="AD231" i="34"/>
  <c r="P232" i="34"/>
  <c r="T232" i="34"/>
  <c r="U232" i="34"/>
  <c r="V232" i="34"/>
  <c r="W232" i="34"/>
  <c r="X232" i="34"/>
  <c r="Y232" i="34"/>
  <c r="AA232" i="34"/>
  <c r="AB232" i="34"/>
  <c r="AC232" i="34"/>
  <c r="AD232" i="34"/>
  <c r="P233" i="34"/>
  <c r="T233" i="34"/>
  <c r="U233" i="34"/>
  <c r="V233" i="34"/>
  <c r="W233" i="34"/>
  <c r="X233" i="34"/>
  <c r="Y233" i="34"/>
  <c r="AA233" i="34"/>
  <c r="AB233" i="34"/>
  <c r="AC233" i="34"/>
  <c r="AD233" i="34"/>
  <c r="P234" i="34"/>
  <c r="T234" i="34"/>
  <c r="U234" i="34"/>
  <c r="V234" i="34"/>
  <c r="W234" i="34"/>
  <c r="X234" i="34"/>
  <c r="Y234" i="34"/>
  <c r="AA234" i="34"/>
  <c r="AB234" i="34"/>
  <c r="AC234" i="34"/>
  <c r="AD234" i="34"/>
  <c r="P235" i="34"/>
  <c r="T235" i="34"/>
  <c r="U235" i="34"/>
  <c r="V235" i="34"/>
  <c r="W235" i="34"/>
  <c r="X235" i="34"/>
  <c r="Y235" i="34"/>
  <c r="AA235" i="34"/>
  <c r="AB235" i="34"/>
  <c r="AC235" i="34"/>
  <c r="AD235" i="34"/>
  <c r="P236" i="34"/>
  <c r="T236" i="34"/>
  <c r="U236" i="34"/>
  <c r="V236" i="34"/>
  <c r="W236" i="34"/>
  <c r="X236" i="34"/>
  <c r="Y236" i="34"/>
  <c r="AA236" i="34"/>
  <c r="AB236" i="34"/>
  <c r="AC236" i="34"/>
  <c r="AD236" i="34"/>
  <c r="P237" i="34"/>
  <c r="T237" i="34"/>
  <c r="U237" i="34"/>
  <c r="V237" i="34"/>
  <c r="W237" i="34"/>
  <c r="X237" i="34"/>
  <c r="Y237" i="34"/>
  <c r="AA237" i="34"/>
  <c r="AB237" i="34"/>
  <c r="AC237" i="34"/>
  <c r="AD237" i="34"/>
  <c r="P238" i="34"/>
  <c r="T238" i="34"/>
  <c r="U238" i="34"/>
  <c r="V238" i="34"/>
  <c r="W238" i="34"/>
  <c r="X238" i="34"/>
  <c r="Y238" i="34"/>
  <c r="AA238" i="34"/>
  <c r="AB238" i="34"/>
  <c r="AC238" i="34"/>
  <c r="AD238" i="34"/>
  <c r="P239" i="34"/>
  <c r="T239" i="34"/>
  <c r="U239" i="34"/>
  <c r="V239" i="34"/>
  <c r="W239" i="34"/>
  <c r="X239" i="34"/>
  <c r="Y239" i="34"/>
  <c r="AA239" i="34"/>
  <c r="AB239" i="34"/>
  <c r="AC239" i="34"/>
  <c r="AD239" i="34"/>
  <c r="P240" i="34"/>
  <c r="T240" i="34"/>
  <c r="U240" i="34"/>
  <c r="V240" i="34"/>
  <c r="W240" i="34"/>
  <c r="X240" i="34"/>
  <c r="Y240" i="34"/>
  <c r="AA240" i="34"/>
  <c r="AB240" i="34"/>
  <c r="AC240" i="34"/>
  <c r="AD240" i="34"/>
  <c r="P241" i="34"/>
  <c r="T241" i="34"/>
  <c r="U241" i="34"/>
  <c r="V241" i="34"/>
  <c r="W241" i="34"/>
  <c r="X241" i="34"/>
  <c r="Y241" i="34"/>
  <c r="AA241" i="34"/>
  <c r="AB241" i="34"/>
  <c r="AC241" i="34"/>
  <c r="AD241" i="34"/>
  <c r="P242" i="34"/>
  <c r="W242" i="34"/>
  <c r="X242" i="34"/>
  <c r="Y242" i="34"/>
  <c r="AA242" i="34"/>
  <c r="AB242" i="34"/>
  <c r="AC242" i="34"/>
  <c r="AD242" i="34"/>
  <c r="P243" i="34"/>
  <c r="W243" i="34"/>
  <c r="X243" i="34"/>
  <c r="Y243" i="34"/>
  <c r="AA243" i="34"/>
  <c r="AB243" i="34"/>
  <c r="AC243" i="34"/>
  <c r="AD243" i="34"/>
  <c r="P244" i="34"/>
  <c r="W244" i="34"/>
  <c r="X244" i="34"/>
  <c r="Y244" i="34"/>
  <c r="AA244" i="34"/>
  <c r="AB244" i="34"/>
  <c r="AC244" i="34"/>
  <c r="AD244" i="34"/>
  <c r="P245" i="34"/>
  <c r="W245" i="34"/>
  <c r="X245" i="34"/>
  <c r="Y245" i="34"/>
  <c r="AA245" i="34"/>
  <c r="AB245" i="34"/>
  <c r="AC245" i="34"/>
  <c r="AD245" i="34"/>
  <c r="P246" i="34"/>
  <c r="W246" i="34"/>
  <c r="X246" i="34"/>
  <c r="Y246" i="34"/>
  <c r="AA246" i="34"/>
  <c r="AB246" i="34"/>
  <c r="AC246" i="34"/>
  <c r="AD246" i="34"/>
  <c r="P247" i="34"/>
  <c r="T247" i="34"/>
  <c r="U247" i="34"/>
  <c r="V247" i="34"/>
  <c r="W247" i="34"/>
  <c r="X247" i="34"/>
  <c r="Y247" i="34"/>
  <c r="AA247" i="34"/>
  <c r="AB247" i="34"/>
  <c r="AC247" i="34"/>
  <c r="AD247" i="34"/>
  <c r="P248" i="34"/>
  <c r="T248" i="34"/>
  <c r="U248" i="34"/>
  <c r="V248" i="34"/>
  <c r="W248" i="34"/>
  <c r="X248" i="34"/>
  <c r="Y248" i="34"/>
  <c r="AA248" i="34"/>
  <c r="AB248" i="34"/>
  <c r="AC248" i="34"/>
  <c r="AD248" i="34"/>
  <c r="P249" i="34"/>
  <c r="T249" i="34"/>
  <c r="U249" i="34"/>
  <c r="V249" i="34"/>
  <c r="W249" i="34"/>
  <c r="X249" i="34"/>
  <c r="Y249" i="34"/>
  <c r="AA249" i="34"/>
  <c r="AB249" i="34"/>
  <c r="AC249" i="34"/>
  <c r="AD249" i="34"/>
  <c r="P250" i="34"/>
  <c r="T250" i="34"/>
  <c r="U250" i="34"/>
  <c r="V250" i="34"/>
  <c r="W250" i="34"/>
  <c r="X250" i="34"/>
  <c r="Y250" i="34"/>
  <c r="AA250" i="34"/>
  <c r="AB250" i="34"/>
  <c r="AC250" i="34"/>
  <c r="AD250" i="34"/>
  <c r="P251" i="34"/>
  <c r="T251" i="34"/>
  <c r="U251" i="34"/>
  <c r="V251" i="34"/>
  <c r="W251" i="34"/>
  <c r="X251" i="34"/>
  <c r="Y251" i="34"/>
  <c r="AA251" i="34"/>
  <c r="AB251" i="34"/>
  <c r="AC251" i="34"/>
  <c r="AD251" i="34"/>
  <c r="P252" i="34"/>
  <c r="T252" i="34"/>
  <c r="U252" i="34"/>
  <c r="V252" i="34"/>
  <c r="W252" i="34"/>
  <c r="X252" i="34"/>
  <c r="Y252" i="34"/>
  <c r="AA252" i="34"/>
  <c r="AB252" i="34"/>
  <c r="AC252" i="34"/>
  <c r="AD252" i="34"/>
  <c r="P253" i="34"/>
  <c r="T253" i="34"/>
  <c r="U253" i="34"/>
  <c r="V253" i="34"/>
  <c r="W253" i="34"/>
  <c r="X253" i="34"/>
  <c r="Y253" i="34"/>
  <c r="AA253" i="34"/>
  <c r="AB253" i="34"/>
  <c r="AC253" i="34"/>
  <c r="AD253" i="34"/>
  <c r="P254" i="34"/>
  <c r="T254" i="34"/>
  <c r="U254" i="34"/>
  <c r="V254" i="34"/>
  <c r="W254" i="34"/>
  <c r="X254" i="34"/>
  <c r="Y254" i="34"/>
  <c r="AA254" i="34"/>
  <c r="AB254" i="34"/>
  <c r="AC254" i="34"/>
  <c r="AD254" i="34"/>
  <c r="P255" i="34"/>
  <c r="T255" i="34"/>
  <c r="U255" i="34"/>
  <c r="V255" i="34"/>
  <c r="W255" i="34"/>
  <c r="X255" i="34"/>
  <c r="Y255" i="34"/>
  <c r="AA255" i="34"/>
  <c r="AB255" i="34"/>
  <c r="AC255" i="34"/>
  <c r="P256" i="34"/>
  <c r="T256" i="34"/>
  <c r="U256" i="34"/>
  <c r="V256" i="34"/>
  <c r="W256" i="34"/>
  <c r="X256" i="34"/>
  <c r="Y256" i="34"/>
  <c r="AA256" i="34"/>
  <c r="AB256" i="34"/>
  <c r="AC256" i="34"/>
  <c r="AD256" i="34"/>
  <c r="P257" i="34"/>
  <c r="T257" i="34"/>
  <c r="U257" i="34"/>
  <c r="V257" i="34"/>
  <c r="W257" i="34"/>
  <c r="X257" i="34"/>
  <c r="Y257" i="34"/>
  <c r="AA257" i="34"/>
  <c r="AB257" i="34"/>
  <c r="AC257" i="34"/>
  <c r="AD257" i="34"/>
  <c r="P258" i="34"/>
  <c r="T258" i="34"/>
  <c r="U258" i="34"/>
  <c r="V258" i="34"/>
  <c r="W258" i="34"/>
  <c r="X258" i="34"/>
  <c r="Y258" i="34"/>
  <c r="AA258" i="34"/>
  <c r="AB258" i="34"/>
  <c r="AC258" i="34"/>
  <c r="AD258" i="34"/>
  <c r="P259" i="34"/>
  <c r="T259" i="34"/>
  <c r="U259" i="34"/>
  <c r="V259" i="34"/>
  <c r="W259" i="34"/>
  <c r="X259" i="34"/>
  <c r="Y259" i="34"/>
  <c r="AA259" i="34"/>
  <c r="AB259" i="34"/>
  <c r="AC259" i="34"/>
  <c r="AD259" i="34"/>
  <c r="P260" i="34"/>
  <c r="T260" i="34"/>
  <c r="U260" i="34"/>
  <c r="V260" i="34"/>
  <c r="W260" i="34"/>
  <c r="X260" i="34"/>
  <c r="Y260" i="34"/>
  <c r="AA260" i="34"/>
  <c r="AB260" i="34"/>
  <c r="AC260" i="34"/>
  <c r="AD260" i="34"/>
  <c r="P261" i="34"/>
  <c r="T261" i="34"/>
  <c r="U261" i="34"/>
  <c r="V261" i="34"/>
  <c r="W261" i="34"/>
  <c r="X261" i="34"/>
  <c r="Y261" i="34"/>
  <c r="AA261" i="34"/>
  <c r="AB261" i="34"/>
  <c r="AC261" i="34"/>
  <c r="AD261" i="34"/>
  <c r="P262" i="34"/>
  <c r="W262" i="34"/>
  <c r="X262" i="34"/>
  <c r="Y262" i="34"/>
  <c r="AA262" i="34"/>
  <c r="AB262" i="34"/>
  <c r="AC262" i="34"/>
  <c r="AD262" i="34"/>
  <c r="P263" i="34"/>
  <c r="T263" i="34"/>
  <c r="U263" i="34"/>
  <c r="V263" i="34"/>
  <c r="W263" i="34"/>
  <c r="X263" i="34"/>
  <c r="Y263" i="34"/>
  <c r="AA263" i="34"/>
  <c r="AB263" i="34"/>
  <c r="AC263" i="34"/>
  <c r="AD263" i="34"/>
  <c r="P264" i="34"/>
  <c r="T264" i="34"/>
  <c r="U264" i="34"/>
  <c r="V264" i="34"/>
  <c r="W264" i="34"/>
  <c r="X264" i="34"/>
  <c r="Y264" i="34"/>
  <c r="AA264" i="34"/>
  <c r="AB264" i="34"/>
  <c r="AC264" i="34"/>
  <c r="AD264" i="34"/>
  <c r="P265" i="34"/>
  <c r="T265" i="34"/>
  <c r="U265" i="34"/>
  <c r="V265" i="34"/>
  <c r="W265" i="34"/>
  <c r="X265" i="34"/>
  <c r="Y265" i="34"/>
  <c r="AA265" i="34"/>
  <c r="AB265" i="34"/>
  <c r="AC265" i="34"/>
  <c r="AD265" i="34"/>
  <c r="P266" i="34"/>
  <c r="T266" i="34"/>
  <c r="U266" i="34"/>
  <c r="V266" i="34"/>
  <c r="W266" i="34"/>
  <c r="X266" i="34"/>
  <c r="Y266" i="34"/>
  <c r="AA266" i="34"/>
  <c r="AB266" i="34"/>
  <c r="AC266" i="34"/>
  <c r="AD266" i="34"/>
  <c r="P267" i="34"/>
  <c r="T267" i="34"/>
  <c r="U267" i="34"/>
  <c r="V267" i="34"/>
  <c r="W267" i="34"/>
  <c r="X267" i="34"/>
  <c r="Y267" i="34"/>
  <c r="AA267" i="34"/>
  <c r="AB267" i="34"/>
  <c r="AC267" i="34"/>
  <c r="AD267" i="34"/>
  <c r="P268" i="34"/>
  <c r="T268" i="34"/>
  <c r="U268" i="34"/>
  <c r="V268" i="34"/>
  <c r="W268" i="34"/>
  <c r="X268" i="34"/>
  <c r="Y268" i="34"/>
  <c r="AA268" i="34"/>
  <c r="AB268" i="34"/>
  <c r="AC268" i="34"/>
  <c r="AD268" i="34"/>
  <c r="P269" i="34"/>
  <c r="T269" i="34"/>
  <c r="U269" i="34"/>
  <c r="V269" i="34"/>
  <c r="W269" i="34"/>
  <c r="X269" i="34"/>
  <c r="Y269" i="34"/>
  <c r="AA269" i="34"/>
  <c r="AB269" i="34"/>
  <c r="AC269" i="34"/>
  <c r="AD269" i="34"/>
  <c r="P270" i="34"/>
  <c r="T270" i="34"/>
  <c r="U270" i="34"/>
  <c r="V270" i="34"/>
  <c r="W270" i="34"/>
  <c r="X270" i="34"/>
  <c r="Y270" i="34"/>
  <c r="AA270" i="34"/>
  <c r="AB270" i="34"/>
  <c r="AC270" i="34"/>
  <c r="AD270" i="34"/>
  <c r="P271" i="34"/>
  <c r="T271" i="34"/>
  <c r="U271" i="34"/>
  <c r="V271" i="34"/>
  <c r="W271" i="34"/>
  <c r="X271" i="34"/>
  <c r="Y271" i="34"/>
  <c r="AA271" i="34"/>
  <c r="AB271" i="34"/>
  <c r="AC271" i="34"/>
  <c r="AD271" i="34"/>
  <c r="P272" i="34"/>
  <c r="T272" i="34"/>
  <c r="U272" i="34"/>
  <c r="V272" i="34"/>
  <c r="W272" i="34"/>
  <c r="X272" i="34"/>
  <c r="Y272" i="34"/>
  <c r="AA272" i="34"/>
  <c r="AB272" i="34"/>
  <c r="AC272" i="34"/>
  <c r="AD272" i="34"/>
  <c r="P273" i="34"/>
  <c r="T273" i="34"/>
  <c r="U273" i="34"/>
  <c r="V273" i="34"/>
  <c r="W273" i="34"/>
  <c r="X273" i="34"/>
  <c r="Y273" i="34"/>
  <c r="AA273" i="34"/>
  <c r="AB273" i="34"/>
  <c r="AC273" i="34"/>
  <c r="AD273" i="34"/>
  <c r="P274" i="34"/>
  <c r="T274" i="34"/>
  <c r="U274" i="34"/>
  <c r="V274" i="34"/>
  <c r="W274" i="34"/>
  <c r="X274" i="34"/>
  <c r="Y274" i="34"/>
  <c r="AA274" i="34"/>
  <c r="AB274" i="34"/>
  <c r="AC274" i="34"/>
  <c r="AD274" i="34"/>
  <c r="P275" i="34"/>
  <c r="T275" i="34"/>
  <c r="U275" i="34"/>
  <c r="V275" i="34"/>
  <c r="W275" i="34"/>
  <c r="X275" i="34"/>
  <c r="Y275" i="34"/>
  <c r="AA275" i="34"/>
  <c r="AB275" i="34"/>
  <c r="AC275" i="34"/>
  <c r="AD275" i="34"/>
  <c r="P276" i="34"/>
  <c r="T276" i="34"/>
  <c r="U276" i="34"/>
  <c r="V276" i="34"/>
  <c r="W276" i="34"/>
  <c r="X276" i="34"/>
  <c r="Y276" i="34"/>
  <c r="AA276" i="34"/>
  <c r="AB276" i="34"/>
  <c r="AC276" i="34"/>
  <c r="AD276" i="34"/>
  <c r="P277" i="34"/>
  <c r="T277" i="34"/>
  <c r="U277" i="34"/>
  <c r="V277" i="34"/>
  <c r="W277" i="34"/>
  <c r="X277" i="34"/>
  <c r="Y277" i="34"/>
  <c r="AA277" i="34"/>
  <c r="AB277" i="34"/>
  <c r="AC277" i="34"/>
  <c r="AD277" i="34"/>
  <c r="P278" i="34"/>
  <c r="T278" i="34"/>
  <c r="U278" i="34"/>
  <c r="V278" i="34"/>
  <c r="W278" i="34"/>
  <c r="X278" i="34"/>
  <c r="Y278" i="34"/>
  <c r="AA278" i="34"/>
  <c r="AB278" i="34"/>
  <c r="AC278" i="34"/>
  <c r="AD278" i="34"/>
  <c r="P279" i="34"/>
  <c r="T279" i="34"/>
  <c r="U279" i="34"/>
  <c r="V279" i="34"/>
  <c r="W279" i="34"/>
  <c r="X279" i="34"/>
  <c r="Y279" i="34"/>
  <c r="AA279" i="34"/>
  <c r="AB279" i="34"/>
  <c r="AC279" i="34"/>
  <c r="AD279" i="34"/>
  <c r="P280" i="34"/>
  <c r="T280" i="34"/>
  <c r="U280" i="34"/>
  <c r="V280" i="34"/>
  <c r="W280" i="34"/>
  <c r="X280" i="34"/>
  <c r="Y280" i="34"/>
  <c r="AA280" i="34"/>
  <c r="AB280" i="34"/>
  <c r="AC280" i="34"/>
  <c r="AD280" i="34"/>
  <c r="P281" i="34"/>
  <c r="T281" i="34"/>
  <c r="U281" i="34"/>
  <c r="V281" i="34"/>
  <c r="W281" i="34"/>
  <c r="X281" i="34"/>
  <c r="Y281" i="34"/>
  <c r="AA281" i="34"/>
  <c r="AB281" i="34"/>
  <c r="AC281" i="34"/>
  <c r="AD281" i="34"/>
  <c r="P282" i="34"/>
  <c r="T282" i="34"/>
  <c r="U282" i="34"/>
  <c r="V282" i="34"/>
  <c r="W282" i="34"/>
  <c r="X282" i="34"/>
  <c r="Y282" i="34"/>
  <c r="AA282" i="34"/>
  <c r="AB282" i="34"/>
  <c r="AC282" i="34"/>
  <c r="AD282" i="34"/>
  <c r="P283" i="34"/>
  <c r="T283" i="34"/>
  <c r="U283" i="34"/>
  <c r="V283" i="34"/>
  <c r="W283" i="34"/>
  <c r="X283" i="34"/>
  <c r="Y283" i="34"/>
  <c r="AA283" i="34"/>
  <c r="AB283" i="34"/>
  <c r="AC283" i="34"/>
  <c r="AD283" i="34"/>
  <c r="P284" i="34"/>
  <c r="T284" i="34"/>
  <c r="U284" i="34"/>
  <c r="V284" i="34"/>
  <c r="W284" i="34"/>
  <c r="X284" i="34"/>
  <c r="Y284" i="34"/>
  <c r="AA284" i="34"/>
  <c r="AB284" i="34"/>
  <c r="AC284" i="34"/>
  <c r="AD284" i="34"/>
  <c r="P285" i="34"/>
  <c r="T285" i="34"/>
  <c r="U285" i="34"/>
  <c r="V285" i="34"/>
  <c r="W285" i="34"/>
  <c r="X285" i="34"/>
  <c r="Y285" i="34"/>
  <c r="AA285" i="34"/>
  <c r="AB285" i="34"/>
  <c r="AC285" i="34"/>
  <c r="AD285" i="34"/>
  <c r="P286" i="34"/>
  <c r="T286" i="34"/>
  <c r="U286" i="34"/>
  <c r="V286" i="34"/>
  <c r="W286" i="34"/>
  <c r="X286" i="34"/>
  <c r="Y286" i="34"/>
  <c r="AA286" i="34"/>
  <c r="AB286" i="34"/>
  <c r="AC286" i="34"/>
  <c r="AD286" i="34"/>
  <c r="P287" i="34"/>
  <c r="T287" i="34"/>
  <c r="U287" i="34"/>
  <c r="V287" i="34"/>
  <c r="W287" i="34"/>
  <c r="X287" i="34"/>
  <c r="Y287" i="34"/>
  <c r="AA287" i="34"/>
  <c r="AB287" i="34"/>
  <c r="AC287" i="34"/>
  <c r="AD287" i="34"/>
  <c r="P288" i="34"/>
  <c r="T288" i="34"/>
  <c r="U288" i="34"/>
  <c r="V288" i="34"/>
  <c r="W288" i="34"/>
  <c r="X288" i="34"/>
  <c r="Y288" i="34"/>
  <c r="AA288" i="34"/>
  <c r="AB288" i="34"/>
  <c r="AC288" i="34"/>
  <c r="AD288" i="34"/>
  <c r="P289" i="34"/>
  <c r="T289" i="34"/>
  <c r="U289" i="34"/>
  <c r="V289" i="34"/>
  <c r="W289" i="34"/>
  <c r="X289" i="34"/>
  <c r="Y289" i="34"/>
  <c r="AA289" i="34"/>
  <c r="AB289" i="34"/>
  <c r="AC289" i="34"/>
  <c r="AD289" i="34"/>
  <c r="P290" i="34"/>
  <c r="T290" i="34"/>
  <c r="U290" i="34"/>
  <c r="V290" i="34"/>
  <c r="W290" i="34"/>
  <c r="X290" i="34"/>
  <c r="Y290" i="34"/>
  <c r="AA290" i="34"/>
  <c r="AB290" i="34"/>
  <c r="AC290" i="34"/>
  <c r="P291" i="34"/>
  <c r="W291" i="34"/>
  <c r="X291" i="34"/>
  <c r="Y291" i="34"/>
  <c r="AA291" i="34"/>
  <c r="AB291" i="34"/>
  <c r="AC291" i="34"/>
  <c r="AD291" i="34"/>
  <c r="P292" i="34"/>
  <c r="W292" i="34"/>
  <c r="X292" i="34"/>
  <c r="Y292" i="34"/>
  <c r="AA292" i="34"/>
  <c r="AB292" i="34"/>
  <c r="AC292" i="34"/>
  <c r="AD292" i="34"/>
  <c r="P293" i="34"/>
  <c r="W293" i="34"/>
  <c r="X293" i="34"/>
  <c r="Y293" i="34"/>
  <c r="AA293" i="34"/>
  <c r="AB293" i="34"/>
  <c r="AC293" i="34"/>
  <c r="AD293" i="34"/>
  <c r="P294" i="34"/>
  <c r="W294" i="34"/>
  <c r="X294" i="34"/>
  <c r="Y294" i="34"/>
  <c r="AA294" i="34"/>
  <c r="AB294" i="34"/>
  <c r="AC294" i="34"/>
  <c r="AD294" i="34"/>
  <c r="P295" i="34"/>
  <c r="W295" i="34"/>
  <c r="X295" i="34"/>
  <c r="Y295" i="34"/>
  <c r="AA295" i="34"/>
  <c r="AB295" i="34"/>
  <c r="AC295" i="34"/>
  <c r="AD295" i="34"/>
  <c r="P296" i="34"/>
  <c r="T296" i="34"/>
  <c r="U296" i="34"/>
  <c r="V296" i="34"/>
  <c r="W296" i="34"/>
  <c r="X296" i="34"/>
  <c r="Y296" i="34"/>
  <c r="AA296" i="34"/>
  <c r="AB296" i="34"/>
  <c r="AC296" i="34"/>
  <c r="AD296" i="34"/>
  <c r="P297" i="34"/>
  <c r="W297" i="34"/>
  <c r="X297" i="34"/>
  <c r="Y297" i="34"/>
  <c r="AA297" i="34"/>
  <c r="AB297" i="34"/>
  <c r="AC297" i="34"/>
  <c r="AD297" i="34"/>
  <c r="P298" i="34"/>
  <c r="T298" i="34"/>
  <c r="U298" i="34"/>
  <c r="V298" i="34"/>
  <c r="W298" i="34"/>
  <c r="X298" i="34"/>
  <c r="Y298" i="34"/>
  <c r="AA298" i="34"/>
  <c r="AB298" i="34"/>
  <c r="AC298" i="34"/>
  <c r="P299" i="34"/>
  <c r="T299" i="34"/>
  <c r="U299" i="34"/>
  <c r="V299" i="34"/>
  <c r="W299" i="34"/>
  <c r="X299" i="34"/>
  <c r="Y299" i="34"/>
  <c r="AA299" i="34"/>
  <c r="AB299" i="34"/>
  <c r="AC299" i="34"/>
  <c r="AD299" i="34"/>
  <c r="P300" i="34"/>
  <c r="T300" i="34"/>
  <c r="U300" i="34"/>
  <c r="V300" i="34"/>
  <c r="W300" i="34"/>
  <c r="X300" i="34"/>
  <c r="Y300" i="34"/>
  <c r="AA300" i="34"/>
  <c r="AB300" i="34"/>
  <c r="AC300" i="34"/>
  <c r="AD300" i="34"/>
  <c r="P301" i="34"/>
  <c r="T301" i="34"/>
  <c r="U301" i="34"/>
  <c r="V301" i="34"/>
  <c r="W301" i="34"/>
  <c r="X301" i="34"/>
  <c r="Y301" i="34"/>
  <c r="AA301" i="34"/>
  <c r="AB301" i="34"/>
  <c r="AC301" i="34"/>
  <c r="AD301" i="34"/>
  <c r="P302" i="34"/>
  <c r="T302" i="34"/>
  <c r="U302" i="34"/>
  <c r="V302" i="34"/>
  <c r="W302" i="34"/>
  <c r="X302" i="34"/>
  <c r="Y302" i="34"/>
  <c r="AA302" i="34"/>
  <c r="AB302" i="34"/>
  <c r="AC302" i="34"/>
  <c r="AD302" i="34"/>
  <c r="P303" i="34"/>
  <c r="T303" i="34"/>
  <c r="U303" i="34"/>
  <c r="V303" i="34"/>
  <c r="W303" i="34"/>
  <c r="X303" i="34"/>
  <c r="Y303" i="34"/>
  <c r="AA303" i="34"/>
  <c r="AB303" i="34"/>
  <c r="AC303" i="34"/>
  <c r="AD303" i="34"/>
  <c r="P304" i="34"/>
  <c r="T304" i="34"/>
  <c r="U304" i="34"/>
  <c r="V304" i="34"/>
  <c r="W304" i="34"/>
  <c r="X304" i="34"/>
  <c r="Y304" i="34"/>
  <c r="AA304" i="34"/>
  <c r="AB304" i="34"/>
  <c r="AC304" i="34"/>
  <c r="AD304" i="34"/>
  <c r="P305" i="34"/>
  <c r="T305" i="34"/>
  <c r="U305" i="34"/>
  <c r="V305" i="34"/>
  <c r="W305" i="34"/>
  <c r="X305" i="34"/>
  <c r="Y305" i="34"/>
  <c r="AA305" i="34"/>
  <c r="AB305" i="34"/>
  <c r="AC305" i="34"/>
  <c r="AD305" i="34"/>
  <c r="P306" i="34"/>
  <c r="T306" i="34"/>
  <c r="U306" i="34"/>
  <c r="V306" i="34"/>
  <c r="W306" i="34"/>
  <c r="X306" i="34"/>
  <c r="Y306" i="34"/>
  <c r="AA306" i="34"/>
  <c r="AB306" i="34"/>
  <c r="AC306" i="34"/>
  <c r="AD306" i="34"/>
  <c r="P307" i="34"/>
  <c r="T307" i="34"/>
  <c r="U307" i="34"/>
  <c r="V307" i="34"/>
  <c r="W307" i="34"/>
  <c r="X307" i="34"/>
  <c r="Y307" i="34"/>
  <c r="AA307" i="34"/>
  <c r="AB307" i="34"/>
  <c r="AC307" i="34"/>
  <c r="AD307" i="34"/>
  <c r="P308" i="34"/>
  <c r="T308" i="34"/>
  <c r="U308" i="34"/>
  <c r="V308" i="34"/>
  <c r="W308" i="34"/>
  <c r="X308" i="34"/>
  <c r="Y308" i="34"/>
  <c r="AA308" i="34"/>
  <c r="AB308" i="34"/>
  <c r="AC308" i="34"/>
  <c r="AD308" i="34"/>
  <c r="P309" i="34"/>
  <c r="T309" i="34"/>
  <c r="U309" i="34"/>
  <c r="V309" i="34"/>
  <c r="W309" i="34"/>
  <c r="X309" i="34"/>
  <c r="Y309" i="34"/>
  <c r="AA309" i="34"/>
  <c r="AB309" i="34"/>
  <c r="AC309" i="34"/>
  <c r="AD309" i="34"/>
  <c r="P310" i="34"/>
  <c r="T310" i="34"/>
  <c r="U310" i="34"/>
  <c r="V310" i="34"/>
  <c r="W310" i="34"/>
  <c r="X310" i="34"/>
  <c r="Y310" i="34"/>
  <c r="AA310" i="34"/>
  <c r="AB310" i="34"/>
  <c r="AC310" i="34"/>
  <c r="AD310" i="34"/>
  <c r="P311" i="34"/>
  <c r="T311" i="34"/>
  <c r="U311" i="34"/>
  <c r="V311" i="34"/>
  <c r="W311" i="34"/>
  <c r="X311" i="34"/>
  <c r="Y311" i="34"/>
  <c r="AA311" i="34"/>
  <c r="AB311" i="34"/>
  <c r="AC311" i="34"/>
  <c r="AD311" i="34"/>
  <c r="P312" i="34"/>
  <c r="T312" i="34"/>
  <c r="U312" i="34"/>
  <c r="V312" i="34"/>
  <c r="W312" i="34"/>
  <c r="X312" i="34"/>
  <c r="Y312" i="34"/>
  <c r="AA312" i="34"/>
  <c r="AB312" i="34"/>
  <c r="AC312" i="34"/>
  <c r="AD312" i="34"/>
  <c r="P313" i="34"/>
  <c r="T313" i="34"/>
  <c r="U313" i="34"/>
  <c r="V313" i="34"/>
  <c r="W313" i="34"/>
  <c r="X313" i="34"/>
  <c r="Y313" i="34"/>
  <c r="AA313" i="34"/>
  <c r="AB313" i="34"/>
  <c r="AC313" i="34"/>
  <c r="AD313" i="34"/>
  <c r="P314" i="34"/>
  <c r="T314" i="34"/>
  <c r="U314" i="34"/>
  <c r="V314" i="34"/>
  <c r="W314" i="34"/>
  <c r="X314" i="34"/>
  <c r="Y314" i="34"/>
  <c r="AA314" i="34"/>
  <c r="AB314" i="34"/>
  <c r="AC314" i="34"/>
  <c r="AD314" i="34"/>
  <c r="P315" i="34"/>
  <c r="T315" i="34"/>
  <c r="U315" i="34"/>
  <c r="V315" i="34"/>
  <c r="W315" i="34"/>
  <c r="X315" i="34"/>
  <c r="Y315" i="34"/>
  <c r="AA315" i="34"/>
  <c r="AB315" i="34"/>
  <c r="AC315" i="34"/>
  <c r="AD315" i="34"/>
  <c r="P316" i="34"/>
  <c r="T316" i="34"/>
  <c r="U316" i="34"/>
  <c r="V316" i="34"/>
  <c r="W316" i="34"/>
  <c r="X316" i="34"/>
  <c r="Y316" i="34"/>
  <c r="AA316" i="34"/>
  <c r="AB316" i="34"/>
  <c r="AC316" i="34"/>
  <c r="AD316" i="34"/>
  <c r="P317" i="34"/>
  <c r="T317" i="34"/>
  <c r="U317" i="34"/>
  <c r="V317" i="34"/>
  <c r="W317" i="34"/>
  <c r="X317" i="34"/>
  <c r="Y317" i="34"/>
  <c r="AA317" i="34"/>
  <c r="AB317" i="34"/>
  <c r="AC317" i="34"/>
  <c r="AD317" i="34"/>
  <c r="P318" i="34"/>
  <c r="T318" i="34"/>
  <c r="U318" i="34"/>
  <c r="V318" i="34"/>
  <c r="W318" i="34"/>
  <c r="X318" i="34"/>
  <c r="Y318" i="34"/>
  <c r="AA318" i="34"/>
  <c r="AB318" i="34"/>
  <c r="AC318" i="34"/>
  <c r="AD318" i="34"/>
  <c r="P319" i="34"/>
  <c r="T319" i="34"/>
  <c r="U319" i="34"/>
  <c r="V319" i="34"/>
  <c r="W319" i="34"/>
  <c r="X319" i="34"/>
  <c r="Y319" i="34"/>
  <c r="AA319" i="34"/>
  <c r="AB319" i="34"/>
  <c r="AC319" i="34"/>
  <c r="AD319" i="34"/>
  <c r="P320" i="34"/>
  <c r="T320" i="34"/>
  <c r="U320" i="34"/>
  <c r="V320" i="34"/>
  <c r="W320" i="34"/>
  <c r="X320" i="34"/>
  <c r="Y320" i="34"/>
  <c r="AA320" i="34"/>
  <c r="AB320" i="34"/>
  <c r="AC320" i="34"/>
  <c r="P321" i="34"/>
  <c r="T321" i="34"/>
  <c r="U321" i="34"/>
  <c r="V321" i="34"/>
  <c r="W321" i="34"/>
  <c r="X321" i="34"/>
  <c r="Y321" i="34"/>
  <c r="AA321" i="34"/>
  <c r="AB321" i="34"/>
  <c r="AC321" i="34"/>
  <c r="P322" i="34"/>
  <c r="T322" i="34"/>
  <c r="U322" i="34"/>
  <c r="V322" i="34"/>
  <c r="W322" i="34"/>
  <c r="X322" i="34"/>
  <c r="Y322" i="34"/>
  <c r="AA322" i="34"/>
  <c r="AB322" i="34"/>
  <c r="AC322" i="34"/>
  <c r="P323" i="34"/>
  <c r="T323" i="34"/>
  <c r="U323" i="34"/>
  <c r="V323" i="34"/>
  <c r="W323" i="34"/>
  <c r="X323" i="34"/>
  <c r="Y323" i="34"/>
  <c r="AA323" i="34"/>
  <c r="AB323" i="34"/>
  <c r="AC323" i="34"/>
  <c r="AD323" i="34"/>
  <c r="P324" i="34"/>
  <c r="T324" i="34"/>
  <c r="U324" i="34"/>
  <c r="V324" i="34"/>
  <c r="W324" i="34"/>
  <c r="X324" i="34"/>
  <c r="Y324" i="34"/>
  <c r="AA324" i="34"/>
  <c r="AB324" i="34"/>
  <c r="AC324" i="34"/>
  <c r="AD324" i="34"/>
  <c r="P325" i="34"/>
  <c r="T325" i="34"/>
  <c r="U325" i="34"/>
  <c r="V325" i="34"/>
  <c r="W325" i="34"/>
  <c r="X325" i="34"/>
  <c r="Y325" i="34"/>
  <c r="AA325" i="34"/>
  <c r="AB325" i="34"/>
  <c r="AC325" i="34"/>
  <c r="AD325" i="34"/>
  <c r="P326" i="34"/>
  <c r="T326" i="34"/>
  <c r="U326" i="34"/>
  <c r="V326" i="34"/>
  <c r="W326" i="34"/>
  <c r="X326" i="34"/>
  <c r="Y326" i="34"/>
  <c r="AA326" i="34"/>
  <c r="AB326" i="34"/>
  <c r="AC326" i="34"/>
  <c r="AD326" i="34"/>
  <c r="P327" i="34"/>
  <c r="T327" i="34"/>
  <c r="U327" i="34"/>
  <c r="V327" i="34"/>
  <c r="W327" i="34"/>
  <c r="X327" i="34"/>
  <c r="Y327" i="34"/>
  <c r="AA327" i="34"/>
  <c r="AB327" i="34"/>
  <c r="AC327" i="34"/>
  <c r="AD327" i="34"/>
  <c r="P328" i="34"/>
  <c r="T328" i="34"/>
  <c r="U328" i="34"/>
  <c r="V328" i="34"/>
  <c r="W328" i="34"/>
  <c r="X328" i="34"/>
  <c r="Y328" i="34"/>
  <c r="AA328" i="34"/>
  <c r="AB328" i="34"/>
  <c r="AC328" i="34"/>
  <c r="P329" i="34"/>
  <c r="T329" i="34"/>
  <c r="U329" i="34"/>
  <c r="V329" i="34"/>
  <c r="W329" i="34"/>
  <c r="X329" i="34"/>
  <c r="Y329" i="34"/>
  <c r="AA329" i="34"/>
  <c r="AB329" i="34"/>
  <c r="AC329" i="34"/>
  <c r="AD329" i="34"/>
  <c r="P330" i="34"/>
  <c r="T330" i="34"/>
  <c r="U330" i="34"/>
  <c r="V330" i="34"/>
  <c r="W330" i="34"/>
  <c r="X330" i="34"/>
  <c r="Y330" i="34"/>
  <c r="AA330" i="34"/>
  <c r="AB330" i="34"/>
  <c r="AC330" i="34"/>
  <c r="P331" i="34"/>
  <c r="T331" i="34"/>
  <c r="U331" i="34"/>
  <c r="V331" i="34"/>
  <c r="W331" i="34"/>
  <c r="X331" i="34"/>
  <c r="Y331" i="34"/>
  <c r="AA331" i="34"/>
  <c r="AB331" i="34"/>
  <c r="AC331" i="34"/>
  <c r="P332" i="34"/>
  <c r="W332" i="34"/>
  <c r="X332" i="34"/>
  <c r="Y332" i="34"/>
  <c r="AA332" i="34"/>
  <c r="AB332" i="34"/>
  <c r="AC332" i="34"/>
  <c r="AD332" i="34"/>
  <c r="P333" i="34"/>
  <c r="T333" i="34"/>
  <c r="U333" i="34"/>
  <c r="V333" i="34"/>
  <c r="W333" i="34"/>
  <c r="X333" i="34"/>
  <c r="Y333" i="34"/>
  <c r="AA333" i="34"/>
  <c r="AB333" i="34"/>
  <c r="AC333" i="34"/>
  <c r="AD333" i="34"/>
  <c r="P334" i="34"/>
  <c r="W334" i="34"/>
  <c r="X334" i="34"/>
  <c r="Y334" i="34"/>
  <c r="AA334" i="34"/>
  <c r="AB334" i="34"/>
  <c r="AC334" i="34"/>
  <c r="AD334" i="34"/>
  <c r="P335" i="34"/>
  <c r="W335" i="34"/>
  <c r="X335" i="34"/>
  <c r="Y335" i="34"/>
  <c r="AA335" i="34"/>
  <c r="AB335" i="34"/>
  <c r="AC335" i="34"/>
  <c r="AD335" i="34"/>
  <c r="P336" i="34"/>
  <c r="W336" i="34"/>
  <c r="X336" i="34"/>
  <c r="Y336" i="34"/>
  <c r="AA336" i="34"/>
  <c r="AB336" i="34"/>
  <c r="AC336" i="34"/>
  <c r="AD336" i="34"/>
  <c r="P337" i="34"/>
  <c r="T337" i="34"/>
  <c r="U337" i="34"/>
  <c r="V337" i="34"/>
  <c r="W337" i="34"/>
  <c r="X337" i="34"/>
  <c r="Y337" i="34"/>
  <c r="AA337" i="34"/>
  <c r="AB337" i="34"/>
  <c r="AC337" i="34"/>
  <c r="AD337" i="34"/>
  <c r="P338" i="34"/>
  <c r="W338" i="34"/>
  <c r="X338" i="34"/>
  <c r="Y338" i="34"/>
  <c r="AA338" i="34"/>
  <c r="AB338" i="34"/>
  <c r="AC338" i="34"/>
  <c r="AD338" i="34"/>
  <c r="P339" i="34"/>
  <c r="W339" i="34"/>
  <c r="X339" i="34"/>
  <c r="Y339" i="34"/>
  <c r="AA339" i="34"/>
  <c r="AB339" i="34"/>
  <c r="AC339" i="34"/>
  <c r="AD339" i="34"/>
  <c r="P340" i="34"/>
  <c r="T340" i="34"/>
  <c r="U340" i="34"/>
  <c r="V340" i="34"/>
  <c r="W340" i="34"/>
  <c r="X340" i="34"/>
  <c r="Y340" i="34"/>
  <c r="AA340" i="34"/>
  <c r="AB340" i="34"/>
  <c r="AC340" i="34"/>
  <c r="AD340" i="34"/>
  <c r="P341" i="34"/>
  <c r="W341" i="34"/>
  <c r="X341" i="34"/>
  <c r="Y341" i="34"/>
  <c r="AA341" i="34"/>
  <c r="AB341" i="34"/>
  <c r="AC341" i="34"/>
  <c r="AD341" i="34"/>
  <c r="P342" i="34"/>
  <c r="W342" i="34"/>
  <c r="X342" i="34"/>
  <c r="Y342" i="34"/>
  <c r="AA342" i="34"/>
  <c r="AB342" i="34"/>
  <c r="AC342" i="34"/>
  <c r="AD342" i="34"/>
  <c r="P343" i="34"/>
  <c r="W343" i="34"/>
  <c r="X343" i="34"/>
  <c r="Y343" i="34"/>
  <c r="AA343" i="34"/>
  <c r="AB343" i="34"/>
  <c r="AC343" i="34"/>
  <c r="AD343" i="34"/>
  <c r="P344" i="34"/>
  <c r="T344" i="34"/>
  <c r="U344" i="34"/>
  <c r="V344" i="34"/>
  <c r="W344" i="34"/>
  <c r="X344" i="34"/>
  <c r="Y344" i="34"/>
  <c r="AA344" i="34"/>
  <c r="AB344" i="34"/>
  <c r="AC344" i="34"/>
  <c r="AD344" i="34"/>
  <c r="P345" i="34"/>
  <c r="T345" i="34"/>
  <c r="U345" i="34"/>
  <c r="V345" i="34"/>
  <c r="W345" i="34"/>
  <c r="X345" i="34"/>
  <c r="Y345" i="34"/>
  <c r="AA345" i="34"/>
  <c r="AB345" i="34"/>
  <c r="AC345" i="34"/>
  <c r="AD345" i="34"/>
  <c r="P346" i="34"/>
  <c r="T346" i="34"/>
  <c r="U346" i="34"/>
  <c r="V346" i="34"/>
  <c r="W346" i="34"/>
  <c r="X346" i="34"/>
  <c r="Y346" i="34"/>
  <c r="AA346" i="34"/>
  <c r="AB346" i="34"/>
  <c r="AC346" i="34"/>
  <c r="AD346" i="34"/>
  <c r="P347" i="34"/>
  <c r="T347" i="34"/>
  <c r="U347" i="34"/>
  <c r="V347" i="34"/>
  <c r="W347" i="34"/>
  <c r="X347" i="34"/>
  <c r="Y347" i="34"/>
  <c r="AA347" i="34"/>
  <c r="AB347" i="34"/>
  <c r="AC347" i="34"/>
  <c r="AD347" i="34"/>
  <c r="P348" i="34"/>
  <c r="T348" i="34"/>
  <c r="U348" i="34"/>
  <c r="V348" i="34"/>
  <c r="W348" i="34"/>
  <c r="X348" i="34"/>
  <c r="Y348" i="34"/>
  <c r="AA348" i="34"/>
  <c r="AB348" i="34"/>
  <c r="AC348" i="34"/>
  <c r="AD348" i="34"/>
  <c r="P349" i="34"/>
  <c r="T349" i="34"/>
  <c r="U349" i="34"/>
  <c r="V349" i="34"/>
  <c r="W349" i="34"/>
  <c r="X349" i="34"/>
  <c r="Y349" i="34"/>
  <c r="AA349" i="34"/>
  <c r="AB349" i="34"/>
  <c r="AC349" i="34"/>
  <c r="AD349" i="34"/>
  <c r="P350" i="34"/>
  <c r="T350" i="34"/>
  <c r="U350" i="34"/>
  <c r="V350" i="34"/>
  <c r="W350" i="34"/>
  <c r="X350" i="34"/>
  <c r="Y350" i="34"/>
  <c r="AA350" i="34"/>
  <c r="AB350" i="34"/>
  <c r="AC350" i="34"/>
  <c r="AD350" i="34"/>
  <c r="P351" i="34"/>
  <c r="T351" i="34"/>
  <c r="U351" i="34"/>
  <c r="V351" i="34"/>
  <c r="W351" i="34"/>
  <c r="X351" i="34"/>
  <c r="Y351" i="34"/>
  <c r="AA351" i="34"/>
  <c r="AB351" i="34"/>
  <c r="AC351" i="34"/>
  <c r="AD351" i="34"/>
  <c r="P352" i="34"/>
  <c r="T352" i="34"/>
  <c r="U352" i="34"/>
  <c r="V352" i="34"/>
  <c r="W352" i="34"/>
  <c r="X352" i="34"/>
  <c r="Y352" i="34"/>
  <c r="AA352" i="34"/>
  <c r="AB352" i="34"/>
  <c r="AC352" i="34"/>
  <c r="AD352" i="34"/>
  <c r="P353" i="34"/>
  <c r="T353" i="34"/>
  <c r="U353" i="34"/>
  <c r="V353" i="34"/>
  <c r="W353" i="34"/>
  <c r="X353" i="34"/>
  <c r="Y353" i="34"/>
  <c r="AA353" i="34"/>
  <c r="AB353" i="34"/>
  <c r="AC353" i="34"/>
  <c r="AD353" i="34"/>
  <c r="P354" i="34"/>
  <c r="T354" i="34"/>
  <c r="U354" i="34"/>
  <c r="V354" i="34"/>
  <c r="W354" i="34"/>
  <c r="X354" i="34"/>
  <c r="Y354" i="34"/>
  <c r="AA354" i="34"/>
  <c r="AB354" i="34"/>
  <c r="AC354" i="34"/>
  <c r="AD354" i="34"/>
  <c r="P355" i="34"/>
  <c r="T355" i="34"/>
  <c r="U355" i="34"/>
  <c r="V355" i="34"/>
  <c r="W355" i="34"/>
  <c r="X355" i="34"/>
  <c r="Y355" i="34"/>
  <c r="AA355" i="34"/>
  <c r="AB355" i="34"/>
  <c r="AC355" i="34"/>
  <c r="AD355" i="34"/>
  <c r="P356" i="34"/>
  <c r="T356" i="34"/>
  <c r="U356" i="34"/>
  <c r="V356" i="34"/>
  <c r="W356" i="34"/>
  <c r="X356" i="34"/>
  <c r="Y356" i="34"/>
  <c r="AA356" i="34"/>
  <c r="AB356" i="34"/>
  <c r="AC356" i="34"/>
  <c r="AD356" i="34"/>
  <c r="P357" i="34"/>
  <c r="T357" i="34"/>
  <c r="U357" i="34"/>
  <c r="V357" i="34"/>
  <c r="W357" i="34"/>
  <c r="X357" i="34"/>
  <c r="Y357" i="34"/>
  <c r="AA357" i="34"/>
  <c r="AB357" i="34"/>
  <c r="AC357" i="34"/>
  <c r="AD357" i="34"/>
  <c r="P358" i="34"/>
  <c r="T358" i="34"/>
  <c r="U358" i="34"/>
  <c r="V358" i="34"/>
  <c r="W358" i="34"/>
  <c r="X358" i="34"/>
  <c r="Y358" i="34"/>
  <c r="AA358" i="34"/>
  <c r="AB358" i="34"/>
  <c r="AC358" i="34"/>
  <c r="AD358" i="34"/>
  <c r="P359" i="34"/>
  <c r="T359" i="34"/>
  <c r="U359" i="34"/>
  <c r="V359" i="34"/>
  <c r="W359" i="34"/>
  <c r="X359" i="34"/>
  <c r="Y359" i="34"/>
  <c r="AA359" i="34"/>
  <c r="AB359" i="34"/>
  <c r="AC359" i="34"/>
  <c r="AD359" i="34"/>
  <c r="P360" i="34"/>
  <c r="T360" i="34"/>
  <c r="U360" i="34"/>
  <c r="V360" i="34"/>
  <c r="W360" i="34"/>
  <c r="X360" i="34"/>
  <c r="Y360" i="34"/>
  <c r="AA360" i="34"/>
  <c r="AB360" i="34"/>
  <c r="AC360" i="34"/>
  <c r="AD360" i="34"/>
  <c r="P361" i="34"/>
  <c r="T361" i="34"/>
  <c r="U361" i="34"/>
  <c r="V361" i="34"/>
  <c r="W361" i="34"/>
  <c r="X361" i="34"/>
  <c r="Y361" i="34"/>
  <c r="AA361" i="34"/>
  <c r="AB361" i="34"/>
  <c r="AC361" i="34"/>
  <c r="AD361" i="34"/>
  <c r="P362" i="34"/>
  <c r="T362" i="34"/>
  <c r="U362" i="34"/>
  <c r="V362" i="34"/>
  <c r="W362" i="34"/>
  <c r="X362" i="34"/>
  <c r="Y362" i="34"/>
  <c r="AA362" i="34"/>
  <c r="AB362" i="34"/>
  <c r="AC362" i="34"/>
  <c r="AD362" i="34"/>
  <c r="P363" i="34"/>
  <c r="T363" i="34"/>
  <c r="U363" i="34"/>
  <c r="V363" i="34"/>
  <c r="W363" i="34"/>
  <c r="X363" i="34"/>
  <c r="Y363" i="34"/>
  <c r="AA363" i="34"/>
  <c r="AB363" i="34"/>
  <c r="AC363" i="34"/>
  <c r="AD363" i="34"/>
  <c r="P364" i="34"/>
  <c r="T364" i="34"/>
  <c r="U364" i="34"/>
  <c r="V364" i="34"/>
  <c r="W364" i="34"/>
  <c r="X364" i="34"/>
  <c r="Y364" i="34"/>
  <c r="AA364" i="34"/>
  <c r="AB364" i="34"/>
  <c r="AC364" i="34"/>
  <c r="AD364" i="34"/>
  <c r="P365" i="34"/>
  <c r="T365" i="34"/>
  <c r="U365" i="34"/>
  <c r="V365" i="34"/>
  <c r="W365" i="34"/>
  <c r="X365" i="34"/>
  <c r="Y365" i="34"/>
  <c r="AA365" i="34"/>
  <c r="AB365" i="34"/>
  <c r="AC365" i="34"/>
  <c r="P366" i="34"/>
  <c r="T366" i="34"/>
  <c r="U366" i="34"/>
  <c r="V366" i="34"/>
  <c r="W366" i="34"/>
  <c r="X366" i="34"/>
  <c r="Y366" i="34"/>
  <c r="AA366" i="34"/>
  <c r="AB366" i="34"/>
  <c r="AC366" i="34"/>
  <c r="AD366" i="34"/>
  <c r="P367" i="34"/>
  <c r="T367" i="34"/>
  <c r="U367" i="34"/>
  <c r="V367" i="34"/>
  <c r="W367" i="34"/>
  <c r="X367" i="34"/>
  <c r="Y367" i="34"/>
  <c r="AA367" i="34"/>
  <c r="AB367" i="34"/>
  <c r="AC367" i="34"/>
  <c r="AD367" i="34"/>
  <c r="P368" i="34"/>
  <c r="T368" i="34"/>
  <c r="U368" i="34"/>
  <c r="V368" i="34"/>
  <c r="W368" i="34"/>
  <c r="X368" i="34"/>
  <c r="Y368" i="34"/>
  <c r="AA368" i="34"/>
  <c r="AB368" i="34"/>
  <c r="AC368" i="34"/>
  <c r="AD368" i="34"/>
  <c r="P369" i="34"/>
  <c r="T369" i="34"/>
  <c r="U369" i="34"/>
  <c r="V369" i="34"/>
  <c r="W369" i="34"/>
  <c r="X369" i="34"/>
  <c r="Y369" i="34"/>
  <c r="AA369" i="34"/>
  <c r="AB369" i="34"/>
  <c r="AC369" i="34"/>
  <c r="AD369" i="34"/>
  <c r="P370" i="34"/>
  <c r="T370" i="34"/>
  <c r="U370" i="34"/>
  <c r="V370" i="34"/>
  <c r="W370" i="34"/>
  <c r="X370" i="34"/>
  <c r="Y370" i="34"/>
  <c r="AA370" i="34"/>
  <c r="AB370" i="34"/>
  <c r="AC370" i="34"/>
  <c r="AD370" i="34"/>
  <c r="P371" i="34"/>
  <c r="T371" i="34"/>
  <c r="U371" i="34"/>
  <c r="V371" i="34"/>
  <c r="W371" i="34"/>
  <c r="X371" i="34"/>
  <c r="Y371" i="34"/>
  <c r="AA371" i="34"/>
  <c r="AB371" i="34"/>
  <c r="AC371" i="34"/>
  <c r="AD371" i="34"/>
  <c r="P372" i="34"/>
  <c r="T372" i="34"/>
  <c r="U372" i="34"/>
  <c r="V372" i="34"/>
  <c r="W372" i="34"/>
  <c r="X372" i="34"/>
  <c r="Y372" i="34"/>
  <c r="AA372" i="34"/>
  <c r="AB372" i="34"/>
  <c r="AC372" i="34"/>
  <c r="AD372" i="34"/>
  <c r="P373" i="34"/>
  <c r="T373" i="34"/>
  <c r="U373" i="34"/>
  <c r="V373" i="34"/>
  <c r="W373" i="34"/>
  <c r="X373" i="34"/>
  <c r="Y373" i="34"/>
  <c r="AA373" i="34"/>
  <c r="AB373" i="34"/>
  <c r="AC373" i="34"/>
  <c r="AD373" i="34"/>
  <c r="P374" i="34"/>
  <c r="T374" i="34"/>
  <c r="U374" i="34"/>
  <c r="V374" i="34"/>
  <c r="W374" i="34"/>
  <c r="X374" i="34"/>
  <c r="Y374" i="34"/>
  <c r="AA374" i="34"/>
  <c r="AB374" i="34"/>
  <c r="AC374" i="34"/>
  <c r="AD374" i="34"/>
  <c r="P375" i="34"/>
  <c r="W375" i="34"/>
  <c r="X375" i="34"/>
  <c r="Y375" i="34"/>
  <c r="AA375" i="34"/>
  <c r="AB375" i="34"/>
  <c r="AC375" i="34"/>
  <c r="AD375" i="34"/>
  <c r="P376" i="34"/>
  <c r="W376" i="34"/>
  <c r="X376" i="34"/>
  <c r="Y376" i="34"/>
  <c r="AA376" i="34"/>
  <c r="AB376" i="34"/>
  <c r="AC376" i="34"/>
  <c r="P377" i="34"/>
  <c r="W377" i="34"/>
  <c r="X377" i="34"/>
  <c r="Y377" i="34"/>
  <c r="AA377" i="34"/>
  <c r="AB377" i="34"/>
  <c r="AC377" i="34"/>
  <c r="P378" i="34"/>
  <c r="W378" i="34"/>
  <c r="X378" i="34"/>
  <c r="Y378" i="34"/>
  <c r="AA378" i="34"/>
  <c r="AB378" i="34"/>
  <c r="AC378" i="34"/>
  <c r="AD378" i="34"/>
  <c r="P379" i="34"/>
  <c r="T379" i="34"/>
  <c r="U379" i="34"/>
  <c r="V379" i="34"/>
  <c r="W379" i="34"/>
  <c r="X379" i="34"/>
  <c r="Y379" i="34"/>
  <c r="AA379" i="34"/>
  <c r="AB379" i="34"/>
  <c r="AC379" i="34"/>
  <c r="AD379" i="34"/>
  <c r="P380" i="34"/>
  <c r="T380" i="34"/>
  <c r="U380" i="34"/>
  <c r="V380" i="34"/>
  <c r="W380" i="34"/>
  <c r="X380" i="34"/>
  <c r="Y380" i="34"/>
  <c r="AA380" i="34"/>
  <c r="AB380" i="34"/>
  <c r="AC380" i="34"/>
  <c r="AD380" i="34"/>
  <c r="P381" i="34"/>
  <c r="T381" i="34"/>
  <c r="U381" i="34"/>
  <c r="V381" i="34"/>
  <c r="W381" i="34"/>
  <c r="X381" i="34"/>
  <c r="Y381" i="34"/>
  <c r="AA381" i="34"/>
  <c r="AB381" i="34"/>
  <c r="AC381" i="34"/>
  <c r="AD381" i="34"/>
  <c r="P382" i="34"/>
  <c r="T382" i="34"/>
  <c r="U382" i="34"/>
  <c r="V382" i="34"/>
  <c r="W382" i="34"/>
  <c r="X382" i="34"/>
  <c r="Y382" i="34"/>
  <c r="AA382" i="34"/>
  <c r="AB382" i="34"/>
  <c r="AC382" i="34"/>
  <c r="AD382" i="34"/>
  <c r="P383" i="34"/>
  <c r="W383" i="34"/>
  <c r="X383" i="34"/>
  <c r="Y383" i="34"/>
  <c r="AA383" i="34"/>
  <c r="AB383" i="34"/>
  <c r="AC383" i="34"/>
  <c r="AD383" i="34"/>
  <c r="P384" i="34"/>
  <c r="T384" i="34"/>
  <c r="U384" i="34"/>
  <c r="V384" i="34"/>
  <c r="W384" i="34"/>
  <c r="X384" i="34"/>
  <c r="Y384" i="34"/>
  <c r="AA384" i="34"/>
  <c r="AB384" i="34"/>
  <c r="AC384" i="34"/>
  <c r="AD384" i="34"/>
  <c r="P385" i="34"/>
  <c r="T385" i="34"/>
  <c r="U385" i="34"/>
  <c r="V385" i="34"/>
  <c r="W385" i="34"/>
  <c r="X385" i="34"/>
  <c r="Y385" i="34"/>
  <c r="AA385" i="34"/>
  <c r="AB385" i="34"/>
  <c r="AC385" i="34"/>
  <c r="AD385" i="34"/>
  <c r="P386" i="34"/>
  <c r="T386" i="34"/>
  <c r="U386" i="34"/>
  <c r="V386" i="34"/>
  <c r="W386" i="34"/>
  <c r="X386" i="34"/>
  <c r="Y386" i="34"/>
  <c r="AA386" i="34"/>
  <c r="AB386" i="34"/>
  <c r="AC386" i="34"/>
  <c r="AD386" i="34"/>
  <c r="P387" i="34"/>
  <c r="T387" i="34"/>
  <c r="U387" i="34"/>
  <c r="V387" i="34"/>
  <c r="W387" i="34"/>
  <c r="X387" i="34"/>
  <c r="Y387" i="34"/>
  <c r="AA387" i="34"/>
  <c r="AB387" i="34"/>
  <c r="AC387" i="34"/>
  <c r="AD387" i="34"/>
  <c r="P388" i="34"/>
  <c r="T388" i="34"/>
  <c r="U388" i="34"/>
  <c r="V388" i="34"/>
  <c r="W388" i="34"/>
  <c r="X388" i="34"/>
  <c r="Y388" i="34"/>
  <c r="AA388" i="34"/>
  <c r="AB388" i="34"/>
  <c r="AC388" i="34"/>
  <c r="AD388" i="34"/>
  <c r="P389" i="34"/>
  <c r="T389" i="34"/>
  <c r="U389" i="34"/>
  <c r="V389" i="34"/>
  <c r="W389" i="34"/>
  <c r="X389" i="34"/>
  <c r="Y389" i="34"/>
  <c r="AA389" i="34"/>
  <c r="AB389" i="34"/>
  <c r="AC389" i="34"/>
  <c r="AD389" i="34"/>
  <c r="P390" i="34"/>
  <c r="T390" i="34"/>
  <c r="U390" i="34"/>
  <c r="V390" i="34"/>
  <c r="W390" i="34"/>
  <c r="X390" i="34"/>
  <c r="Y390" i="34"/>
  <c r="AA390" i="34"/>
  <c r="AB390" i="34"/>
  <c r="AC390" i="34"/>
  <c r="AD390" i="34"/>
  <c r="P391" i="34"/>
  <c r="T391" i="34"/>
  <c r="U391" i="34"/>
  <c r="V391" i="34"/>
  <c r="W391" i="34"/>
  <c r="X391" i="34"/>
  <c r="Y391" i="34"/>
  <c r="AA391" i="34"/>
  <c r="AB391" i="34"/>
  <c r="AC391" i="34"/>
  <c r="AD391" i="34"/>
  <c r="P392" i="34"/>
  <c r="T392" i="34"/>
  <c r="U392" i="34"/>
  <c r="V392" i="34"/>
  <c r="W392" i="34"/>
  <c r="X392" i="34"/>
  <c r="Y392" i="34"/>
  <c r="AA392" i="34"/>
  <c r="AB392" i="34"/>
  <c r="AC392" i="34"/>
  <c r="AD392" i="34"/>
  <c r="P393" i="34"/>
  <c r="T393" i="34"/>
  <c r="U393" i="34"/>
  <c r="V393" i="34"/>
  <c r="W393" i="34"/>
  <c r="X393" i="34"/>
  <c r="Y393" i="34"/>
  <c r="AA393" i="34"/>
  <c r="AB393" i="34"/>
  <c r="AC393" i="34"/>
  <c r="AD393" i="34"/>
  <c r="P394" i="34"/>
  <c r="T394" i="34"/>
  <c r="U394" i="34"/>
  <c r="V394" i="34"/>
  <c r="W394" i="34"/>
  <c r="X394" i="34"/>
  <c r="Y394" i="34"/>
  <c r="AA394" i="34"/>
  <c r="AB394" i="34"/>
  <c r="AC394" i="34"/>
  <c r="AD394" i="34"/>
  <c r="P395" i="34"/>
  <c r="T395" i="34"/>
  <c r="U395" i="34"/>
  <c r="V395" i="34"/>
  <c r="W395" i="34"/>
  <c r="X395" i="34"/>
  <c r="Y395" i="34"/>
  <c r="AA395" i="34"/>
  <c r="AB395" i="34"/>
  <c r="AC395" i="34"/>
  <c r="AD395" i="34"/>
  <c r="P396" i="34"/>
  <c r="T396" i="34"/>
  <c r="U396" i="34"/>
  <c r="V396" i="34"/>
  <c r="W396" i="34"/>
  <c r="X396" i="34"/>
  <c r="Y396" i="34"/>
  <c r="AA396" i="34"/>
  <c r="AB396" i="34"/>
  <c r="AC396" i="34"/>
  <c r="AD396" i="34"/>
  <c r="P397" i="34"/>
  <c r="W397" i="34"/>
  <c r="X397" i="34"/>
  <c r="Y397" i="34"/>
  <c r="AA397" i="34"/>
  <c r="AB397" i="34"/>
  <c r="AC397" i="34"/>
  <c r="AD397" i="34"/>
  <c r="P398" i="34"/>
  <c r="T398" i="34"/>
  <c r="U398" i="34"/>
  <c r="V398" i="34"/>
  <c r="W398" i="34"/>
  <c r="X398" i="34"/>
  <c r="Y398" i="34"/>
  <c r="AA398" i="34"/>
  <c r="AB398" i="34"/>
  <c r="AC398" i="34"/>
  <c r="AD398" i="34"/>
  <c r="P399" i="34"/>
  <c r="T399" i="34"/>
  <c r="U399" i="34"/>
  <c r="V399" i="34"/>
  <c r="W399" i="34"/>
  <c r="X399" i="34"/>
  <c r="Y399" i="34"/>
  <c r="AA399" i="34"/>
  <c r="AB399" i="34"/>
  <c r="AC399" i="34"/>
  <c r="AD399" i="34"/>
  <c r="P400" i="34"/>
  <c r="T400" i="34"/>
  <c r="U400" i="34"/>
  <c r="V400" i="34"/>
  <c r="W400" i="34"/>
  <c r="X400" i="34"/>
  <c r="Y400" i="34"/>
  <c r="AA400" i="34"/>
  <c r="AB400" i="34"/>
  <c r="AC400" i="34"/>
  <c r="AD400" i="34"/>
  <c r="P401" i="34"/>
  <c r="T401" i="34"/>
  <c r="U401" i="34"/>
  <c r="V401" i="34"/>
  <c r="W401" i="34"/>
  <c r="X401" i="34"/>
  <c r="Y401" i="34"/>
  <c r="AA401" i="34"/>
  <c r="AB401" i="34"/>
  <c r="AC401" i="34"/>
  <c r="AD401" i="34"/>
  <c r="P402" i="34"/>
  <c r="T402" i="34"/>
  <c r="U402" i="34"/>
  <c r="V402" i="34"/>
  <c r="W402" i="34"/>
  <c r="X402" i="34"/>
  <c r="Y402" i="34"/>
  <c r="AA402" i="34"/>
  <c r="AB402" i="34"/>
  <c r="AC402" i="34"/>
  <c r="AD402" i="34"/>
  <c r="P403" i="34"/>
  <c r="T403" i="34"/>
  <c r="U403" i="34"/>
  <c r="V403" i="34"/>
  <c r="W403" i="34"/>
  <c r="X403" i="34"/>
  <c r="Y403" i="34"/>
  <c r="AA403" i="34"/>
  <c r="AB403" i="34"/>
  <c r="AC403" i="34"/>
  <c r="P404" i="34"/>
  <c r="T404" i="34"/>
  <c r="U404" i="34"/>
  <c r="V404" i="34"/>
  <c r="W404" i="34"/>
  <c r="X404" i="34"/>
  <c r="Y404" i="34"/>
  <c r="AA404" i="34"/>
  <c r="AB404" i="34"/>
  <c r="AC404" i="34"/>
  <c r="P405" i="34"/>
  <c r="T405" i="34"/>
  <c r="U405" i="34"/>
  <c r="V405" i="34"/>
  <c r="W405" i="34"/>
  <c r="X405" i="34"/>
  <c r="Y405" i="34"/>
  <c r="AA405" i="34"/>
  <c r="AB405" i="34"/>
  <c r="AC405" i="34"/>
  <c r="P406" i="34"/>
  <c r="T406" i="34"/>
  <c r="U406" i="34"/>
  <c r="V406" i="34"/>
  <c r="W406" i="34"/>
  <c r="X406" i="34"/>
  <c r="Y406" i="34"/>
  <c r="AA406" i="34"/>
  <c r="AB406" i="34"/>
  <c r="AC406" i="34"/>
  <c r="P407" i="34"/>
  <c r="T407" i="34"/>
  <c r="U407" i="34"/>
  <c r="V407" i="34"/>
  <c r="W407" i="34"/>
  <c r="X407" i="34"/>
  <c r="Y407" i="34"/>
  <c r="AA407" i="34"/>
  <c r="AB407" i="34"/>
  <c r="AC407" i="34"/>
  <c r="P408" i="34"/>
  <c r="T408" i="34"/>
  <c r="U408" i="34"/>
  <c r="V408" i="34"/>
  <c r="W408" i="34"/>
  <c r="X408" i="34"/>
  <c r="Y408" i="34"/>
  <c r="AA408" i="34"/>
  <c r="AB408" i="34"/>
  <c r="AC408" i="34"/>
  <c r="P409" i="34"/>
  <c r="T409" i="34"/>
  <c r="U409" i="34"/>
  <c r="V409" i="34"/>
  <c r="W409" i="34"/>
  <c r="X409" i="34"/>
  <c r="Y409" i="34"/>
  <c r="AA409" i="34"/>
  <c r="AB409" i="34"/>
  <c r="AC409" i="34"/>
  <c r="AD409" i="34"/>
  <c r="P410" i="34"/>
  <c r="T410" i="34"/>
  <c r="U410" i="34"/>
  <c r="V410" i="34"/>
  <c r="W410" i="34"/>
  <c r="X410" i="34"/>
  <c r="Y410" i="34"/>
  <c r="AA410" i="34"/>
  <c r="AB410" i="34"/>
  <c r="AC410" i="34"/>
  <c r="AD410" i="34"/>
  <c r="P411" i="34"/>
  <c r="T411" i="34"/>
  <c r="U411" i="34"/>
  <c r="V411" i="34"/>
  <c r="W411" i="34"/>
  <c r="X411" i="34"/>
  <c r="Y411" i="34"/>
  <c r="AA411" i="34"/>
  <c r="AB411" i="34"/>
  <c r="AC411" i="34"/>
  <c r="AD411" i="34"/>
  <c r="P412" i="34"/>
  <c r="T412" i="34"/>
  <c r="U412" i="34"/>
  <c r="V412" i="34"/>
  <c r="W412" i="34"/>
  <c r="X412" i="34"/>
  <c r="Y412" i="34"/>
  <c r="AA412" i="34"/>
  <c r="AB412" i="34"/>
  <c r="AC412" i="34"/>
  <c r="AD412" i="34"/>
  <c r="P413" i="34"/>
  <c r="T413" i="34"/>
  <c r="U413" i="34"/>
  <c r="V413" i="34"/>
  <c r="W413" i="34"/>
  <c r="X413" i="34"/>
  <c r="Y413" i="34"/>
  <c r="AA413" i="34"/>
  <c r="AB413" i="34"/>
  <c r="AC413" i="34"/>
  <c r="AD413" i="34"/>
  <c r="P414" i="34"/>
  <c r="T414" i="34"/>
  <c r="U414" i="34"/>
  <c r="V414" i="34"/>
  <c r="W414" i="34"/>
  <c r="X414" i="34"/>
  <c r="Y414" i="34"/>
  <c r="AA414" i="34"/>
  <c r="AB414" i="34"/>
  <c r="AC414" i="34"/>
  <c r="AD414" i="34"/>
  <c r="P415" i="34"/>
  <c r="W415" i="34"/>
  <c r="X415" i="34"/>
  <c r="Y415" i="34"/>
  <c r="AA415" i="34"/>
  <c r="AB415" i="34"/>
  <c r="AC415" i="34"/>
  <c r="AD415" i="34"/>
  <c r="P416" i="34"/>
  <c r="W416" i="34"/>
  <c r="X416" i="34"/>
  <c r="Y416" i="34"/>
  <c r="AA416" i="34"/>
  <c r="AB416" i="34"/>
  <c r="AC416" i="34"/>
  <c r="AD416" i="34"/>
  <c r="P417" i="34"/>
  <c r="W417" i="34"/>
  <c r="X417" i="34"/>
  <c r="Y417" i="34"/>
  <c r="AA417" i="34"/>
  <c r="AB417" i="34"/>
  <c r="AC417" i="34"/>
  <c r="AD417" i="34"/>
  <c r="P418" i="34"/>
  <c r="W418" i="34"/>
  <c r="X418" i="34"/>
  <c r="Y418" i="34"/>
  <c r="AA418" i="34"/>
  <c r="AB418" i="34"/>
  <c r="AC418" i="34"/>
  <c r="AD418" i="34"/>
  <c r="P419" i="34"/>
  <c r="T419" i="34"/>
  <c r="U419" i="34"/>
  <c r="V419" i="34"/>
  <c r="W419" i="34"/>
  <c r="X419" i="34"/>
  <c r="Y419" i="34"/>
  <c r="AA419" i="34"/>
  <c r="AB419" i="34"/>
  <c r="AC419" i="34"/>
  <c r="P420" i="34"/>
  <c r="T420" i="34"/>
  <c r="U420" i="34"/>
  <c r="V420" i="34"/>
  <c r="W420" i="34"/>
  <c r="X420" i="34"/>
  <c r="Y420" i="34"/>
  <c r="AA420" i="34"/>
  <c r="AB420" i="34"/>
  <c r="AC420" i="34"/>
  <c r="AD420" i="34"/>
  <c r="P421" i="34"/>
  <c r="T421" i="34"/>
  <c r="U421" i="34"/>
  <c r="V421" i="34"/>
  <c r="W421" i="34"/>
  <c r="X421" i="34"/>
  <c r="Y421" i="34"/>
  <c r="AA421" i="34"/>
  <c r="AB421" i="34"/>
  <c r="AC421" i="34"/>
  <c r="AD421" i="34"/>
  <c r="P422" i="34"/>
  <c r="T422" i="34"/>
  <c r="U422" i="34"/>
  <c r="V422" i="34"/>
  <c r="W422" i="34"/>
  <c r="X422" i="34"/>
  <c r="Y422" i="34"/>
  <c r="AA422" i="34"/>
  <c r="AB422" i="34"/>
  <c r="AC422" i="34"/>
  <c r="AD422" i="34"/>
  <c r="P423" i="34"/>
  <c r="T423" i="34"/>
  <c r="U423" i="34"/>
  <c r="V423" i="34"/>
  <c r="W423" i="34"/>
  <c r="X423" i="34"/>
  <c r="Y423" i="34"/>
  <c r="AA423" i="34"/>
  <c r="AB423" i="34"/>
  <c r="AC423" i="34"/>
  <c r="AD423" i="34"/>
  <c r="P424" i="34"/>
  <c r="T424" i="34"/>
  <c r="U424" i="34"/>
  <c r="V424" i="34"/>
  <c r="W424" i="34"/>
  <c r="X424" i="34"/>
  <c r="Y424" i="34"/>
  <c r="AA424" i="34"/>
  <c r="AB424" i="34"/>
  <c r="AC424" i="34"/>
  <c r="AD424" i="34"/>
  <c r="P425" i="34"/>
  <c r="T425" i="34"/>
  <c r="U425" i="34"/>
  <c r="V425" i="34"/>
  <c r="W425" i="34"/>
  <c r="X425" i="34"/>
  <c r="Y425" i="34"/>
  <c r="AA425" i="34"/>
  <c r="AB425" i="34"/>
  <c r="AC425" i="34"/>
  <c r="P426" i="34"/>
  <c r="T426" i="34"/>
  <c r="U426" i="34"/>
  <c r="V426" i="34"/>
  <c r="W426" i="34"/>
  <c r="X426" i="34"/>
  <c r="Y426" i="34"/>
  <c r="AA426" i="34"/>
  <c r="AB426" i="34"/>
  <c r="AC426" i="34"/>
  <c r="P427" i="34"/>
  <c r="T427" i="34"/>
  <c r="U427" i="34"/>
  <c r="V427" i="34"/>
  <c r="W427" i="34"/>
  <c r="X427" i="34"/>
  <c r="Y427" i="34"/>
  <c r="AA427" i="34"/>
  <c r="AB427" i="34"/>
  <c r="AC427" i="34"/>
  <c r="P428" i="34"/>
  <c r="T428" i="34"/>
  <c r="U428" i="34"/>
  <c r="V428" i="34"/>
  <c r="W428" i="34"/>
  <c r="X428" i="34"/>
  <c r="Y428" i="34"/>
  <c r="AA428" i="34"/>
  <c r="AB428" i="34"/>
  <c r="AC428" i="34"/>
  <c r="P429" i="34"/>
  <c r="T429" i="34"/>
  <c r="U429" i="34"/>
  <c r="V429" i="34"/>
  <c r="W429" i="34"/>
  <c r="X429" i="34"/>
  <c r="Y429" i="34"/>
  <c r="AA429" i="34"/>
  <c r="AB429" i="34"/>
  <c r="AC429" i="34"/>
  <c r="P430" i="34"/>
  <c r="T430" i="34"/>
  <c r="U430" i="34"/>
  <c r="V430" i="34"/>
  <c r="W430" i="34"/>
  <c r="X430" i="34"/>
  <c r="Y430" i="34"/>
  <c r="AA430" i="34"/>
  <c r="AB430" i="34"/>
  <c r="AC430" i="34"/>
  <c r="AD430" i="34"/>
  <c r="P431" i="34"/>
  <c r="T431" i="34"/>
  <c r="U431" i="34"/>
  <c r="V431" i="34"/>
  <c r="W431" i="34"/>
  <c r="X431" i="34"/>
  <c r="Y431" i="34"/>
  <c r="AA431" i="34"/>
  <c r="AB431" i="34"/>
  <c r="AC431" i="34"/>
  <c r="AD431" i="34"/>
  <c r="P432" i="34"/>
  <c r="T432" i="34"/>
  <c r="U432" i="34"/>
  <c r="V432" i="34"/>
  <c r="W432" i="34"/>
  <c r="X432" i="34"/>
  <c r="Y432" i="34"/>
  <c r="AA432" i="34"/>
  <c r="AB432" i="34"/>
  <c r="AC432" i="34"/>
  <c r="AD432" i="34"/>
  <c r="P433" i="34"/>
  <c r="T433" i="34"/>
  <c r="U433" i="34"/>
  <c r="V433" i="34"/>
  <c r="W433" i="34"/>
  <c r="X433" i="34"/>
  <c r="Y433" i="34"/>
  <c r="AA433" i="34"/>
  <c r="AB433" i="34"/>
  <c r="AC433" i="34"/>
  <c r="AD433" i="34"/>
  <c r="P434" i="34"/>
  <c r="T434" i="34"/>
  <c r="U434" i="34"/>
  <c r="V434" i="34"/>
  <c r="W434" i="34"/>
  <c r="X434" i="34"/>
  <c r="Y434" i="34"/>
  <c r="AA434" i="34"/>
  <c r="AB434" i="34"/>
  <c r="AC434" i="34"/>
  <c r="AD434" i="34"/>
  <c r="P435" i="34"/>
  <c r="T435" i="34"/>
  <c r="U435" i="34"/>
  <c r="V435" i="34"/>
  <c r="W435" i="34"/>
  <c r="X435" i="34"/>
  <c r="Y435" i="34"/>
  <c r="AA435" i="34"/>
  <c r="AB435" i="34"/>
  <c r="AC435" i="34"/>
  <c r="AD435" i="34"/>
  <c r="P436" i="34"/>
  <c r="T436" i="34"/>
  <c r="U436" i="34"/>
  <c r="V436" i="34"/>
  <c r="W436" i="34"/>
  <c r="X436" i="34"/>
  <c r="Y436" i="34"/>
  <c r="AA436" i="34"/>
  <c r="AB436" i="34"/>
  <c r="AC436" i="34"/>
  <c r="AD436" i="34"/>
  <c r="P437" i="34"/>
  <c r="T437" i="34"/>
  <c r="U437" i="34"/>
  <c r="V437" i="34"/>
  <c r="W437" i="34"/>
  <c r="X437" i="34"/>
  <c r="Y437" i="34"/>
  <c r="AA437" i="34"/>
  <c r="AB437" i="34"/>
  <c r="AC437" i="34"/>
  <c r="AD437" i="34"/>
  <c r="P438" i="34"/>
  <c r="T438" i="34"/>
  <c r="U438" i="34"/>
  <c r="V438" i="34"/>
  <c r="W438" i="34"/>
  <c r="X438" i="34"/>
  <c r="Y438" i="34"/>
  <c r="AA438" i="34"/>
  <c r="AB438" i="34"/>
  <c r="AC438" i="34"/>
  <c r="AD438" i="34"/>
  <c r="P439" i="34"/>
  <c r="T439" i="34"/>
  <c r="U439" i="34"/>
  <c r="V439" i="34"/>
  <c r="W439" i="34"/>
  <c r="X439" i="34"/>
  <c r="Y439" i="34"/>
  <c r="AA439" i="34"/>
  <c r="AB439" i="34"/>
  <c r="AC439" i="34"/>
  <c r="AD439" i="34"/>
  <c r="P440" i="34"/>
  <c r="W440" i="34"/>
  <c r="X440" i="34"/>
  <c r="Y440" i="34"/>
  <c r="AA440" i="34"/>
  <c r="AB440" i="34"/>
  <c r="AC440" i="34"/>
  <c r="AD440" i="34"/>
  <c r="P441" i="34"/>
  <c r="T441" i="34"/>
  <c r="U441" i="34"/>
  <c r="V441" i="34"/>
  <c r="W441" i="34"/>
  <c r="X441" i="34"/>
  <c r="Y441" i="34"/>
  <c r="AA441" i="34"/>
  <c r="AB441" i="34"/>
  <c r="AC441" i="34"/>
  <c r="AD441" i="34"/>
  <c r="P442" i="34"/>
  <c r="W442" i="34"/>
  <c r="X442" i="34"/>
  <c r="Y442" i="34"/>
  <c r="AA442" i="34"/>
  <c r="AB442" i="34"/>
  <c r="AC442" i="34"/>
  <c r="AD442" i="34"/>
  <c r="P443" i="34"/>
  <c r="W443" i="34"/>
  <c r="X443" i="34"/>
  <c r="Y443" i="34"/>
  <c r="AA443" i="34"/>
  <c r="AB443" i="34"/>
  <c r="AC443" i="34"/>
  <c r="P444" i="34"/>
  <c r="W444" i="34"/>
  <c r="X444" i="34"/>
  <c r="Y444" i="34"/>
  <c r="AA444" i="34"/>
  <c r="AB444" i="34"/>
  <c r="AC444" i="34"/>
  <c r="P445" i="34"/>
  <c r="W445" i="34"/>
  <c r="X445" i="34"/>
  <c r="Y445" i="34"/>
  <c r="AA445" i="34"/>
  <c r="AB445" i="34"/>
  <c r="AC445" i="34"/>
  <c r="P446" i="34"/>
  <c r="T446" i="34"/>
  <c r="U446" i="34"/>
  <c r="V446" i="34"/>
  <c r="W446" i="34"/>
  <c r="X446" i="34"/>
  <c r="Y446" i="34"/>
  <c r="AA446" i="34"/>
  <c r="AB446" i="34"/>
  <c r="AC446" i="34"/>
  <c r="P447" i="34"/>
  <c r="W447" i="34"/>
  <c r="X447" i="34"/>
  <c r="Y447" i="34"/>
  <c r="AA447" i="34"/>
  <c r="AB447" i="34"/>
  <c r="AC447" i="34"/>
  <c r="AD447" i="34"/>
  <c r="P448" i="34"/>
  <c r="T448" i="34"/>
  <c r="U448" i="34"/>
  <c r="V448" i="34"/>
  <c r="W448" i="34"/>
  <c r="X448" i="34"/>
  <c r="Y448" i="34"/>
  <c r="AA448" i="34"/>
  <c r="AB448" i="34"/>
  <c r="AC448" i="34"/>
  <c r="AD448" i="34"/>
  <c r="P449" i="34"/>
  <c r="T449" i="34"/>
  <c r="U449" i="34"/>
  <c r="V449" i="34"/>
  <c r="W449" i="34"/>
  <c r="X449" i="34"/>
  <c r="Y449" i="34"/>
  <c r="AA449" i="34"/>
  <c r="AB449" i="34"/>
  <c r="AC449" i="34"/>
  <c r="AD449" i="34"/>
  <c r="P450" i="34"/>
  <c r="W450" i="34"/>
  <c r="X450" i="34"/>
  <c r="Y450" i="34"/>
  <c r="AA450" i="34"/>
  <c r="AB450" i="34"/>
  <c r="AC450" i="34"/>
  <c r="AD450" i="34"/>
  <c r="P451" i="34"/>
  <c r="T451" i="34"/>
  <c r="U451" i="34"/>
  <c r="V451" i="34"/>
  <c r="W451" i="34"/>
  <c r="X451" i="34"/>
  <c r="Y451" i="34"/>
  <c r="AA451" i="34"/>
  <c r="AB451" i="34"/>
  <c r="AC451" i="34"/>
  <c r="AD451" i="34"/>
  <c r="P452" i="34"/>
  <c r="W452" i="34"/>
  <c r="X452" i="34"/>
  <c r="Y452" i="34"/>
  <c r="AA452" i="34"/>
  <c r="AB452" i="34"/>
  <c r="AC452" i="34"/>
  <c r="AD452" i="34"/>
  <c r="P453" i="34"/>
  <c r="W453" i="34"/>
  <c r="X453" i="34"/>
  <c r="Y453" i="34"/>
  <c r="AA453" i="34"/>
  <c r="AB453" i="34"/>
  <c r="AC453" i="34"/>
  <c r="AD453" i="34"/>
  <c r="P454" i="34"/>
  <c r="W454" i="34"/>
  <c r="X454" i="34"/>
  <c r="Y454" i="34"/>
  <c r="AA454" i="34"/>
  <c r="AB454" i="34"/>
  <c r="AC454" i="34"/>
  <c r="AD454" i="34"/>
  <c r="P455" i="34"/>
  <c r="W455" i="34"/>
  <c r="X455" i="34"/>
  <c r="Y455" i="34"/>
  <c r="AA455" i="34"/>
  <c r="AB455" i="34"/>
  <c r="AC455" i="34"/>
  <c r="AD455" i="34"/>
  <c r="P456" i="34"/>
  <c r="T456" i="34"/>
  <c r="U456" i="34"/>
  <c r="V456" i="34"/>
  <c r="W456" i="34"/>
  <c r="X456" i="34"/>
  <c r="Y456" i="34"/>
  <c r="AA456" i="34"/>
  <c r="AB456" i="34"/>
  <c r="AC456" i="34"/>
  <c r="AD456" i="34"/>
  <c r="P457" i="34"/>
  <c r="T457" i="34"/>
  <c r="U457" i="34"/>
  <c r="V457" i="34"/>
  <c r="W457" i="34"/>
  <c r="X457" i="34"/>
  <c r="Y457" i="34"/>
  <c r="AA457" i="34"/>
  <c r="AB457" i="34"/>
  <c r="AC457" i="34"/>
  <c r="AD457" i="34"/>
  <c r="P458" i="34"/>
  <c r="T458" i="34"/>
  <c r="U458" i="34"/>
  <c r="V458" i="34"/>
  <c r="W458" i="34"/>
  <c r="X458" i="34"/>
  <c r="Y458" i="34"/>
  <c r="AA458" i="34"/>
  <c r="AB458" i="34"/>
  <c r="AC458" i="34"/>
  <c r="AD458" i="34"/>
  <c r="P459" i="34"/>
  <c r="T459" i="34"/>
  <c r="U459" i="34"/>
  <c r="V459" i="34"/>
  <c r="W459" i="34"/>
  <c r="X459" i="34"/>
  <c r="Y459" i="34"/>
  <c r="AA459" i="34"/>
  <c r="AB459" i="34"/>
  <c r="AC459" i="34"/>
  <c r="AD459" i="34"/>
  <c r="P460" i="34"/>
  <c r="T460" i="34"/>
  <c r="U460" i="34"/>
  <c r="V460" i="34"/>
  <c r="W460" i="34"/>
  <c r="X460" i="34"/>
  <c r="Y460" i="34"/>
  <c r="AA460" i="34"/>
  <c r="AB460" i="34"/>
  <c r="AC460" i="34"/>
  <c r="AD460" i="34"/>
  <c r="P461" i="34"/>
  <c r="T461" i="34"/>
  <c r="U461" i="34"/>
  <c r="V461" i="34"/>
  <c r="W461" i="34"/>
  <c r="X461" i="34"/>
  <c r="Y461" i="34"/>
  <c r="AA461" i="34"/>
  <c r="AB461" i="34"/>
  <c r="AC461" i="34"/>
  <c r="AD461" i="34"/>
  <c r="P462" i="34"/>
  <c r="W462" i="34"/>
  <c r="X462" i="34"/>
  <c r="Y462" i="34"/>
  <c r="AA462" i="34"/>
  <c r="AB462" i="34"/>
  <c r="AC462" i="34"/>
  <c r="AD462" i="34"/>
  <c r="P463" i="34"/>
  <c r="T463" i="34"/>
  <c r="U463" i="34"/>
  <c r="V463" i="34"/>
  <c r="W463" i="34"/>
  <c r="X463" i="34"/>
  <c r="Y463" i="34"/>
  <c r="AA463" i="34"/>
  <c r="AB463" i="34"/>
  <c r="AC463" i="34"/>
  <c r="AD463" i="34"/>
  <c r="P464" i="34"/>
  <c r="T464" i="34"/>
  <c r="U464" i="34"/>
  <c r="V464" i="34"/>
  <c r="W464" i="34"/>
  <c r="X464" i="34"/>
  <c r="Y464" i="34"/>
  <c r="AA464" i="34"/>
  <c r="AB464" i="34"/>
  <c r="AC464" i="34"/>
  <c r="AD464" i="34"/>
  <c r="P465" i="34"/>
  <c r="T465" i="34"/>
  <c r="U465" i="34"/>
  <c r="V465" i="34"/>
  <c r="W465" i="34"/>
  <c r="X465" i="34"/>
  <c r="Y465" i="34"/>
  <c r="AA465" i="34"/>
  <c r="AB465" i="34"/>
  <c r="AC465" i="34"/>
  <c r="AD465" i="34"/>
  <c r="P466" i="34"/>
  <c r="T466" i="34"/>
  <c r="U466" i="34"/>
  <c r="V466" i="34"/>
  <c r="W466" i="34"/>
  <c r="X466" i="34"/>
  <c r="Y466" i="34"/>
  <c r="AA466" i="34"/>
  <c r="AB466" i="34"/>
  <c r="AC466" i="34"/>
  <c r="AD466" i="34"/>
  <c r="P467" i="34"/>
  <c r="T467" i="34"/>
  <c r="U467" i="34"/>
  <c r="V467" i="34"/>
  <c r="W467" i="34"/>
  <c r="X467" i="34"/>
  <c r="Y467" i="34"/>
  <c r="AA467" i="34"/>
  <c r="AB467" i="34"/>
  <c r="AC467" i="34"/>
  <c r="AD467" i="34"/>
  <c r="P468" i="34"/>
  <c r="T468" i="34"/>
  <c r="U468" i="34"/>
  <c r="V468" i="34"/>
  <c r="W468" i="34"/>
  <c r="X468" i="34"/>
  <c r="Y468" i="34"/>
  <c r="AA468" i="34"/>
  <c r="AB468" i="34"/>
  <c r="AC468" i="34"/>
  <c r="AD468" i="34"/>
  <c r="P469" i="34"/>
  <c r="T469" i="34"/>
  <c r="U469" i="34"/>
  <c r="V469" i="34"/>
  <c r="W469" i="34"/>
  <c r="X469" i="34"/>
  <c r="Y469" i="34"/>
  <c r="AA469" i="34"/>
  <c r="AB469" i="34"/>
  <c r="AC469" i="34"/>
  <c r="AD469" i="34"/>
  <c r="P470" i="34"/>
  <c r="T470" i="34"/>
  <c r="U470" i="34"/>
  <c r="V470" i="34"/>
  <c r="W470" i="34"/>
  <c r="X470" i="34"/>
  <c r="Y470" i="34"/>
  <c r="AA470" i="34"/>
  <c r="AB470" i="34"/>
  <c r="AC470" i="34"/>
  <c r="AD470" i="34"/>
  <c r="P471" i="34"/>
  <c r="T471" i="34"/>
  <c r="U471" i="34"/>
  <c r="V471" i="34"/>
  <c r="W471" i="34"/>
  <c r="X471" i="34"/>
  <c r="Y471" i="34"/>
  <c r="AA471" i="34"/>
  <c r="AB471" i="34"/>
  <c r="AC471" i="34"/>
  <c r="AD471" i="34"/>
  <c r="P472" i="34"/>
  <c r="T472" i="34"/>
  <c r="U472" i="34"/>
  <c r="V472" i="34"/>
  <c r="W472" i="34"/>
  <c r="X472" i="34"/>
  <c r="Y472" i="34"/>
  <c r="AA472" i="34"/>
  <c r="AB472" i="34"/>
  <c r="AC472" i="34"/>
  <c r="AD472" i="34"/>
  <c r="P473" i="34"/>
  <c r="T473" i="34"/>
  <c r="U473" i="34"/>
  <c r="V473" i="34"/>
  <c r="W473" i="34"/>
  <c r="X473" i="34"/>
  <c r="Y473" i="34"/>
  <c r="AA473" i="34"/>
  <c r="AB473" i="34"/>
  <c r="AC473" i="34"/>
  <c r="AD473" i="34"/>
  <c r="P474" i="34"/>
  <c r="T474" i="34"/>
  <c r="U474" i="34"/>
  <c r="V474" i="34"/>
  <c r="W474" i="34"/>
  <c r="X474" i="34"/>
  <c r="Y474" i="34"/>
  <c r="AA474" i="34"/>
  <c r="AB474" i="34"/>
  <c r="AC474" i="34"/>
  <c r="AD474" i="34"/>
  <c r="P475" i="34"/>
  <c r="T475" i="34"/>
  <c r="U475" i="34"/>
  <c r="V475" i="34"/>
  <c r="W475" i="34"/>
  <c r="X475" i="34"/>
  <c r="Y475" i="34"/>
  <c r="AA475" i="34"/>
  <c r="AB475" i="34"/>
  <c r="AC475" i="34"/>
  <c r="AD475" i="34"/>
  <c r="P476" i="34"/>
  <c r="T476" i="34"/>
  <c r="U476" i="34"/>
  <c r="V476" i="34"/>
  <c r="W476" i="34"/>
  <c r="X476" i="34"/>
  <c r="Y476" i="34"/>
  <c r="AA476" i="34"/>
  <c r="AB476" i="34"/>
  <c r="AC476" i="34"/>
  <c r="AD476" i="34"/>
  <c r="P477" i="34"/>
  <c r="T477" i="34"/>
  <c r="U477" i="34"/>
  <c r="V477" i="34"/>
  <c r="W477" i="34"/>
  <c r="X477" i="34"/>
  <c r="Y477" i="34"/>
  <c r="AA477" i="34"/>
  <c r="AB477" i="34"/>
  <c r="AC477" i="34"/>
  <c r="AD477" i="34"/>
  <c r="P478" i="34"/>
  <c r="T478" i="34"/>
  <c r="U478" i="34"/>
  <c r="V478" i="34"/>
  <c r="W478" i="34"/>
  <c r="X478" i="34"/>
  <c r="Y478" i="34"/>
  <c r="AA478" i="34"/>
  <c r="AB478" i="34"/>
  <c r="AC478" i="34"/>
  <c r="AD478" i="34"/>
  <c r="P479" i="34"/>
  <c r="T479" i="34"/>
  <c r="U479" i="34"/>
  <c r="V479" i="34"/>
  <c r="W479" i="34"/>
  <c r="X479" i="34"/>
  <c r="Y479" i="34"/>
  <c r="AA479" i="34"/>
  <c r="AB479" i="34"/>
  <c r="AC479" i="34"/>
  <c r="AD479" i="34"/>
  <c r="P480" i="34"/>
  <c r="T480" i="34"/>
  <c r="U480" i="34"/>
  <c r="V480" i="34"/>
  <c r="W480" i="34"/>
  <c r="X480" i="34"/>
  <c r="Y480" i="34"/>
  <c r="AA480" i="34"/>
  <c r="AB480" i="34"/>
  <c r="AC480" i="34"/>
  <c r="AD480" i="34"/>
  <c r="P481" i="34"/>
  <c r="T481" i="34"/>
  <c r="U481" i="34"/>
  <c r="V481" i="34"/>
  <c r="W481" i="34"/>
  <c r="X481" i="34"/>
  <c r="Y481" i="34"/>
  <c r="AA481" i="34"/>
  <c r="AB481" i="34"/>
  <c r="AC481" i="34"/>
  <c r="AD481" i="34"/>
  <c r="P482" i="34"/>
  <c r="T482" i="34"/>
  <c r="U482" i="34"/>
  <c r="V482" i="34"/>
  <c r="W482" i="34"/>
  <c r="X482" i="34"/>
  <c r="Y482" i="34"/>
  <c r="AA482" i="34"/>
  <c r="AB482" i="34"/>
  <c r="AC482" i="34"/>
  <c r="AD482" i="34"/>
  <c r="P483" i="34"/>
  <c r="T483" i="34"/>
  <c r="U483" i="34"/>
  <c r="V483" i="34"/>
  <c r="W483" i="34"/>
  <c r="X483" i="34"/>
  <c r="Y483" i="34"/>
  <c r="AA483" i="34"/>
  <c r="AB483" i="34"/>
  <c r="AC483" i="34"/>
  <c r="AD483" i="34"/>
  <c r="P484" i="34"/>
  <c r="T484" i="34"/>
  <c r="U484" i="34"/>
  <c r="V484" i="34"/>
  <c r="W484" i="34"/>
  <c r="X484" i="34"/>
  <c r="Y484" i="34"/>
  <c r="AA484" i="34"/>
  <c r="AB484" i="34"/>
  <c r="AC484" i="34"/>
  <c r="AD484" i="34"/>
  <c r="P485" i="34"/>
  <c r="T485" i="34"/>
  <c r="U485" i="34"/>
  <c r="V485" i="34"/>
  <c r="W485" i="34"/>
  <c r="X485" i="34"/>
  <c r="Y485" i="34"/>
  <c r="AA485" i="34"/>
  <c r="AB485" i="34"/>
  <c r="AC485" i="34"/>
  <c r="AD485" i="34"/>
  <c r="P486" i="34"/>
  <c r="T486" i="34"/>
  <c r="U486" i="34"/>
  <c r="V486" i="34"/>
  <c r="W486" i="34"/>
  <c r="X486" i="34"/>
  <c r="Y486" i="34"/>
  <c r="AA486" i="34"/>
  <c r="AB486" i="34"/>
  <c r="AC486" i="34"/>
  <c r="AD486" i="34"/>
  <c r="P487" i="34"/>
  <c r="T487" i="34"/>
  <c r="U487" i="34"/>
  <c r="V487" i="34"/>
  <c r="W487" i="34"/>
  <c r="X487" i="34"/>
  <c r="Y487" i="34"/>
  <c r="AA487" i="34"/>
  <c r="AB487" i="34"/>
  <c r="AC487" i="34"/>
  <c r="AD487" i="34"/>
  <c r="P488" i="34"/>
  <c r="T488" i="34"/>
  <c r="U488" i="34"/>
  <c r="V488" i="34"/>
  <c r="W488" i="34"/>
  <c r="X488" i="34"/>
  <c r="Y488" i="34"/>
  <c r="AA488" i="34"/>
  <c r="AB488" i="34"/>
  <c r="AC488" i="34"/>
  <c r="AD488" i="34"/>
  <c r="P489" i="34"/>
  <c r="T489" i="34"/>
  <c r="U489" i="34"/>
  <c r="V489" i="34"/>
  <c r="W489" i="34"/>
  <c r="X489" i="34"/>
  <c r="Y489" i="34"/>
  <c r="AA489" i="34"/>
  <c r="AB489" i="34"/>
  <c r="AC489" i="34"/>
  <c r="AD489" i="34"/>
  <c r="P490" i="34"/>
  <c r="T490" i="34"/>
  <c r="U490" i="34"/>
  <c r="V490" i="34"/>
  <c r="W490" i="34"/>
  <c r="X490" i="34"/>
  <c r="Y490" i="34"/>
  <c r="AA490" i="34"/>
  <c r="AB490" i="34"/>
  <c r="AC490" i="34"/>
  <c r="AD490" i="34"/>
  <c r="P491" i="34"/>
  <c r="T491" i="34"/>
  <c r="U491" i="34"/>
  <c r="V491" i="34"/>
  <c r="W491" i="34"/>
  <c r="X491" i="34"/>
  <c r="Y491" i="34"/>
  <c r="AA491" i="34"/>
  <c r="AB491" i="34"/>
  <c r="AC491" i="34"/>
  <c r="AD491" i="34"/>
  <c r="P492" i="34"/>
  <c r="T492" i="34"/>
  <c r="U492" i="34"/>
  <c r="V492" i="34"/>
  <c r="W492" i="34"/>
  <c r="X492" i="34"/>
  <c r="Y492" i="34"/>
  <c r="AA492" i="34"/>
  <c r="AB492" i="34"/>
  <c r="AC492" i="34"/>
  <c r="AD492" i="34"/>
  <c r="P493" i="34"/>
  <c r="T493" i="34"/>
  <c r="U493" i="34"/>
  <c r="V493" i="34"/>
  <c r="W493" i="34"/>
  <c r="X493" i="34"/>
  <c r="Y493" i="34"/>
  <c r="AA493" i="34"/>
  <c r="AB493" i="34"/>
  <c r="AC493" i="34"/>
  <c r="AD493" i="34"/>
  <c r="P494" i="34"/>
  <c r="T494" i="34"/>
  <c r="U494" i="34"/>
  <c r="V494" i="34"/>
  <c r="W494" i="34"/>
  <c r="X494" i="34"/>
  <c r="Y494" i="34"/>
  <c r="AA494" i="34"/>
  <c r="AB494" i="34"/>
  <c r="AC494" i="34"/>
  <c r="AD494" i="34"/>
  <c r="P495" i="34"/>
  <c r="T495" i="34"/>
  <c r="U495" i="34"/>
  <c r="V495" i="34"/>
  <c r="W495" i="34"/>
  <c r="X495" i="34"/>
  <c r="Y495" i="34"/>
  <c r="AA495" i="34"/>
  <c r="AB495" i="34"/>
  <c r="AC495" i="34"/>
  <c r="AD495" i="34"/>
  <c r="P496" i="34"/>
  <c r="T496" i="34"/>
  <c r="U496" i="34"/>
  <c r="V496" i="34"/>
  <c r="W496" i="34"/>
  <c r="X496" i="34"/>
  <c r="Y496" i="34"/>
  <c r="AA496" i="34"/>
  <c r="AB496" i="34"/>
  <c r="AC496" i="34"/>
  <c r="AD496" i="34"/>
  <c r="P497" i="34"/>
  <c r="T497" i="34"/>
  <c r="U497" i="34"/>
  <c r="V497" i="34"/>
  <c r="W497" i="34"/>
  <c r="X497" i="34"/>
  <c r="Y497" i="34"/>
  <c r="AA497" i="34"/>
  <c r="AB497" i="34"/>
  <c r="AC497" i="34"/>
  <c r="AD497" i="34"/>
  <c r="P498" i="34"/>
  <c r="T498" i="34"/>
  <c r="U498" i="34"/>
  <c r="V498" i="34"/>
  <c r="W498" i="34"/>
  <c r="X498" i="34"/>
  <c r="Y498" i="34"/>
  <c r="AA498" i="34"/>
  <c r="AB498" i="34"/>
  <c r="AC498" i="34"/>
  <c r="AD498" i="34"/>
  <c r="P499" i="34"/>
  <c r="T499" i="34"/>
  <c r="U499" i="34"/>
  <c r="V499" i="34"/>
  <c r="W499" i="34"/>
  <c r="X499" i="34"/>
  <c r="Y499" i="34"/>
  <c r="AA499" i="34"/>
  <c r="AB499" i="34"/>
  <c r="AC499" i="34"/>
  <c r="AD499" i="34"/>
  <c r="P500" i="34"/>
  <c r="T500" i="34"/>
  <c r="U500" i="34"/>
  <c r="V500" i="34"/>
  <c r="W500" i="34"/>
  <c r="X500" i="34"/>
  <c r="Y500" i="34"/>
  <c r="AA500" i="34"/>
  <c r="AB500" i="34"/>
  <c r="AC500" i="34"/>
  <c r="AD500" i="34"/>
  <c r="P501" i="34"/>
  <c r="T501" i="34"/>
  <c r="U501" i="34"/>
  <c r="V501" i="34"/>
  <c r="W501" i="34"/>
  <c r="X501" i="34"/>
  <c r="Y501" i="34"/>
  <c r="AA501" i="34"/>
  <c r="AB501" i="34"/>
  <c r="AC501" i="34"/>
  <c r="AD501" i="34"/>
  <c r="P502" i="34"/>
  <c r="T502" i="34"/>
  <c r="U502" i="34"/>
  <c r="V502" i="34"/>
  <c r="W502" i="34"/>
  <c r="X502" i="34"/>
  <c r="Y502" i="34"/>
  <c r="AA502" i="34"/>
  <c r="AB502" i="34"/>
  <c r="AC502" i="34"/>
  <c r="AD502" i="34"/>
  <c r="P503" i="34"/>
  <c r="T503" i="34"/>
  <c r="U503" i="34"/>
  <c r="V503" i="34"/>
  <c r="W503" i="34"/>
  <c r="X503" i="34"/>
  <c r="Y503" i="34"/>
  <c r="AA503" i="34"/>
  <c r="AB503" i="34"/>
  <c r="AC503" i="34"/>
  <c r="AD503" i="34"/>
  <c r="P504" i="34"/>
  <c r="T504" i="34"/>
  <c r="U504" i="34"/>
  <c r="V504" i="34"/>
  <c r="W504" i="34"/>
  <c r="X504" i="34"/>
  <c r="Y504" i="34"/>
  <c r="AA504" i="34"/>
  <c r="AB504" i="34"/>
  <c r="AC504" i="34"/>
  <c r="AD504" i="34"/>
  <c r="P505" i="34"/>
  <c r="T505" i="34"/>
  <c r="U505" i="34"/>
  <c r="V505" i="34"/>
  <c r="W505" i="34"/>
  <c r="X505" i="34"/>
  <c r="Y505" i="34"/>
  <c r="AA505" i="34"/>
  <c r="AB505" i="34"/>
  <c r="AC505" i="34"/>
  <c r="AD505" i="34"/>
  <c r="P506" i="34"/>
  <c r="T506" i="34"/>
  <c r="U506" i="34"/>
  <c r="V506" i="34"/>
  <c r="W506" i="34"/>
  <c r="X506" i="34"/>
  <c r="Y506" i="34"/>
  <c r="AA506" i="34"/>
  <c r="AB506" i="34"/>
  <c r="AC506" i="34"/>
  <c r="AD506" i="34"/>
  <c r="P507" i="34"/>
  <c r="T507" i="34"/>
  <c r="U507" i="34"/>
  <c r="V507" i="34"/>
  <c r="W507" i="34"/>
  <c r="X507" i="34"/>
  <c r="Y507" i="34"/>
  <c r="AA507" i="34"/>
  <c r="AB507" i="34"/>
  <c r="AC507" i="34"/>
  <c r="AD507" i="34"/>
  <c r="P508" i="34"/>
  <c r="T508" i="34"/>
  <c r="U508" i="34"/>
  <c r="V508" i="34"/>
  <c r="W508" i="34"/>
  <c r="X508" i="34"/>
  <c r="Y508" i="34"/>
  <c r="AA508" i="34"/>
  <c r="AB508" i="34"/>
  <c r="AC508" i="34"/>
  <c r="AD508" i="34"/>
  <c r="P509" i="34"/>
  <c r="T509" i="34"/>
  <c r="U509" i="34"/>
  <c r="V509" i="34"/>
  <c r="W509" i="34"/>
  <c r="X509" i="34"/>
  <c r="Y509" i="34"/>
  <c r="AA509" i="34"/>
  <c r="AB509" i="34"/>
  <c r="AC509" i="34"/>
  <c r="AD509" i="34"/>
  <c r="P510" i="34"/>
  <c r="T510" i="34"/>
  <c r="U510" i="34"/>
  <c r="V510" i="34"/>
  <c r="W510" i="34"/>
  <c r="X510" i="34"/>
  <c r="Y510" i="34"/>
  <c r="AA510" i="34"/>
  <c r="AB510" i="34"/>
  <c r="AC510" i="34"/>
  <c r="AD510" i="34"/>
  <c r="P511" i="34"/>
  <c r="T511" i="34"/>
  <c r="U511" i="34"/>
  <c r="V511" i="34"/>
  <c r="W511" i="34"/>
  <c r="X511" i="34"/>
  <c r="Y511" i="34"/>
  <c r="AA511" i="34"/>
  <c r="AB511" i="34"/>
  <c r="AC511" i="34"/>
  <c r="AD511" i="34"/>
  <c r="P512" i="34"/>
  <c r="T512" i="34"/>
  <c r="U512" i="34"/>
  <c r="V512" i="34"/>
  <c r="W512" i="34"/>
  <c r="X512" i="34"/>
  <c r="Y512" i="34"/>
  <c r="AA512" i="34"/>
  <c r="AB512" i="34"/>
  <c r="AC512" i="34"/>
  <c r="AD512" i="34"/>
  <c r="P513" i="34"/>
  <c r="T513" i="34"/>
  <c r="U513" i="34"/>
  <c r="V513" i="34"/>
  <c r="W513" i="34"/>
  <c r="X513" i="34"/>
  <c r="Y513" i="34"/>
  <c r="AA513" i="34"/>
  <c r="AB513" i="34"/>
  <c r="AC513" i="34"/>
  <c r="AD513" i="34"/>
  <c r="P514" i="34"/>
  <c r="T514" i="34"/>
  <c r="U514" i="34"/>
  <c r="V514" i="34"/>
  <c r="W514" i="34"/>
  <c r="X514" i="34"/>
  <c r="Y514" i="34"/>
  <c r="AA514" i="34"/>
  <c r="AB514" i="34"/>
  <c r="AC514" i="34"/>
  <c r="AD514" i="34"/>
  <c r="P515" i="34"/>
  <c r="T515" i="34"/>
  <c r="U515" i="34"/>
  <c r="V515" i="34"/>
  <c r="W515" i="34"/>
  <c r="X515" i="34"/>
  <c r="Y515" i="34"/>
  <c r="AA515" i="34"/>
  <c r="AB515" i="34"/>
  <c r="AC515" i="34"/>
  <c r="AD515" i="34"/>
  <c r="P516" i="34"/>
  <c r="T516" i="34"/>
  <c r="U516" i="34"/>
  <c r="V516" i="34"/>
  <c r="W516" i="34"/>
  <c r="X516" i="34"/>
  <c r="Y516" i="34"/>
  <c r="AA516" i="34"/>
  <c r="AB516" i="34"/>
  <c r="AC516" i="34"/>
  <c r="AD516" i="34"/>
  <c r="P517" i="34"/>
  <c r="T517" i="34"/>
  <c r="U517" i="34"/>
  <c r="V517" i="34"/>
  <c r="W517" i="34"/>
  <c r="X517" i="34"/>
  <c r="Y517" i="34"/>
  <c r="AA517" i="34"/>
  <c r="AB517" i="34"/>
  <c r="AC517" i="34"/>
  <c r="AD517" i="34"/>
  <c r="P518" i="34"/>
  <c r="T518" i="34"/>
  <c r="U518" i="34"/>
  <c r="V518" i="34"/>
  <c r="W518" i="34"/>
  <c r="X518" i="34"/>
  <c r="Y518" i="34"/>
  <c r="AA518" i="34"/>
  <c r="AB518" i="34"/>
  <c r="AC518" i="34"/>
  <c r="AD518" i="34"/>
  <c r="P519" i="34"/>
  <c r="T519" i="34"/>
  <c r="U519" i="34"/>
  <c r="V519" i="34"/>
  <c r="W519" i="34"/>
  <c r="X519" i="34"/>
  <c r="Y519" i="34"/>
  <c r="AA519" i="34"/>
  <c r="AB519" i="34"/>
  <c r="AC519" i="34"/>
  <c r="AD519" i="34"/>
  <c r="P520" i="34"/>
  <c r="T520" i="34"/>
  <c r="U520" i="34"/>
  <c r="V520" i="34"/>
  <c r="W520" i="34"/>
  <c r="X520" i="34"/>
  <c r="Y520" i="34"/>
  <c r="AA520" i="34"/>
  <c r="AB520" i="34"/>
  <c r="AC520" i="34"/>
  <c r="AD520" i="34"/>
  <c r="P521" i="34"/>
  <c r="T521" i="34"/>
  <c r="U521" i="34"/>
  <c r="V521" i="34"/>
  <c r="W521" i="34"/>
  <c r="X521" i="34"/>
  <c r="Y521" i="34"/>
  <c r="AA521" i="34"/>
  <c r="AB521" i="34"/>
  <c r="AC521" i="34"/>
  <c r="AD521" i="34"/>
  <c r="P522" i="34"/>
  <c r="T522" i="34"/>
  <c r="U522" i="34"/>
  <c r="V522" i="34"/>
  <c r="W522" i="34"/>
  <c r="X522" i="34"/>
  <c r="Y522" i="34"/>
  <c r="AA522" i="34"/>
  <c r="AB522" i="34"/>
  <c r="AC522" i="34"/>
  <c r="AD522" i="34"/>
  <c r="P523" i="34"/>
  <c r="T523" i="34"/>
  <c r="U523" i="34"/>
  <c r="V523" i="34"/>
  <c r="W523" i="34"/>
  <c r="X523" i="34"/>
  <c r="Y523" i="34"/>
  <c r="AA523" i="34"/>
  <c r="AB523" i="34"/>
  <c r="AC523" i="34"/>
  <c r="AD523" i="34"/>
  <c r="P524" i="34"/>
  <c r="T524" i="34"/>
  <c r="U524" i="34"/>
  <c r="V524" i="34"/>
  <c r="W524" i="34"/>
  <c r="X524" i="34"/>
  <c r="Y524" i="34"/>
  <c r="AA524" i="34"/>
  <c r="AB524" i="34"/>
  <c r="AC524" i="34"/>
  <c r="AD524" i="34"/>
  <c r="P525" i="34"/>
  <c r="T525" i="34"/>
  <c r="U525" i="34"/>
  <c r="V525" i="34"/>
  <c r="W525" i="34"/>
  <c r="X525" i="34"/>
  <c r="Y525" i="34"/>
  <c r="AA525" i="34"/>
  <c r="AB525" i="34"/>
  <c r="AC525" i="34"/>
  <c r="AD525" i="34"/>
  <c r="P526" i="34"/>
  <c r="T526" i="34"/>
  <c r="U526" i="34"/>
  <c r="V526" i="34"/>
  <c r="W526" i="34"/>
  <c r="X526" i="34"/>
  <c r="Y526" i="34"/>
  <c r="AA526" i="34"/>
  <c r="AB526" i="34"/>
  <c r="AC526" i="34"/>
  <c r="AD526" i="34"/>
  <c r="P527" i="34"/>
  <c r="T527" i="34"/>
  <c r="U527" i="34"/>
  <c r="V527" i="34"/>
  <c r="W527" i="34"/>
  <c r="X527" i="34"/>
  <c r="Y527" i="34"/>
  <c r="AA527" i="34"/>
  <c r="AB527" i="34"/>
  <c r="AC527" i="34"/>
  <c r="AD527" i="34"/>
  <c r="P528" i="34"/>
  <c r="T528" i="34"/>
  <c r="U528" i="34"/>
  <c r="V528" i="34"/>
  <c r="W528" i="34"/>
  <c r="X528" i="34"/>
  <c r="Y528" i="34"/>
  <c r="AA528" i="34"/>
  <c r="AB528" i="34"/>
  <c r="AC528" i="34"/>
  <c r="AD528" i="34"/>
  <c r="P529" i="34"/>
  <c r="T529" i="34"/>
  <c r="U529" i="34"/>
  <c r="V529" i="34"/>
  <c r="W529" i="34"/>
  <c r="X529" i="34"/>
  <c r="Y529" i="34"/>
  <c r="AA529" i="34"/>
  <c r="AB529" i="34"/>
  <c r="AC529" i="34"/>
  <c r="AD529" i="34"/>
  <c r="P530" i="34"/>
  <c r="T530" i="34"/>
  <c r="U530" i="34"/>
  <c r="V530" i="34"/>
  <c r="W530" i="34"/>
  <c r="X530" i="34"/>
  <c r="Y530" i="34"/>
  <c r="AA530" i="34"/>
  <c r="AB530" i="34"/>
  <c r="AC530" i="34"/>
  <c r="AD530" i="34"/>
  <c r="P531" i="34"/>
  <c r="T531" i="34"/>
  <c r="U531" i="34"/>
  <c r="V531" i="34"/>
  <c r="W531" i="34"/>
  <c r="X531" i="34"/>
  <c r="Y531" i="34"/>
  <c r="AA531" i="34"/>
  <c r="AB531" i="34"/>
  <c r="AC531" i="34"/>
  <c r="AD531" i="34"/>
  <c r="P532" i="34"/>
  <c r="T532" i="34"/>
  <c r="U532" i="34"/>
  <c r="V532" i="34"/>
  <c r="W532" i="34"/>
  <c r="X532" i="34"/>
  <c r="Y532" i="34"/>
  <c r="AA532" i="34"/>
  <c r="AB532" i="34"/>
  <c r="AC532" i="34"/>
  <c r="AD532" i="34"/>
  <c r="P533" i="34"/>
  <c r="T533" i="34"/>
  <c r="U533" i="34"/>
  <c r="V533" i="34"/>
  <c r="W533" i="34"/>
  <c r="X533" i="34"/>
  <c r="Y533" i="34"/>
  <c r="AA533" i="34"/>
  <c r="AB533" i="34"/>
  <c r="AC533" i="34"/>
  <c r="AD533" i="34"/>
  <c r="P534" i="34"/>
  <c r="T534" i="34"/>
  <c r="U534" i="34"/>
  <c r="V534" i="34"/>
  <c r="W534" i="34"/>
  <c r="X534" i="34"/>
  <c r="Y534" i="34"/>
  <c r="AA534" i="34"/>
  <c r="AB534" i="34"/>
  <c r="AC534" i="34"/>
  <c r="AD534" i="34"/>
  <c r="P535" i="34"/>
  <c r="T535" i="34"/>
  <c r="U535" i="34"/>
  <c r="V535" i="34"/>
  <c r="W535" i="34"/>
  <c r="X535" i="34"/>
  <c r="Y535" i="34"/>
  <c r="AA535" i="34"/>
  <c r="AB535" i="34"/>
  <c r="AC535" i="34"/>
  <c r="AD535" i="34"/>
  <c r="P536" i="34"/>
  <c r="T536" i="34"/>
  <c r="U536" i="34"/>
  <c r="V536" i="34"/>
  <c r="W536" i="34"/>
  <c r="X536" i="34"/>
  <c r="Y536" i="34"/>
  <c r="AA536" i="34"/>
  <c r="AB536" i="34"/>
  <c r="AC536" i="34"/>
  <c r="AD536" i="34"/>
  <c r="P537" i="34"/>
  <c r="T537" i="34"/>
  <c r="U537" i="34"/>
  <c r="V537" i="34"/>
  <c r="W537" i="34"/>
  <c r="X537" i="34"/>
  <c r="Y537" i="34"/>
  <c r="AA537" i="34"/>
  <c r="AB537" i="34"/>
  <c r="AC537" i="34"/>
  <c r="AD537" i="34"/>
  <c r="P538" i="34"/>
  <c r="T538" i="34"/>
  <c r="U538" i="34"/>
  <c r="V538" i="34"/>
  <c r="W538" i="34"/>
  <c r="X538" i="34"/>
  <c r="Y538" i="34"/>
  <c r="AA538" i="34"/>
  <c r="AB538" i="34"/>
  <c r="AC538" i="34"/>
  <c r="AD538" i="34"/>
  <c r="P539" i="34"/>
  <c r="T539" i="34"/>
  <c r="U539" i="34"/>
  <c r="V539" i="34"/>
  <c r="W539" i="34"/>
  <c r="X539" i="34"/>
  <c r="Y539" i="34"/>
  <c r="AA539" i="34"/>
  <c r="AB539" i="34"/>
  <c r="AC539" i="34"/>
  <c r="AD539" i="34"/>
  <c r="P540" i="34"/>
  <c r="T540" i="34"/>
  <c r="U540" i="34"/>
  <c r="V540" i="34"/>
  <c r="W540" i="34"/>
  <c r="X540" i="34"/>
  <c r="Y540" i="34"/>
  <c r="AA540" i="34"/>
  <c r="AB540" i="34"/>
  <c r="AC540" i="34"/>
  <c r="AD540" i="34"/>
  <c r="P541" i="34"/>
  <c r="T541" i="34"/>
  <c r="U541" i="34"/>
  <c r="V541" i="34"/>
  <c r="W541" i="34"/>
  <c r="X541" i="34"/>
  <c r="Y541" i="34"/>
  <c r="AA541" i="34"/>
  <c r="AB541" i="34"/>
  <c r="AC541" i="34"/>
  <c r="AD541" i="34"/>
  <c r="P542" i="34"/>
  <c r="T542" i="34"/>
  <c r="U542" i="34"/>
  <c r="V542" i="34"/>
  <c r="W542" i="34"/>
  <c r="X542" i="34"/>
  <c r="Y542" i="34"/>
  <c r="AA542" i="34"/>
  <c r="AB542" i="34"/>
  <c r="AC542" i="34"/>
  <c r="AD542" i="34"/>
  <c r="P543" i="34"/>
  <c r="T543" i="34"/>
  <c r="U543" i="34"/>
  <c r="V543" i="34"/>
  <c r="W543" i="34"/>
  <c r="X543" i="34"/>
  <c r="Y543" i="34"/>
  <c r="AA543" i="34"/>
  <c r="AB543" i="34"/>
  <c r="AC543" i="34"/>
  <c r="AD543" i="34"/>
  <c r="P544" i="34"/>
  <c r="T544" i="34"/>
  <c r="U544" i="34"/>
  <c r="V544" i="34"/>
  <c r="W544" i="34"/>
  <c r="X544" i="34"/>
  <c r="Y544" i="34"/>
  <c r="AA544" i="34"/>
  <c r="AB544" i="34"/>
  <c r="AC544" i="34"/>
  <c r="AD544" i="34"/>
  <c r="P545" i="34"/>
  <c r="T545" i="34"/>
  <c r="U545" i="34"/>
  <c r="V545" i="34"/>
  <c r="W545" i="34"/>
  <c r="X545" i="34"/>
  <c r="Y545" i="34"/>
  <c r="AA545" i="34"/>
  <c r="AB545" i="34"/>
  <c r="AC545" i="34"/>
  <c r="AD545" i="34"/>
  <c r="P546" i="34"/>
  <c r="T546" i="34"/>
  <c r="U546" i="34"/>
  <c r="V546" i="34"/>
  <c r="W546" i="34"/>
  <c r="X546" i="34"/>
  <c r="Y546" i="34"/>
  <c r="AA546" i="34"/>
  <c r="AB546" i="34"/>
  <c r="AC546" i="34"/>
  <c r="AD546" i="34"/>
  <c r="P547" i="34"/>
  <c r="T547" i="34"/>
  <c r="U547" i="34"/>
  <c r="V547" i="34"/>
  <c r="W547" i="34"/>
  <c r="X547" i="34"/>
  <c r="Y547" i="34"/>
  <c r="AA547" i="34"/>
  <c r="AB547" i="34"/>
  <c r="AC547" i="34"/>
  <c r="AD547" i="34"/>
  <c r="P548" i="34"/>
  <c r="T548" i="34"/>
  <c r="U548" i="34"/>
  <c r="V548" i="34"/>
  <c r="W548" i="34"/>
  <c r="X548" i="34"/>
  <c r="Y548" i="34"/>
  <c r="AA548" i="34"/>
  <c r="AB548" i="34"/>
  <c r="AC548" i="34"/>
  <c r="AD548" i="34"/>
  <c r="P549" i="34"/>
  <c r="T549" i="34"/>
  <c r="U549" i="34"/>
  <c r="V549" i="34"/>
  <c r="W549" i="34"/>
  <c r="X549" i="34"/>
  <c r="Y549" i="34"/>
  <c r="AA549" i="34"/>
  <c r="AB549" i="34"/>
  <c r="AC549" i="34"/>
  <c r="AD549" i="34"/>
  <c r="P550" i="34"/>
  <c r="T550" i="34"/>
  <c r="U550" i="34"/>
  <c r="V550" i="34"/>
  <c r="W550" i="34"/>
  <c r="X550" i="34"/>
  <c r="Y550" i="34"/>
  <c r="AA550" i="34"/>
  <c r="AB550" i="34"/>
  <c r="AC550" i="34"/>
  <c r="AD550" i="34"/>
  <c r="P551" i="34"/>
  <c r="T551" i="34"/>
  <c r="U551" i="34"/>
  <c r="V551" i="34"/>
  <c r="W551" i="34"/>
  <c r="X551" i="34"/>
  <c r="Y551" i="34"/>
  <c r="AA551" i="34"/>
  <c r="AB551" i="34"/>
  <c r="AC551" i="34"/>
  <c r="AD551" i="34"/>
  <c r="P552" i="34"/>
  <c r="W552" i="34"/>
  <c r="X552" i="34"/>
  <c r="Y552" i="34"/>
  <c r="AA552" i="34"/>
  <c r="AB552" i="34"/>
  <c r="AC552" i="34"/>
  <c r="AD552" i="34"/>
  <c r="P553" i="34"/>
  <c r="W553" i="34"/>
  <c r="X553" i="34"/>
  <c r="Y553" i="34"/>
  <c r="AA553" i="34"/>
  <c r="AB553" i="34"/>
  <c r="AC553" i="34"/>
  <c r="AD553" i="34"/>
  <c r="P554" i="34"/>
  <c r="T554" i="34"/>
  <c r="U554" i="34"/>
  <c r="V554" i="34"/>
  <c r="W554" i="34"/>
  <c r="X554" i="34"/>
  <c r="Y554" i="34"/>
  <c r="AA554" i="34"/>
  <c r="AB554" i="34"/>
  <c r="AC554" i="34"/>
  <c r="P555" i="34"/>
  <c r="W555" i="34"/>
  <c r="X555" i="34"/>
  <c r="Y555" i="34"/>
  <c r="AA555" i="34"/>
  <c r="AB555" i="34"/>
  <c r="AC555" i="34"/>
  <c r="AD555" i="34"/>
  <c r="P556" i="34"/>
  <c r="W556" i="34"/>
  <c r="X556" i="34"/>
  <c r="Y556" i="34"/>
  <c r="AA556" i="34"/>
  <c r="AB556" i="34"/>
  <c r="AC556" i="34"/>
  <c r="AD556" i="34"/>
  <c r="P557" i="34"/>
  <c r="W557" i="34"/>
  <c r="X557" i="34"/>
  <c r="Y557" i="34"/>
  <c r="AA557" i="34"/>
  <c r="AB557" i="34"/>
  <c r="AC557" i="34"/>
  <c r="AD557" i="34"/>
  <c r="P558" i="34"/>
  <c r="W558" i="34"/>
  <c r="X558" i="34"/>
  <c r="Y558" i="34"/>
  <c r="AA558" i="34"/>
  <c r="AB558" i="34"/>
  <c r="AC558" i="34"/>
  <c r="AD558" i="34"/>
  <c r="P559" i="34"/>
  <c r="W559" i="34"/>
  <c r="X559" i="34"/>
  <c r="Y559" i="34"/>
  <c r="AA559" i="34"/>
  <c r="AB559" i="34"/>
  <c r="AC559" i="34"/>
  <c r="AD559" i="34"/>
  <c r="P560" i="34"/>
  <c r="W560" i="34"/>
  <c r="X560" i="34"/>
  <c r="Y560" i="34"/>
  <c r="AA560" i="34"/>
  <c r="AB560" i="34"/>
  <c r="AC560" i="34"/>
  <c r="AD560" i="34"/>
  <c r="P561" i="34"/>
  <c r="W561" i="34"/>
  <c r="X561" i="34"/>
  <c r="Y561" i="34"/>
  <c r="AA561" i="34"/>
  <c r="AB561" i="34"/>
  <c r="AC561" i="34"/>
  <c r="AD561" i="34"/>
  <c r="P562" i="34"/>
  <c r="W562" i="34"/>
  <c r="X562" i="34"/>
  <c r="Y562" i="34"/>
  <c r="AA562" i="34"/>
  <c r="AB562" i="34"/>
  <c r="AC562" i="34"/>
  <c r="AD562" i="34"/>
  <c r="P563" i="34"/>
  <c r="W563" i="34"/>
  <c r="X563" i="34"/>
  <c r="Y563" i="34"/>
  <c r="AA563" i="34"/>
  <c r="AB563" i="34"/>
  <c r="AC563" i="34"/>
  <c r="AD563" i="34"/>
  <c r="P564" i="34"/>
  <c r="W564" i="34"/>
  <c r="X564" i="34"/>
  <c r="Y564" i="34"/>
  <c r="AA564" i="34"/>
  <c r="AB564" i="34"/>
  <c r="AC564" i="34"/>
  <c r="AD564" i="34"/>
  <c r="P565" i="34"/>
  <c r="T565" i="34"/>
  <c r="U565" i="34"/>
  <c r="V565" i="34"/>
  <c r="W565" i="34"/>
  <c r="X565" i="34"/>
  <c r="Y565" i="34"/>
  <c r="AA565" i="34"/>
  <c r="AB565" i="34"/>
  <c r="AC565" i="34"/>
  <c r="AD565" i="34"/>
  <c r="P566" i="34"/>
  <c r="T566" i="34"/>
  <c r="U566" i="34"/>
  <c r="V566" i="34"/>
  <c r="W566" i="34"/>
  <c r="X566" i="34"/>
  <c r="Y566" i="34"/>
  <c r="AA566" i="34"/>
  <c r="AB566" i="34"/>
  <c r="AC566" i="34"/>
  <c r="AD566" i="34"/>
  <c r="P567" i="34"/>
  <c r="T567" i="34"/>
  <c r="U567" i="34"/>
  <c r="V567" i="34"/>
  <c r="W567" i="34"/>
  <c r="X567" i="34"/>
  <c r="Y567" i="34"/>
  <c r="AA567" i="34"/>
  <c r="AB567" i="34"/>
  <c r="AC567" i="34"/>
  <c r="AD567" i="34"/>
  <c r="P568" i="34"/>
  <c r="T568" i="34"/>
  <c r="U568" i="34"/>
  <c r="V568" i="34"/>
  <c r="W568" i="34"/>
  <c r="X568" i="34"/>
  <c r="Y568" i="34"/>
  <c r="AA568" i="34"/>
  <c r="AB568" i="34"/>
  <c r="AC568" i="34"/>
  <c r="AD568" i="34"/>
  <c r="P569" i="34"/>
  <c r="T569" i="34"/>
  <c r="U569" i="34"/>
  <c r="V569" i="34"/>
  <c r="W569" i="34"/>
  <c r="X569" i="34"/>
  <c r="Y569" i="34"/>
  <c r="AA569" i="34"/>
  <c r="AB569" i="34"/>
  <c r="AC569" i="34"/>
  <c r="AD569" i="34"/>
  <c r="P570" i="34"/>
  <c r="T570" i="34"/>
  <c r="U570" i="34"/>
  <c r="V570" i="34"/>
  <c r="W570" i="34"/>
  <c r="X570" i="34"/>
  <c r="Y570" i="34"/>
  <c r="AA570" i="34"/>
  <c r="AB570" i="34"/>
  <c r="AC570" i="34"/>
  <c r="AD570" i="34"/>
  <c r="P571" i="34"/>
  <c r="T571" i="34"/>
  <c r="U571" i="34"/>
  <c r="V571" i="34"/>
  <c r="W571" i="34"/>
  <c r="X571" i="34"/>
  <c r="Y571" i="34"/>
  <c r="AA571" i="34"/>
  <c r="AB571" i="34"/>
  <c r="AC571" i="34"/>
  <c r="AD571" i="34"/>
  <c r="P572" i="34"/>
  <c r="T572" i="34"/>
  <c r="U572" i="34"/>
  <c r="V572" i="34"/>
  <c r="W572" i="34"/>
  <c r="X572" i="34"/>
  <c r="Y572" i="34"/>
  <c r="AA572" i="34"/>
  <c r="AB572" i="34"/>
  <c r="AC572" i="34"/>
  <c r="AD572" i="34"/>
  <c r="P573" i="34"/>
  <c r="T573" i="34"/>
  <c r="U573" i="34"/>
  <c r="V573" i="34"/>
  <c r="W573" i="34"/>
  <c r="X573" i="34"/>
  <c r="Y573" i="34"/>
  <c r="AA573" i="34"/>
  <c r="AB573" i="34"/>
  <c r="AC573" i="34"/>
  <c r="AD573" i="34"/>
  <c r="P574" i="34"/>
  <c r="T574" i="34"/>
  <c r="U574" i="34"/>
  <c r="V574" i="34"/>
  <c r="W574" i="34"/>
  <c r="X574" i="34"/>
  <c r="Y574" i="34"/>
  <c r="AA574" i="34"/>
  <c r="AB574" i="34"/>
  <c r="AC574" i="34"/>
  <c r="AD574" i="34"/>
  <c r="P575" i="34"/>
  <c r="T575" i="34"/>
  <c r="U575" i="34"/>
  <c r="V575" i="34"/>
  <c r="W575" i="34"/>
  <c r="X575" i="34"/>
  <c r="Y575" i="34"/>
  <c r="AA575" i="34"/>
  <c r="AB575" i="34"/>
  <c r="AC575" i="34"/>
  <c r="AD575" i="34"/>
  <c r="P576" i="34"/>
  <c r="T576" i="34"/>
  <c r="U576" i="34"/>
  <c r="V576" i="34"/>
  <c r="W576" i="34"/>
  <c r="X576" i="34"/>
  <c r="Y576" i="34"/>
  <c r="AA576" i="34"/>
  <c r="AB576" i="34"/>
  <c r="AC576" i="34"/>
  <c r="AD576" i="34"/>
  <c r="P577" i="34"/>
  <c r="T577" i="34"/>
  <c r="U577" i="34"/>
  <c r="V577" i="34"/>
  <c r="W577" i="34"/>
  <c r="X577" i="34"/>
  <c r="Y577" i="34"/>
  <c r="AA577" i="34"/>
  <c r="AB577" i="34"/>
  <c r="AC577" i="34"/>
  <c r="AD577" i="34"/>
  <c r="P578" i="34"/>
  <c r="T578" i="34"/>
  <c r="U578" i="34"/>
  <c r="V578" i="34"/>
  <c r="W578" i="34"/>
  <c r="X578" i="34"/>
  <c r="Y578" i="34"/>
  <c r="AA578" i="34"/>
  <c r="AB578" i="34"/>
  <c r="AC578" i="34"/>
  <c r="AD578" i="34"/>
  <c r="P579" i="34"/>
  <c r="T579" i="34"/>
  <c r="U579" i="34"/>
  <c r="V579" i="34"/>
  <c r="W579" i="34"/>
  <c r="X579" i="34"/>
  <c r="Y579" i="34"/>
  <c r="AA579" i="34"/>
  <c r="AB579" i="34"/>
  <c r="AC579" i="34"/>
  <c r="AD579" i="34"/>
  <c r="P580" i="34"/>
  <c r="T580" i="34"/>
  <c r="U580" i="34"/>
  <c r="V580" i="34"/>
  <c r="W580" i="34"/>
  <c r="X580" i="34"/>
  <c r="Y580" i="34"/>
  <c r="AA580" i="34"/>
  <c r="AB580" i="34"/>
  <c r="AC580" i="34"/>
  <c r="AD580" i="34"/>
  <c r="P581" i="34"/>
  <c r="T581" i="34"/>
  <c r="U581" i="34"/>
  <c r="V581" i="34"/>
  <c r="W581" i="34"/>
  <c r="X581" i="34"/>
  <c r="Y581" i="34"/>
  <c r="AA581" i="34"/>
  <c r="AB581" i="34"/>
  <c r="AC581" i="34"/>
  <c r="AD581" i="34"/>
  <c r="P582" i="34"/>
  <c r="T582" i="34"/>
  <c r="U582" i="34"/>
  <c r="V582" i="34"/>
  <c r="W582" i="34"/>
  <c r="X582" i="34"/>
  <c r="Y582" i="34"/>
  <c r="AA582" i="34"/>
  <c r="AB582" i="34"/>
  <c r="AC582" i="34"/>
  <c r="AD582" i="34"/>
  <c r="P583" i="34"/>
  <c r="T583" i="34"/>
  <c r="U583" i="34"/>
  <c r="V583" i="34"/>
  <c r="W583" i="34"/>
  <c r="X583" i="34"/>
  <c r="Y583" i="34"/>
  <c r="AA583" i="34"/>
  <c r="AB583" i="34"/>
  <c r="AC583" i="34"/>
  <c r="AD583" i="34"/>
  <c r="P584" i="34"/>
  <c r="T584" i="34"/>
  <c r="U584" i="34"/>
  <c r="V584" i="34"/>
  <c r="W584" i="34"/>
  <c r="X584" i="34"/>
  <c r="Y584" i="34"/>
  <c r="AA584" i="34"/>
  <c r="AB584" i="34"/>
  <c r="AC584" i="34"/>
  <c r="AD584" i="34"/>
  <c r="P585" i="34"/>
  <c r="T585" i="34"/>
  <c r="U585" i="34"/>
  <c r="V585" i="34"/>
  <c r="W585" i="34"/>
  <c r="X585" i="34"/>
  <c r="Y585" i="34"/>
  <c r="AA585" i="34"/>
  <c r="AB585" i="34"/>
  <c r="AC585" i="34"/>
  <c r="AD585" i="34"/>
  <c r="P586" i="34"/>
  <c r="T586" i="34"/>
  <c r="U586" i="34"/>
  <c r="V586" i="34"/>
  <c r="W586" i="34"/>
  <c r="X586" i="34"/>
  <c r="Y586" i="34"/>
  <c r="AA586" i="34"/>
  <c r="AB586" i="34"/>
  <c r="AC586" i="34"/>
  <c r="AD586" i="34"/>
  <c r="P587" i="34"/>
  <c r="T587" i="34"/>
  <c r="U587" i="34"/>
  <c r="V587" i="34"/>
  <c r="W587" i="34"/>
  <c r="X587" i="34"/>
  <c r="Y587" i="34"/>
  <c r="AA587" i="34"/>
  <c r="AB587" i="34"/>
  <c r="AC587" i="34"/>
  <c r="AD587" i="34"/>
  <c r="P588" i="34"/>
  <c r="T588" i="34"/>
  <c r="U588" i="34"/>
  <c r="V588" i="34"/>
  <c r="W588" i="34"/>
  <c r="X588" i="34"/>
  <c r="Y588" i="34"/>
  <c r="AA588" i="34"/>
  <c r="AB588" i="34"/>
  <c r="AC588" i="34"/>
  <c r="AD588" i="34"/>
  <c r="P589" i="34"/>
  <c r="T589" i="34"/>
  <c r="U589" i="34"/>
  <c r="V589" i="34"/>
  <c r="W589" i="34"/>
  <c r="X589" i="34"/>
  <c r="Y589" i="34"/>
  <c r="AA589" i="34"/>
  <c r="AB589" i="34"/>
  <c r="AC589" i="34"/>
  <c r="AD589" i="34"/>
  <c r="P590" i="34"/>
  <c r="T590" i="34"/>
  <c r="U590" i="34"/>
  <c r="V590" i="34"/>
  <c r="W590" i="34"/>
  <c r="X590" i="34"/>
  <c r="Y590" i="34"/>
  <c r="AA590" i="34"/>
  <c r="AB590" i="34"/>
  <c r="AC590" i="34"/>
  <c r="AD590" i="34"/>
  <c r="P591" i="34"/>
  <c r="W591" i="34"/>
  <c r="X591" i="34"/>
  <c r="Y591" i="34"/>
  <c r="AA591" i="34"/>
  <c r="AB591" i="34"/>
  <c r="AC591" i="34"/>
  <c r="AD591" i="34"/>
  <c r="P592" i="34"/>
  <c r="T592" i="34"/>
  <c r="U592" i="34"/>
  <c r="V592" i="34"/>
  <c r="W592" i="34"/>
  <c r="X592" i="34"/>
  <c r="Y592" i="34"/>
  <c r="AA592" i="34"/>
  <c r="AB592" i="34"/>
  <c r="AC592" i="34"/>
  <c r="AD592" i="34"/>
  <c r="P593" i="34"/>
  <c r="T593" i="34"/>
  <c r="U593" i="34"/>
  <c r="V593" i="34"/>
  <c r="W593" i="34"/>
  <c r="X593" i="34"/>
  <c r="Y593" i="34"/>
  <c r="AA593" i="34"/>
  <c r="AB593" i="34"/>
  <c r="AC593" i="34"/>
  <c r="AD593" i="34"/>
  <c r="P594" i="34"/>
  <c r="T594" i="34"/>
  <c r="U594" i="34"/>
  <c r="V594" i="34"/>
  <c r="W594" i="34"/>
  <c r="X594" i="34"/>
  <c r="Y594" i="34"/>
  <c r="AA594" i="34"/>
  <c r="AB594" i="34"/>
  <c r="AC594" i="34"/>
  <c r="AD594" i="34"/>
  <c r="P595" i="34"/>
  <c r="T595" i="34"/>
  <c r="U595" i="34"/>
  <c r="V595" i="34"/>
  <c r="W595" i="34"/>
  <c r="X595" i="34"/>
  <c r="Y595" i="34"/>
  <c r="AA595" i="34"/>
  <c r="AB595" i="34"/>
  <c r="AC595" i="34"/>
  <c r="AD595" i="34"/>
  <c r="P596" i="34"/>
  <c r="T596" i="34"/>
  <c r="U596" i="34"/>
  <c r="V596" i="34"/>
  <c r="W596" i="34"/>
  <c r="X596" i="34"/>
  <c r="Y596" i="34"/>
  <c r="AA596" i="34"/>
  <c r="AB596" i="34"/>
  <c r="AC596" i="34"/>
  <c r="AD596" i="34"/>
  <c r="P597" i="34"/>
  <c r="W597" i="34"/>
  <c r="X597" i="34"/>
  <c r="Y597" i="34"/>
  <c r="AA597" i="34"/>
  <c r="AB597" i="34"/>
  <c r="AC597" i="34"/>
  <c r="AD597" i="34"/>
  <c r="P598" i="34"/>
  <c r="W598" i="34"/>
  <c r="X598" i="34"/>
  <c r="Y598" i="34"/>
  <c r="AA598" i="34"/>
  <c r="AB598" i="34"/>
  <c r="AC598" i="34"/>
  <c r="AD598" i="34"/>
  <c r="P599" i="34"/>
  <c r="W599" i="34"/>
  <c r="X599" i="34"/>
  <c r="Y599" i="34"/>
  <c r="AA599" i="34"/>
  <c r="AB599" i="34"/>
  <c r="AC599" i="34"/>
  <c r="AD599" i="34"/>
  <c r="P600" i="34"/>
  <c r="W600" i="34"/>
  <c r="X600" i="34"/>
  <c r="Y600" i="34"/>
  <c r="AA600" i="34"/>
  <c r="AB600" i="34"/>
  <c r="AC600" i="34"/>
  <c r="AD600" i="34"/>
  <c r="P601" i="34"/>
  <c r="W601" i="34"/>
  <c r="X601" i="34"/>
  <c r="Y601" i="34"/>
  <c r="AA601" i="34"/>
  <c r="AB601" i="34"/>
  <c r="AC601" i="34"/>
  <c r="AD601" i="34"/>
  <c r="P602" i="34"/>
  <c r="W602" i="34"/>
  <c r="X602" i="34"/>
  <c r="Y602" i="34"/>
  <c r="AA602" i="34"/>
  <c r="AB602" i="34"/>
  <c r="AC602" i="34"/>
  <c r="AD602" i="34"/>
  <c r="P603" i="34"/>
  <c r="W603" i="34"/>
  <c r="X603" i="34"/>
  <c r="Y603" i="34"/>
  <c r="AA603" i="34"/>
  <c r="AB603" i="34"/>
  <c r="AC603" i="34"/>
  <c r="AD603" i="34"/>
  <c r="P604" i="34"/>
  <c r="W604" i="34"/>
  <c r="X604" i="34"/>
  <c r="Y604" i="34"/>
  <c r="AA604" i="34"/>
  <c r="AB604" i="34"/>
  <c r="AC604" i="34"/>
  <c r="AD604" i="34"/>
  <c r="P605" i="34"/>
  <c r="T605" i="34"/>
  <c r="U605" i="34"/>
  <c r="V605" i="34"/>
  <c r="W605" i="34"/>
  <c r="X605" i="34"/>
  <c r="Y605" i="34"/>
  <c r="AA605" i="34"/>
  <c r="AB605" i="34"/>
  <c r="AC605" i="34"/>
  <c r="AD605" i="34"/>
  <c r="P606" i="34"/>
  <c r="T606" i="34"/>
  <c r="U606" i="34"/>
  <c r="V606" i="34"/>
  <c r="W606" i="34"/>
  <c r="X606" i="34"/>
  <c r="Y606" i="34"/>
  <c r="AA606" i="34"/>
  <c r="AB606" i="34"/>
  <c r="AC606" i="34"/>
  <c r="AD606" i="34"/>
  <c r="P607" i="34"/>
  <c r="T607" i="34"/>
  <c r="U607" i="34"/>
  <c r="V607" i="34"/>
  <c r="W607" i="34"/>
  <c r="X607" i="34"/>
  <c r="Y607" i="34"/>
  <c r="AA607" i="34"/>
  <c r="AB607" i="34"/>
  <c r="AC607" i="34"/>
  <c r="AD607" i="34"/>
  <c r="P608" i="34"/>
  <c r="T608" i="34"/>
  <c r="U608" i="34"/>
  <c r="V608" i="34"/>
  <c r="W608" i="34"/>
  <c r="X608" i="34"/>
  <c r="Y608" i="34"/>
  <c r="AA608" i="34"/>
  <c r="AB608" i="34"/>
  <c r="AC608" i="34"/>
  <c r="AD608" i="34"/>
  <c r="P609" i="34"/>
  <c r="T609" i="34"/>
  <c r="U609" i="34"/>
  <c r="V609" i="34"/>
  <c r="W609" i="34"/>
  <c r="X609" i="34"/>
  <c r="Y609" i="34"/>
  <c r="AA609" i="34"/>
  <c r="AB609" i="34"/>
  <c r="AC609" i="34"/>
  <c r="AD609" i="34"/>
  <c r="P610" i="34"/>
  <c r="T610" i="34"/>
  <c r="U610" i="34"/>
  <c r="V610" i="34"/>
  <c r="W610" i="34"/>
  <c r="X610" i="34"/>
  <c r="Y610" i="34"/>
  <c r="AA610" i="34"/>
  <c r="AB610" i="34"/>
  <c r="AC610" i="34"/>
  <c r="AD610" i="34"/>
  <c r="P611" i="34"/>
  <c r="T611" i="34"/>
  <c r="U611" i="34"/>
  <c r="V611" i="34"/>
  <c r="W611" i="34"/>
  <c r="X611" i="34"/>
  <c r="Y611" i="34"/>
  <c r="AA611" i="34"/>
  <c r="AB611" i="34"/>
  <c r="AC611" i="34"/>
  <c r="AD611" i="34"/>
  <c r="P612" i="34"/>
  <c r="T612" i="34"/>
  <c r="U612" i="34"/>
  <c r="V612" i="34"/>
  <c r="W612" i="34"/>
  <c r="X612" i="34"/>
  <c r="Y612" i="34"/>
  <c r="AA612" i="34"/>
  <c r="AB612" i="34"/>
  <c r="AC612" i="34"/>
  <c r="AD612" i="34"/>
  <c r="P613" i="34"/>
  <c r="T613" i="34"/>
  <c r="U613" i="34"/>
  <c r="V613" i="34"/>
  <c r="W613" i="34"/>
  <c r="X613" i="34"/>
  <c r="Y613" i="34"/>
  <c r="AA613" i="34"/>
  <c r="AB613" i="34"/>
  <c r="AC613" i="34"/>
  <c r="AD613" i="34"/>
  <c r="P614" i="34"/>
  <c r="T614" i="34"/>
  <c r="U614" i="34"/>
  <c r="V614" i="34"/>
  <c r="W614" i="34"/>
  <c r="X614" i="34"/>
  <c r="Y614" i="34"/>
  <c r="AA614" i="34"/>
  <c r="AB614" i="34"/>
  <c r="AC614" i="34"/>
  <c r="AD614" i="34"/>
  <c r="P615" i="34"/>
  <c r="T615" i="34"/>
  <c r="U615" i="34"/>
  <c r="V615" i="34"/>
  <c r="W615" i="34"/>
  <c r="X615" i="34"/>
  <c r="Y615" i="34"/>
  <c r="AA615" i="34"/>
  <c r="AB615" i="34"/>
  <c r="AC615" i="34"/>
  <c r="AD615" i="34"/>
  <c r="P616" i="34"/>
  <c r="T616" i="34"/>
  <c r="U616" i="34"/>
  <c r="V616" i="34"/>
  <c r="W616" i="34"/>
  <c r="X616" i="34"/>
  <c r="Y616" i="34"/>
  <c r="AA616" i="34"/>
  <c r="AB616" i="34"/>
  <c r="AC616" i="34"/>
  <c r="AD616" i="34"/>
  <c r="P617" i="34"/>
  <c r="T617" i="34"/>
  <c r="U617" i="34"/>
  <c r="V617" i="34"/>
  <c r="W617" i="34"/>
  <c r="X617" i="34"/>
  <c r="Y617" i="34"/>
  <c r="AA617" i="34"/>
  <c r="AB617" i="34"/>
  <c r="AC617" i="34"/>
  <c r="AD617" i="34"/>
  <c r="P618" i="34"/>
  <c r="T618" i="34"/>
  <c r="U618" i="34"/>
  <c r="V618" i="34"/>
  <c r="W618" i="34"/>
  <c r="X618" i="34"/>
  <c r="Y618" i="34"/>
  <c r="AA618" i="34"/>
  <c r="AB618" i="34"/>
  <c r="AC618" i="34"/>
  <c r="AD618" i="34"/>
  <c r="P619" i="34"/>
  <c r="T619" i="34"/>
  <c r="U619" i="34"/>
  <c r="V619" i="34"/>
  <c r="W619" i="34"/>
  <c r="X619" i="34"/>
  <c r="Y619" i="34"/>
  <c r="AA619" i="34"/>
  <c r="AB619" i="34"/>
  <c r="AC619" i="34"/>
  <c r="AD619" i="34"/>
  <c r="P620" i="34"/>
  <c r="T620" i="34"/>
  <c r="U620" i="34"/>
  <c r="V620" i="34"/>
  <c r="W620" i="34"/>
  <c r="X620" i="34"/>
  <c r="Y620" i="34"/>
  <c r="AA620" i="34"/>
  <c r="AB620" i="34"/>
  <c r="AC620" i="34"/>
  <c r="AD620" i="34"/>
  <c r="P621" i="34"/>
  <c r="T621" i="34"/>
  <c r="U621" i="34"/>
  <c r="V621" i="34"/>
  <c r="W621" i="34"/>
  <c r="X621" i="34"/>
  <c r="Y621" i="34"/>
  <c r="AA621" i="34"/>
  <c r="AB621" i="34"/>
  <c r="AC621" i="34"/>
  <c r="AD621" i="34"/>
  <c r="P622" i="34"/>
  <c r="T622" i="34"/>
  <c r="U622" i="34"/>
  <c r="V622" i="34"/>
  <c r="W622" i="34"/>
  <c r="X622" i="34"/>
  <c r="Y622" i="34"/>
  <c r="AA622" i="34"/>
  <c r="AB622" i="34"/>
  <c r="AC622" i="34"/>
  <c r="AD622" i="34"/>
  <c r="P623" i="34"/>
  <c r="T623" i="34"/>
  <c r="U623" i="34"/>
  <c r="V623" i="34"/>
  <c r="W623" i="34"/>
  <c r="X623" i="34"/>
  <c r="Y623" i="34"/>
  <c r="AA623" i="34"/>
  <c r="AB623" i="34"/>
  <c r="AC623" i="34"/>
  <c r="P624" i="34"/>
  <c r="T624" i="34"/>
  <c r="U624" i="34"/>
  <c r="V624" i="34"/>
  <c r="W624" i="34"/>
  <c r="X624" i="34"/>
  <c r="Y624" i="34"/>
  <c r="AA624" i="34"/>
  <c r="AB624" i="34"/>
  <c r="AC624" i="34"/>
  <c r="AD624" i="34"/>
  <c r="P625" i="34"/>
  <c r="T625" i="34"/>
  <c r="U625" i="34"/>
  <c r="V625" i="34"/>
  <c r="W625" i="34"/>
  <c r="X625" i="34"/>
  <c r="Y625" i="34"/>
  <c r="AA625" i="34"/>
  <c r="AB625" i="34"/>
  <c r="AC625" i="34"/>
  <c r="AD625" i="34"/>
  <c r="P626" i="34"/>
  <c r="T626" i="34"/>
  <c r="U626" i="34"/>
  <c r="V626" i="34"/>
  <c r="W626" i="34"/>
  <c r="X626" i="34"/>
  <c r="Y626" i="34"/>
  <c r="AA626" i="34"/>
  <c r="AB626" i="34"/>
  <c r="AC626" i="34"/>
  <c r="AD626" i="34"/>
  <c r="P627" i="34"/>
  <c r="T627" i="34"/>
  <c r="U627" i="34"/>
  <c r="V627" i="34"/>
  <c r="W627" i="34"/>
  <c r="X627" i="34"/>
  <c r="Y627" i="34"/>
  <c r="AA627" i="34"/>
  <c r="AB627" i="34"/>
  <c r="AC627" i="34"/>
  <c r="AD627" i="34"/>
  <c r="P628" i="34"/>
  <c r="T628" i="34"/>
  <c r="U628" i="34"/>
  <c r="V628" i="34"/>
  <c r="W628" i="34"/>
  <c r="X628" i="34"/>
  <c r="Y628" i="34"/>
  <c r="AA628" i="34"/>
  <c r="AB628" i="34"/>
  <c r="AC628" i="34"/>
  <c r="AD628" i="34"/>
  <c r="P629" i="34"/>
  <c r="T629" i="34"/>
  <c r="U629" i="34"/>
  <c r="V629" i="34"/>
  <c r="W629" i="34"/>
  <c r="X629" i="34"/>
  <c r="Y629" i="34"/>
  <c r="AA629" i="34"/>
  <c r="AB629" i="34"/>
  <c r="AC629" i="34"/>
  <c r="AD629" i="34"/>
  <c r="P630" i="34"/>
  <c r="T630" i="34"/>
  <c r="U630" i="34"/>
  <c r="V630" i="34"/>
  <c r="W630" i="34"/>
  <c r="X630" i="34"/>
  <c r="Y630" i="34"/>
  <c r="AA630" i="34"/>
  <c r="AB630" i="34"/>
  <c r="AC630" i="34"/>
  <c r="AD630" i="34"/>
  <c r="P631" i="34"/>
  <c r="T631" i="34"/>
  <c r="U631" i="34"/>
  <c r="V631" i="34"/>
  <c r="W631" i="34"/>
  <c r="X631" i="34"/>
  <c r="Y631" i="34"/>
  <c r="AA631" i="34"/>
  <c r="AB631" i="34"/>
  <c r="AC631" i="34"/>
  <c r="AD631" i="34"/>
  <c r="P632" i="34"/>
  <c r="T632" i="34"/>
  <c r="U632" i="34"/>
  <c r="V632" i="34"/>
  <c r="W632" i="34"/>
  <c r="X632" i="34"/>
  <c r="Y632" i="34"/>
  <c r="AA632" i="34"/>
  <c r="AB632" i="34"/>
  <c r="AC632" i="34"/>
  <c r="AD632" i="34"/>
  <c r="P633" i="34"/>
  <c r="T633" i="34"/>
  <c r="U633" i="34"/>
  <c r="V633" i="34"/>
  <c r="W633" i="34"/>
  <c r="X633" i="34"/>
  <c r="Y633" i="34"/>
  <c r="AA633" i="34"/>
  <c r="AB633" i="34"/>
  <c r="AC633" i="34"/>
  <c r="AD633" i="34"/>
  <c r="P634" i="34"/>
  <c r="T634" i="34"/>
  <c r="U634" i="34"/>
  <c r="V634" i="34"/>
  <c r="W634" i="34"/>
  <c r="X634" i="34"/>
  <c r="Y634" i="34"/>
  <c r="AA634" i="34"/>
  <c r="AB634" i="34"/>
  <c r="AC634" i="34"/>
  <c r="AD634" i="34"/>
  <c r="P635" i="34"/>
  <c r="T635" i="34"/>
  <c r="U635" i="34"/>
  <c r="V635" i="34"/>
  <c r="W635" i="34"/>
  <c r="X635" i="34"/>
  <c r="Y635" i="34"/>
  <c r="AA635" i="34"/>
  <c r="AB635" i="34"/>
  <c r="AC635" i="34"/>
  <c r="AD635" i="34"/>
  <c r="P636" i="34"/>
  <c r="T636" i="34"/>
  <c r="U636" i="34"/>
  <c r="V636" i="34"/>
  <c r="W636" i="34"/>
  <c r="X636" i="34"/>
  <c r="Y636" i="34"/>
  <c r="AA636" i="34"/>
  <c r="AB636" i="34"/>
  <c r="AC636" i="34"/>
  <c r="AD636" i="34"/>
  <c r="P637" i="34"/>
  <c r="T637" i="34"/>
  <c r="U637" i="34"/>
  <c r="V637" i="34"/>
  <c r="W637" i="34"/>
  <c r="X637" i="34"/>
  <c r="Y637" i="34"/>
  <c r="AA637" i="34"/>
  <c r="AB637" i="34"/>
  <c r="AC637" i="34"/>
  <c r="AD637" i="34"/>
  <c r="P638" i="34"/>
  <c r="T638" i="34"/>
  <c r="U638" i="34"/>
  <c r="V638" i="34"/>
  <c r="W638" i="34"/>
  <c r="X638" i="34"/>
  <c r="Y638" i="34"/>
  <c r="AA638" i="34"/>
  <c r="AB638" i="34"/>
  <c r="AC638" i="34"/>
  <c r="AD638" i="34"/>
  <c r="P639" i="34"/>
  <c r="T639" i="34"/>
  <c r="U639" i="34"/>
  <c r="V639" i="34"/>
  <c r="W639" i="34"/>
  <c r="X639" i="34"/>
  <c r="Y639" i="34"/>
  <c r="AA639" i="34"/>
  <c r="AB639" i="34"/>
  <c r="AC639" i="34"/>
  <c r="AD639" i="34"/>
  <c r="P640" i="34"/>
  <c r="T640" i="34"/>
  <c r="U640" i="34"/>
  <c r="V640" i="34"/>
  <c r="W640" i="34"/>
  <c r="X640" i="34"/>
  <c r="Y640" i="34"/>
  <c r="AA640" i="34"/>
  <c r="AB640" i="34"/>
  <c r="AC640" i="34"/>
  <c r="AD640" i="34"/>
  <c r="P641" i="34"/>
  <c r="T641" i="34"/>
  <c r="U641" i="34"/>
  <c r="V641" i="34"/>
  <c r="W641" i="34"/>
  <c r="X641" i="34"/>
  <c r="Y641" i="34"/>
  <c r="AA641" i="34"/>
  <c r="AB641" i="34"/>
  <c r="AC641" i="34"/>
  <c r="AD641" i="34"/>
  <c r="P642" i="34"/>
  <c r="T642" i="34"/>
  <c r="U642" i="34"/>
  <c r="V642" i="34"/>
  <c r="W642" i="34"/>
  <c r="X642" i="34"/>
  <c r="Y642" i="34"/>
  <c r="AA642" i="34"/>
  <c r="AB642" i="34"/>
  <c r="AC642" i="34"/>
  <c r="AD642" i="34"/>
  <c r="P643" i="34"/>
  <c r="W643" i="34"/>
  <c r="X643" i="34"/>
  <c r="Y643" i="34"/>
  <c r="AA643" i="34"/>
  <c r="AB643" i="34"/>
  <c r="AC643" i="34"/>
  <c r="AD643" i="34"/>
  <c r="P644" i="34"/>
  <c r="W644" i="34"/>
  <c r="X644" i="34"/>
  <c r="Y644" i="34"/>
  <c r="AA644" i="34"/>
  <c r="AB644" i="34"/>
  <c r="AC644" i="34"/>
  <c r="AD644" i="34"/>
  <c r="P645" i="34"/>
  <c r="W645" i="34"/>
  <c r="X645" i="34"/>
  <c r="Y645" i="34"/>
  <c r="AA645" i="34"/>
  <c r="AB645" i="34"/>
  <c r="AC645" i="34"/>
  <c r="AD645" i="34"/>
  <c r="P646" i="34"/>
  <c r="W646" i="34"/>
  <c r="X646" i="34"/>
  <c r="Y646" i="34"/>
  <c r="AA646" i="34"/>
  <c r="AB646" i="34"/>
  <c r="AC646" i="34"/>
  <c r="AD646" i="34"/>
  <c r="P647" i="34"/>
  <c r="T647" i="34"/>
  <c r="U647" i="34"/>
  <c r="V647" i="34"/>
  <c r="W647" i="34"/>
  <c r="X647" i="34"/>
  <c r="Y647" i="34"/>
  <c r="AA647" i="34"/>
  <c r="AB647" i="34"/>
  <c r="AC647" i="34"/>
  <c r="AD647" i="34"/>
  <c r="P648" i="34"/>
  <c r="W648" i="34"/>
  <c r="X648" i="34"/>
  <c r="Y648" i="34"/>
  <c r="AA648" i="34"/>
  <c r="AB648" i="34"/>
  <c r="AC648" i="34"/>
  <c r="AD648" i="34"/>
  <c r="P649" i="34"/>
  <c r="W649" i="34"/>
  <c r="X649" i="34"/>
  <c r="Y649" i="34"/>
  <c r="AA649" i="34"/>
  <c r="AB649" i="34"/>
  <c r="AC649" i="34"/>
  <c r="AD649" i="34"/>
  <c r="P650" i="34"/>
  <c r="W650" i="34"/>
  <c r="X650" i="34"/>
  <c r="Y650" i="34"/>
  <c r="AA650" i="34"/>
  <c r="AB650" i="34"/>
  <c r="AC650" i="34"/>
  <c r="AD650" i="34"/>
  <c r="P651" i="34"/>
  <c r="T651" i="34"/>
  <c r="U651" i="34"/>
  <c r="V651" i="34"/>
  <c r="W651" i="34"/>
  <c r="X651" i="34"/>
  <c r="Y651" i="34"/>
  <c r="AA651" i="34"/>
  <c r="AB651" i="34"/>
  <c r="AC651" i="34"/>
  <c r="AD651" i="34"/>
  <c r="P652" i="34"/>
  <c r="T652" i="34"/>
  <c r="U652" i="34"/>
  <c r="V652" i="34"/>
  <c r="W652" i="34"/>
  <c r="X652" i="34"/>
  <c r="Y652" i="34"/>
  <c r="AA652" i="34"/>
  <c r="AB652" i="34"/>
  <c r="AC652" i="34"/>
  <c r="AD652" i="34"/>
  <c r="P653" i="34"/>
  <c r="T653" i="34"/>
  <c r="U653" i="34"/>
  <c r="V653" i="34"/>
  <c r="W653" i="34"/>
  <c r="X653" i="34"/>
  <c r="Y653" i="34"/>
  <c r="AA653" i="34"/>
  <c r="AB653" i="34"/>
  <c r="AC653" i="34"/>
  <c r="AD653" i="34"/>
  <c r="P654" i="34"/>
  <c r="T654" i="34"/>
  <c r="U654" i="34"/>
  <c r="V654" i="34"/>
  <c r="W654" i="34"/>
  <c r="X654" i="34"/>
  <c r="Y654" i="34"/>
  <c r="AA654" i="34"/>
  <c r="AB654" i="34"/>
  <c r="AC654" i="34"/>
  <c r="AD654" i="34"/>
  <c r="P655" i="34"/>
  <c r="T655" i="34"/>
  <c r="U655" i="34"/>
  <c r="V655" i="34"/>
  <c r="W655" i="34"/>
  <c r="X655" i="34"/>
  <c r="Y655" i="34"/>
  <c r="AA655" i="34"/>
  <c r="AB655" i="34"/>
  <c r="AC655" i="34"/>
  <c r="AD655" i="34"/>
  <c r="P656" i="34"/>
  <c r="T656" i="34"/>
  <c r="U656" i="34"/>
  <c r="V656" i="34"/>
  <c r="W656" i="34"/>
  <c r="X656" i="34"/>
  <c r="Y656" i="34"/>
  <c r="AA656" i="34"/>
  <c r="AB656" i="34"/>
  <c r="AC656" i="34"/>
  <c r="AD656" i="34"/>
  <c r="P657" i="34"/>
  <c r="T657" i="34"/>
  <c r="U657" i="34"/>
  <c r="V657" i="34"/>
  <c r="W657" i="34"/>
  <c r="X657" i="34"/>
  <c r="Y657" i="34"/>
  <c r="AA657" i="34"/>
  <c r="AB657" i="34"/>
  <c r="AC657" i="34"/>
  <c r="AD657" i="34"/>
  <c r="P658" i="34"/>
  <c r="T658" i="34"/>
  <c r="U658" i="34"/>
  <c r="V658" i="34"/>
  <c r="W658" i="34"/>
  <c r="X658" i="34"/>
  <c r="Y658" i="34"/>
  <c r="AB658" i="34"/>
  <c r="AC658" i="34"/>
  <c r="AD658" i="34"/>
  <c r="P659" i="34"/>
  <c r="T659" i="34"/>
  <c r="U659" i="34"/>
  <c r="V659" i="34"/>
  <c r="W659" i="34"/>
  <c r="X659" i="34"/>
  <c r="Y659" i="34"/>
  <c r="AB659" i="34"/>
  <c r="AC659" i="34"/>
  <c r="AD659" i="34"/>
  <c r="P660" i="34"/>
  <c r="T660" i="34"/>
  <c r="U660" i="34"/>
  <c r="V660" i="34"/>
  <c r="W660" i="34"/>
  <c r="X660" i="34"/>
  <c r="Y660" i="34"/>
  <c r="AB660" i="34"/>
  <c r="AC660" i="34"/>
  <c r="AD660" i="34"/>
  <c r="P661" i="34"/>
  <c r="T661" i="34"/>
  <c r="U661" i="34"/>
  <c r="V661" i="34"/>
  <c r="W661" i="34"/>
  <c r="X661" i="34"/>
  <c r="Y661" i="34"/>
  <c r="AB661" i="34"/>
  <c r="AC661" i="34"/>
  <c r="AD661" i="34"/>
  <c r="P662" i="34"/>
  <c r="T662" i="34"/>
  <c r="U662" i="34"/>
  <c r="V662" i="34"/>
  <c r="W662" i="34"/>
  <c r="X662" i="34"/>
  <c r="Y662" i="34"/>
  <c r="AB662" i="34"/>
  <c r="AC662" i="34"/>
  <c r="AD662" i="34"/>
  <c r="P663" i="34"/>
  <c r="T663" i="34"/>
  <c r="U663" i="34"/>
  <c r="V663" i="34"/>
  <c r="W663" i="34"/>
  <c r="X663" i="34"/>
  <c r="Y663" i="34"/>
  <c r="AA663" i="34"/>
  <c r="AB663" i="34"/>
  <c r="AC663" i="34"/>
  <c r="AD663" i="34"/>
  <c r="P664" i="34"/>
  <c r="T664" i="34"/>
  <c r="U664" i="34"/>
  <c r="V664" i="34"/>
  <c r="W664" i="34"/>
  <c r="X664" i="34"/>
  <c r="Y664" i="34"/>
  <c r="AA664" i="34"/>
  <c r="AB664" i="34"/>
  <c r="AC664" i="34"/>
  <c r="AD664" i="34"/>
  <c r="P665" i="34"/>
  <c r="T665" i="34"/>
  <c r="U665" i="34"/>
  <c r="V665" i="34"/>
  <c r="W665" i="34"/>
  <c r="X665" i="34"/>
  <c r="Y665" i="34"/>
  <c r="AA665" i="34"/>
  <c r="AB665" i="34"/>
  <c r="AC665" i="34"/>
  <c r="AD665" i="34"/>
  <c r="P666" i="34"/>
  <c r="T666" i="34"/>
  <c r="U666" i="34"/>
  <c r="V666" i="34"/>
  <c r="W666" i="34"/>
  <c r="X666" i="34"/>
  <c r="Y666" i="34"/>
  <c r="AA666" i="34"/>
  <c r="AB666" i="34"/>
  <c r="AC666" i="34"/>
  <c r="AD666" i="34"/>
  <c r="P667" i="34"/>
  <c r="T667" i="34"/>
  <c r="U667" i="34"/>
  <c r="V667" i="34"/>
  <c r="W667" i="34"/>
  <c r="X667" i="34"/>
  <c r="Y667" i="34"/>
  <c r="AA667" i="34"/>
  <c r="AB667" i="34"/>
  <c r="AC667" i="34"/>
  <c r="AD667" i="34"/>
  <c r="P668" i="34"/>
  <c r="T668" i="34"/>
  <c r="U668" i="34"/>
  <c r="V668" i="34"/>
  <c r="W668" i="34"/>
  <c r="X668" i="34"/>
  <c r="Y668" i="34"/>
  <c r="AA668" i="34"/>
  <c r="AB668" i="34"/>
  <c r="AC668" i="34"/>
  <c r="AD668" i="34"/>
  <c r="P669" i="34"/>
  <c r="T669" i="34"/>
  <c r="U669" i="34"/>
  <c r="V669" i="34"/>
  <c r="W669" i="34"/>
  <c r="X669" i="34"/>
  <c r="Y669" i="34"/>
  <c r="AA669" i="34"/>
  <c r="AB669" i="34"/>
  <c r="AC669" i="34"/>
  <c r="AD669" i="34"/>
  <c r="P670" i="34"/>
  <c r="T670" i="34"/>
  <c r="U670" i="34"/>
  <c r="V670" i="34"/>
  <c r="W670" i="34"/>
  <c r="X670" i="34"/>
  <c r="Y670" i="34"/>
  <c r="AA670" i="34"/>
  <c r="AB670" i="34"/>
  <c r="AC670" i="34"/>
  <c r="AD670" i="34"/>
  <c r="P671" i="34"/>
  <c r="T671" i="34"/>
  <c r="U671" i="34"/>
  <c r="V671" i="34"/>
  <c r="W671" i="34"/>
  <c r="X671" i="34"/>
  <c r="Y671" i="34"/>
  <c r="AA671" i="34"/>
  <c r="AB671" i="34"/>
  <c r="AC671" i="34"/>
  <c r="AD671" i="34"/>
  <c r="P672" i="34"/>
  <c r="T672" i="34"/>
  <c r="U672" i="34"/>
  <c r="V672" i="34"/>
  <c r="W672" i="34"/>
  <c r="X672" i="34"/>
  <c r="Y672" i="34"/>
  <c r="AA672" i="34"/>
  <c r="AB672" i="34"/>
  <c r="AC672" i="34"/>
  <c r="AD672" i="34"/>
  <c r="P673" i="34"/>
  <c r="T673" i="34"/>
  <c r="U673" i="34"/>
  <c r="V673" i="34"/>
  <c r="W673" i="34"/>
  <c r="X673" i="34"/>
  <c r="Y673" i="34"/>
  <c r="AA673" i="34"/>
  <c r="AB673" i="34"/>
  <c r="AC673" i="34"/>
  <c r="AD673" i="34"/>
  <c r="P674" i="34"/>
  <c r="T674" i="34"/>
  <c r="U674" i="34"/>
  <c r="V674" i="34"/>
  <c r="W674" i="34"/>
  <c r="X674" i="34"/>
  <c r="Y674" i="34"/>
  <c r="AA674" i="34"/>
  <c r="AB674" i="34"/>
  <c r="AC674" i="34"/>
  <c r="AD674" i="34"/>
  <c r="P675" i="34"/>
  <c r="T675" i="34"/>
  <c r="U675" i="34"/>
  <c r="V675" i="34"/>
  <c r="W675" i="34"/>
  <c r="X675" i="34"/>
  <c r="Y675" i="34"/>
  <c r="AA675" i="34"/>
  <c r="AB675" i="34"/>
  <c r="AC675" i="34"/>
  <c r="AD675" i="34"/>
  <c r="P676" i="34"/>
  <c r="T676" i="34"/>
  <c r="U676" i="34"/>
  <c r="V676" i="34"/>
  <c r="W676" i="34"/>
  <c r="X676" i="34"/>
  <c r="Y676" i="34"/>
  <c r="AA676" i="34"/>
  <c r="AB676" i="34"/>
  <c r="AC676" i="34"/>
  <c r="AD676" i="34"/>
  <c r="P677" i="34"/>
  <c r="T677" i="34"/>
  <c r="U677" i="34"/>
  <c r="V677" i="34"/>
  <c r="W677" i="34"/>
  <c r="X677" i="34"/>
  <c r="Y677" i="34"/>
  <c r="AA677" i="34"/>
  <c r="AB677" i="34"/>
  <c r="AC677" i="34"/>
  <c r="AD677" i="34"/>
  <c r="P678" i="34"/>
  <c r="T678" i="34"/>
  <c r="U678" i="34"/>
  <c r="V678" i="34"/>
  <c r="W678" i="34"/>
  <c r="X678" i="34"/>
  <c r="Y678" i="34"/>
  <c r="AA678" i="34"/>
  <c r="AB678" i="34"/>
  <c r="AC678" i="34"/>
  <c r="AD678" i="34"/>
  <c r="P679" i="34"/>
  <c r="T679" i="34"/>
  <c r="U679" i="34"/>
  <c r="V679" i="34"/>
  <c r="W679" i="34"/>
  <c r="X679" i="34"/>
  <c r="Y679" i="34"/>
  <c r="AA679" i="34"/>
  <c r="AB679" i="34"/>
  <c r="AC679" i="34"/>
  <c r="AD679" i="34"/>
  <c r="P680" i="34"/>
  <c r="T680" i="34"/>
  <c r="U680" i="34"/>
  <c r="V680" i="34"/>
  <c r="W680" i="34"/>
  <c r="X680" i="34"/>
  <c r="Y680" i="34"/>
  <c r="AA680" i="34"/>
  <c r="AB680" i="34"/>
  <c r="AC680" i="34"/>
  <c r="AD680" i="34"/>
  <c r="P681" i="34"/>
  <c r="T681" i="34"/>
  <c r="U681" i="34"/>
  <c r="V681" i="34"/>
  <c r="W681" i="34"/>
  <c r="X681" i="34"/>
  <c r="Y681" i="34"/>
  <c r="AA681" i="34"/>
  <c r="AB681" i="34"/>
  <c r="AC681" i="34"/>
  <c r="AD681" i="34"/>
  <c r="P682" i="34"/>
  <c r="T682" i="34"/>
  <c r="U682" i="34"/>
  <c r="V682" i="34"/>
  <c r="W682" i="34"/>
  <c r="X682" i="34"/>
  <c r="Y682" i="34"/>
  <c r="AA682" i="34"/>
  <c r="AB682" i="34"/>
  <c r="AC682" i="34"/>
  <c r="AD682" i="34"/>
  <c r="P683" i="34"/>
  <c r="T683" i="34"/>
  <c r="U683" i="34"/>
  <c r="V683" i="34"/>
  <c r="W683" i="34"/>
  <c r="X683" i="34"/>
  <c r="Y683" i="34"/>
  <c r="AA683" i="34"/>
  <c r="AB683" i="34"/>
  <c r="AC683" i="34"/>
  <c r="AD683" i="34"/>
  <c r="P684" i="34"/>
  <c r="T684" i="34"/>
  <c r="U684" i="34"/>
  <c r="V684" i="34"/>
  <c r="W684" i="34"/>
  <c r="X684" i="34"/>
  <c r="Y684" i="34"/>
  <c r="AA684" i="34"/>
  <c r="AB684" i="34"/>
  <c r="AC684" i="34"/>
  <c r="AD684" i="34"/>
  <c r="P685" i="34"/>
  <c r="T685" i="34"/>
  <c r="U685" i="34"/>
  <c r="V685" i="34"/>
  <c r="W685" i="34"/>
  <c r="X685" i="34"/>
  <c r="Y685" i="34"/>
  <c r="AA685" i="34"/>
  <c r="AB685" i="34"/>
  <c r="AC685" i="34"/>
  <c r="AD685" i="34"/>
  <c r="P686" i="34"/>
  <c r="T686" i="34"/>
  <c r="U686" i="34"/>
  <c r="V686" i="34"/>
  <c r="W686" i="34"/>
  <c r="X686" i="34"/>
  <c r="Y686" i="34"/>
  <c r="AA686" i="34"/>
  <c r="AB686" i="34"/>
  <c r="AC686" i="34"/>
  <c r="AD686" i="34"/>
  <c r="P687" i="34"/>
  <c r="T687" i="34"/>
  <c r="U687" i="34"/>
  <c r="V687" i="34"/>
  <c r="W687" i="34"/>
  <c r="X687" i="34"/>
  <c r="Y687" i="34"/>
  <c r="AA687" i="34"/>
  <c r="AB687" i="34"/>
  <c r="AC687" i="34"/>
  <c r="AD687" i="34"/>
  <c r="P688" i="34"/>
  <c r="T688" i="34"/>
  <c r="U688" i="34"/>
  <c r="V688" i="34"/>
  <c r="W688" i="34"/>
  <c r="X688" i="34"/>
  <c r="Y688" i="34"/>
  <c r="AA688" i="34"/>
  <c r="AB688" i="34"/>
  <c r="AC688" i="34"/>
  <c r="AD688" i="34"/>
  <c r="P689" i="34"/>
  <c r="T689" i="34"/>
  <c r="U689" i="34"/>
  <c r="V689" i="34"/>
  <c r="W689" i="34"/>
  <c r="X689" i="34"/>
  <c r="Y689" i="34"/>
  <c r="AA689" i="34"/>
  <c r="AB689" i="34"/>
  <c r="AC689" i="34"/>
  <c r="AD689" i="34"/>
  <c r="P690" i="34"/>
  <c r="T690" i="34"/>
  <c r="U690" i="34"/>
  <c r="V690" i="34"/>
  <c r="W690" i="34"/>
  <c r="X690" i="34"/>
  <c r="Y690" i="34"/>
  <c r="AA690" i="34"/>
  <c r="AB690" i="34"/>
  <c r="AC690" i="34"/>
  <c r="AD690" i="34"/>
  <c r="P691" i="34"/>
  <c r="T691" i="34"/>
  <c r="U691" i="34"/>
  <c r="V691" i="34"/>
  <c r="W691" i="34"/>
  <c r="X691" i="34"/>
  <c r="Y691" i="34"/>
  <c r="AA691" i="34"/>
  <c r="AB691" i="34"/>
  <c r="AC691" i="34"/>
  <c r="AD691" i="34"/>
  <c r="P692" i="34"/>
  <c r="T692" i="34"/>
  <c r="U692" i="34"/>
  <c r="V692" i="34"/>
  <c r="W692" i="34"/>
  <c r="X692" i="34"/>
  <c r="Y692" i="34"/>
  <c r="AA692" i="34"/>
  <c r="AB692" i="34"/>
  <c r="AC692" i="34"/>
  <c r="AD692" i="34"/>
  <c r="P693" i="34"/>
  <c r="T693" i="34"/>
  <c r="U693" i="34"/>
  <c r="V693" i="34"/>
  <c r="W693" i="34"/>
  <c r="X693" i="34"/>
  <c r="Y693" i="34"/>
  <c r="AA693" i="34"/>
  <c r="AB693" i="34"/>
  <c r="AC693" i="34"/>
  <c r="AD693" i="34"/>
  <c r="P694" i="34"/>
  <c r="T694" i="34"/>
  <c r="U694" i="34"/>
  <c r="V694" i="34"/>
  <c r="W694" i="34"/>
  <c r="X694" i="34"/>
  <c r="Y694" i="34"/>
  <c r="AA694" i="34"/>
  <c r="AB694" i="34"/>
  <c r="AC694" i="34"/>
  <c r="AD694" i="34"/>
  <c r="P695" i="34"/>
  <c r="T695" i="34"/>
  <c r="U695" i="34"/>
  <c r="V695" i="34"/>
  <c r="W695" i="34"/>
  <c r="X695" i="34"/>
  <c r="Y695" i="34"/>
  <c r="AA695" i="34"/>
  <c r="AB695" i="34"/>
  <c r="AC695" i="34"/>
  <c r="AD695" i="34"/>
  <c r="P696" i="34"/>
  <c r="T696" i="34"/>
  <c r="U696" i="34"/>
  <c r="V696" i="34"/>
  <c r="W696" i="34"/>
  <c r="X696" i="34"/>
  <c r="Y696" i="34"/>
  <c r="AA696" i="34"/>
  <c r="AB696" i="34"/>
  <c r="AC696" i="34"/>
  <c r="AD696" i="34"/>
  <c r="P697" i="34"/>
  <c r="T697" i="34"/>
  <c r="U697" i="34"/>
  <c r="V697" i="34"/>
  <c r="W697" i="34"/>
  <c r="X697" i="34"/>
  <c r="Y697" i="34"/>
  <c r="AA697" i="34"/>
  <c r="AB697" i="34"/>
  <c r="AC697" i="34"/>
  <c r="AD697" i="34"/>
  <c r="P698" i="34"/>
  <c r="T698" i="34"/>
  <c r="U698" i="34"/>
  <c r="V698" i="34"/>
  <c r="W698" i="34"/>
  <c r="X698" i="34"/>
  <c r="Y698" i="34"/>
  <c r="AA698" i="34"/>
  <c r="AB698" i="34"/>
  <c r="AC698" i="34"/>
  <c r="AD698" i="34"/>
  <c r="P699" i="34"/>
  <c r="T699" i="34"/>
  <c r="U699" i="34"/>
  <c r="V699" i="34"/>
  <c r="W699" i="34"/>
  <c r="X699" i="34"/>
  <c r="Y699" i="34"/>
  <c r="AA699" i="34"/>
  <c r="AB699" i="34"/>
  <c r="AC699" i="34"/>
  <c r="AD699" i="34"/>
  <c r="P700" i="34"/>
  <c r="T700" i="34"/>
  <c r="U700" i="34"/>
  <c r="V700" i="34"/>
  <c r="W700" i="34"/>
  <c r="X700" i="34"/>
  <c r="Y700" i="34"/>
  <c r="AA700" i="34"/>
  <c r="AB700" i="34"/>
  <c r="AC700" i="34"/>
  <c r="AD700" i="34"/>
  <c r="P701" i="34"/>
  <c r="T701" i="34"/>
  <c r="U701" i="34"/>
  <c r="V701" i="34"/>
  <c r="W701" i="34"/>
  <c r="X701" i="34"/>
  <c r="Y701" i="34"/>
  <c r="AA701" i="34"/>
  <c r="AB701" i="34"/>
  <c r="AC701" i="34"/>
  <c r="AD701" i="34"/>
  <c r="P702" i="34"/>
  <c r="T702" i="34"/>
  <c r="U702" i="34"/>
  <c r="V702" i="34"/>
  <c r="W702" i="34"/>
  <c r="X702" i="34"/>
  <c r="Y702" i="34"/>
  <c r="AA702" i="34"/>
  <c r="AB702" i="34"/>
  <c r="AC702" i="34"/>
  <c r="AD702" i="34"/>
  <c r="P703" i="34"/>
  <c r="T703" i="34"/>
  <c r="U703" i="34"/>
  <c r="V703" i="34"/>
  <c r="W703" i="34"/>
  <c r="X703" i="34"/>
  <c r="Y703" i="34"/>
  <c r="AA703" i="34"/>
  <c r="AB703" i="34"/>
  <c r="AC703" i="34"/>
  <c r="AD703" i="34"/>
  <c r="P704" i="34"/>
  <c r="T704" i="34"/>
  <c r="U704" i="34"/>
  <c r="V704" i="34"/>
  <c r="W704" i="34"/>
  <c r="X704" i="34"/>
  <c r="Y704" i="34"/>
  <c r="AA704" i="34"/>
  <c r="AB704" i="34"/>
  <c r="AC704" i="34"/>
  <c r="AD704" i="34"/>
  <c r="P705" i="34"/>
  <c r="T705" i="34"/>
  <c r="U705" i="34"/>
  <c r="V705" i="34"/>
  <c r="W705" i="34"/>
  <c r="X705" i="34"/>
  <c r="Y705" i="34"/>
  <c r="AA705" i="34"/>
  <c r="AB705" i="34"/>
  <c r="AC705" i="34"/>
  <c r="AD705" i="34"/>
  <c r="P706" i="34"/>
  <c r="T706" i="34"/>
  <c r="U706" i="34"/>
  <c r="V706" i="34"/>
  <c r="W706" i="34"/>
  <c r="X706" i="34"/>
  <c r="Y706" i="34"/>
  <c r="AA706" i="34"/>
  <c r="AB706" i="34"/>
  <c r="AC706" i="34"/>
  <c r="AD706" i="34"/>
  <c r="P707" i="34"/>
  <c r="T707" i="34"/>
  <c r="U707" i="34"/>
  <c r="V707" i="34"/>
  <c r="W707" i="34"/>
  <c r="X707" i="34"/>
  <c r="Y707" i="34"/>
  <c r="AA707" i="34"/>
  <c r="AB707" i="34"/>
  <c r="AC707" i="34"/>
  <c r="AD707" i="34"/>
  <c r="P708" i="34"/>
  <c r="T708" i="34"/>
  <c r="U708" i="34"/>
  <c r="V708" i="34"/>
  <c r="W708" i="34"/>
  <c r="X708" i="34"/>
  <c r="Y708" i="34"/>
  <c r="AA708" i="34"/>
  <c r="AB708" i="34"/>
  <c r="AC708" i="34"/>
  <c r="AD708" i="34"/>
  <c r="P709" i="34"/>
  <c r="T709" i="34"/>
  <c r="U709" i="34"/>
  <c r="V709" i="34"/>
  <c r="W709" i="34"/>
  <c r="X709" i="34"/>
  <c r="Y709" i="34"/>
  <c r="AA709" i="34"/>
  <c r="AB709" i="34"/>
  <c r="AC709" i="34"/>
  <c r="AD709" i="34"/>
  <c r="P710" i="34"/>
  <c r="T710" i="34"/>
  <c r="U710" i="34"/>
  <c r="V710" i="34"/>
  <c r="W710" i="34"/>
  <c r="X710" i="34"/>
  <c r="Y710" i="34"/>
  <c r="AA710" i="34"/>
  <c r="AB710" i="34"/>
  <c r="AC710" i="34"/>
  <c r="AD710" i="34"/>
  <c r="P711" i="34"/>
  <c r="T711" i="34"/>
  <c r="U711" i="34"/>
  <c r="V711" i="34"/>
  <c r="W711" i="34"/>
  <c r="X711" i="34"/>
  <c r="Y711" i="34"/>
  <c r="AA711" i="34"/>
  <c r="AB711" i="34"/>
  <c r="AC711" i="34"/>
  <c r="AD711" i="34"/>
  <c r="P712" i="34"/>
  <c r="T712" i="34"/>
  <c r="U712" i="34"/>
  <c r="V712" i="34"/>
  <c r="W712" i="34"/>
  <c r="X712" i="34"/>
  <c r="Y712" i="34"/>
  <c r="AA712" i="34"/>
  <c r="AB712" i="34"/>
  <c r="AC712" i="34"/>
  <c r="AD712" i="34"/>
  <c r="P713" i="34"/>
  <c r="T713" i="34"/>
  <c r="U713" i="34"/>
  <c r="V713" i="34"/>
  <c r="W713" i="34"/>
  <c r="X713" i="34"/>
  <c r="Y713" i="34"/>
  <c r="AA713" i="34"/>
  <c r="AB713" i="34"/>
  <c r="AC713" i="34"/>
  <c r="AD713" i="34"/>
  <c r="P714" i="34"/>
  <c r="T714" i="34"/>
  <c r="U714" i="34"/>
  <c r="V714" i="34"/>
  <c r="W714" i="34"/>
  <c r="X714" i="34"/>
  <c r="Y714" i="34"/>
  <c r="AA714" i="34"/>
  <c r="AB714" i="34"/>
  <c r="AC714" i="34"/>
  <c r="AD714" i="34"/>
  <c r="P715" i="34"/>
  <c r="T715" i="34"/>
  <c r="U715" i="34"/>
  <c r="V715" i="34"/>
  <c r="W715" i="34"/>
  <c r="X715" i="34"/>
  <c r="Y715" i="34"/>
  <c r="AB715" i="34"/>
  <c r="AC715" i="34"/>
  <c r="AD715" i="34"/>
  <c r="P716" i="34"/>
  <c r="T716" i="34"/>
  <c r="U716" i="34"/>
  <c r="V716" i="34"/>
  <c r="W716" i="34"/>
  <c r="X716" i="34"/>
  <c r="Y716" i="34"/>
  <c r="AA716" i="34"/>
  <c r="AB716" i="34"/>
  <c r="AC716" i="34"/>
  <c r="P717" i="34"/>
  <c r="T717" i="34"/>
  <c r="U717" i="34"/>
  <c r="V717" i="34"/>
  <c r="W717" i="34"/>
  <c r="X717" i="34"/>
  <c r="Y717" i="34"/>
  <c r="AA717" i="34"/>
  <c r="AB717" i="34"/>
  <c r="AC717" i="34"/>
  <c r="P718" i="34"/>
  <c r="T718" i="34"/>
  <c r="U718" i="34"/>
  <c r="V718" i="34"/>
  <c r="W718" i="34"/>
  <c r="X718" i="34"/>
  <c r="Y718" i="34"/>
  <c r="AA718" i="34"/>
  <c r="AB718" i="34"/>
  <c r="AC718" i="34"/>
  <c r="P719" i="34"/>
  <c r="T719" i="34"/>
  <c r="U719" i="34"/>
  <c r="V719" i="34"/>
  <c r="W719" i="34"/>
  <c r="X719" i="34"/>
  <c r="Y719" i="34"/>
  <c r="AA719" i="34"/>
  <c r="AB719" i="34"/>
  <c r="AC719" i="34"/>
  <c r="P720" i="34"/>
  <c r="T720" i="34"/>
  <c r="U720" i="34"/>
  <c r="V720" i="34"/>
  <c r="W720" i="34"/>
  <c r="X720" i="34"/>
  <c r="Y720" i="34"/>
  <c r="AA720" i="34"/>
  <c r="AB720" i="34"/>
  <c r="AC720" i="34"/>
  <c r="P721" i="34"/>
  <c r="T721" i="34"/>
  <c r="U721" i="34"/>
  <c r="V721" i="34"/>
  <c r="W721" i="34"/>
  <c r="X721" i="34"/>
  <c r="Y721" i="34"/>
  <c r="AA721" i="34"/>
  <c r="AB721" i="34"/>
  <c r="AC721" i="34"/>
  <c r="P722" i="34"/>
  <c r="T722" i="34"/>
  <c r="U722" i="34"/>
  <c r="V722" i="34"/>
  <c r="W722" i="34"/>
  <c r="X722" i="34"/>
  <c r="Y722" i="34"/>
  <c r="AA722" i="34"/>
  <c r="AB722" i="34"/>
  <c r="AC722" i="34"/>
  <c r="P723" i="34"/>
  <c r="T723" i="34"/>
  <c r="U723" i="34"/>
  <c r="V723" i="34"/>
  <c r="W723" i="34"/>
  <c r="X723" i="34"/>
  <c r="Y723" i="34"/>
  <c r="AA723" i="34"/>
  <c r="AB723" i="34"/>
  <c r="AC723" i="34"/>
  <c r="P724" i="34"/>
  <c r="T724" i="34"/>
  <c r="U724" i="34"/>
  <c r="V724" i="34"/>
  <c r="W724" i="34"/>
  <c r="X724" i="34"/>
  <c r="Y724" i="34"/>
  <c r="AA724" i="34"/>
  <c r="AB724" i="34"/>
  <c r="AC724" i="34"/>
  <c r="P725" i="34"/>
  <c r="T725" i="34"/>
  <c r="U725" i="34"/>
  <c r="V725" i="34"/>
  <c r="W725" i="34"/>
  <c r="X725" i="34"/>
  <c r="Y725" i="34"/>
  <c r="AA725" i="34"/>
  <c r="AB725" i="34"/>
  <c r="AC725" i="34"/>
  <c r="P726" i="34"/>
  <c r="T726" i="34"/>
  <c r="U726" i="34"/>
  <c r="V726" i="34"/>
  <c r="W726" i="34"/>
  <c r="X726" i="34"/>
  <c r="Y726" i="34"/>
  <c r="AA726" i="34"/>
  <c r="AB726" i="34"/>
  <c r="AC726" i="34"/>
  <c r="P727" i="34"/>
  <c r="T727" i="34"/>
  <c r="U727" i="34"/>
  <c r="V727" i="34"/>
  <c r="W727" i="34"/>
  <c r="X727" i="34"/>
  <c r="Y727" i="34"/>
  <c r="AA727" i="34"/>
  <c r="AB727" i="34"/>
  <c r="AC727" i="34"/>
  <c r="P728" i="34"/>
  <c r="T728" i="34"/>
  <c r="U728" i="34"/>
  <c r="V728" i="34"/>
  <c r="W728" i="34"/>
  <c r="X728" i="34"/>
  <c r="Y728" i="34"/>
  <c r="AA728" i="34"/>
  <c r="AB728" i="34"/>
  <c r="AC728" i="34"/>
  <c r="P729" i="34"/>
  <c r="T729" i="34"/>
  <c r="U729" i="34"/>
  <c r="V729" i="34"/>
  <c r="W729" i="34"/>
  <c r="X729" i="34"/>
  <c r="Y729" i="34"/>
  <c r="AA729" i="34"/>
  <c r="AB729" i="34"/>
  <c r="AC729" i="34"/>
  <c r="P730" i="34"/>
  <c r="T730" i="34"/>
  <c r="U730" i="34"/>
  <c r="V730" i="34"/>
  <c r="W730" i="34"/>
  <c r="X730" i="34"/>
  <c r="Y730" i="34"/>
  <c r="AA730" i="34"/>
  <c r="AB730" i="34"/>
  <c r="AC730" i="34"/>
  <c r="P731" i="34"/>
  <c r="T731" i="34"/>
  <c r="U731" i="34"/>
  <c r="V731" i="34"/>
  <c r="W731" i="34"/>
  <c r="X731" i="34"/>
  <c r="Y731" i="34"/>
  <c r="AA731" i="34"/>
  <c r="AB731" i="34"/>
  <c r="AC731" i="34"/>
  <c r="P732" i="34"/>
  <c r="T732" i="34"/>
  <c r="U732" i="34"/>
  <c r="V732" i="34"/>
  <c r="W732" i="34"/>
  <c r="X732" i="34"/>
  <c r="Y732" i="34"/>
  <c r="AA732" i="34"/>
  <c r="AB732" i="34"/>
  <c r="AC732" i="34"/>
  <c r="P733" i="34"/>
  <c r="T733" i="34"/>
  <c r="U733" i="34"/>
  <c r="V733" i="34"/>
  <c r="W733" i="34"/>
  <c r="X733" i="34"/>
  <c r="Y733" i="34"/>
  <c r="AA733" i="34"/>
  <c r="AB733" i="34"/>
  <c r="AC733" i="34"/>
  <c r="P734" i="34"/>
  <c r="T734" i="34"/>
  <c r="U734" i="34"/>
  <c r="V734" i="34"/>
  <c r="W734" i="34"/>
  <c r="X734" i="34"/>
  <c r="Y734" i="34"/>
  <c r="AA734" i="34"/>
  <c r="AB734" i="34"/>
  <c r="AC734" i="34"/>
  <c r="P735" i="34"/>
  <c r="T735" i="34"/>
  <c r="U735" i="34"/>
  <c r="V735" i="34"/>
  <c r="W735" i="34"/>
  <c r="X735" i="34"/>
  <c r="Y735" i="34"/>
  <c r="AB735" i="34"/>
  <c r="AC735" i="34"/>
  <c r="AD735" i="34"/>
  <c r="P736" i="34"/>
  <c r="T736" i="34"/>
  <c r="U736" i="34"/>
  <c r="V736" i="34"/>
  <c r="W736" i="34"/>
  <c r="X736" i="34"/>
  <c r="Y736" i="34"/>
  <c r="AB736" i="34"/>
  <c r="AC736" i="34"/>
  <c r="AD736" i="34"/>
  <c r="P737" i="34"/>
  <c r="T737" i="34"/>
  <c r="U737" i="34"/>
  <c r="V737" i="34"/>
  <c r="W737" i="34"/>
  <c r="X737" i="34"/>
  <c r="Y737" i="34"/>
  <c r="AB737" i="34"/>
  <c r="AC737" i="34"/>
  <c r="AD737" i="34"/>
  <c r="P738" i="34"/>
  <c r="T738" i="34"/>
  <c r="U738" i="34"/>
  <c r="V738" i="34"/>
  <c r="W738" i="34"/>
  <c r="X738" i="34"/>
  <c r="Y738" i="34"/>
  <c r="AB738" i="34"/>
  <c r="AC738" i="34"/>
  <c r="AD738" i="34"/>
  <c r="P739" i="34"/>
  <c r="T739" i="34"/>
  <c r="U739" i="34"/>
  <c r="V739" i="34"/>
  <c r="W739" i="34"/>
  <c r="X739" i="34"/>
  <c r="Y739" i="34"/>
  <c r="AB739" i="34"/>
  <c r="AC739" i="34"/>
  <c r="AD739" i="34"/>
  <c r="P740" i="34"/>
  <c r="T740" i="34"/>
  <c r="U740" i="34"/>
  <c r="V740" i="34"/>
  <c r="W740" i="34"/>
  <c r="X740" i="34"/>
  <c r="Y740" i="34"/>
  <c r="AB740" i="34"/>
  <c r="AC740" i="34"/>
  <c r="AD740" i="34"/>
  <c r="P741" i="34"/>
  <c r="T741" i="34"/>
  <c r="U741" i="34"/>
  <c r="V741" i="34"/>
  <c r="W741" i="34"/>
  <c r="X741" i="34"/>
  <c r="Y741" i="34"/>
  <c r="AB741" i="34"/>
  <c r="AC741" i="34"/>
  <c r="AD741" i="34"/>
  <c r="P742" i="34"/>
  <c r="T742" i="34"/>
  <c r="U742" i="34"/>
  <c r="V742" i="34"/>
  <c r="W742" i="34"/>
  <c r="X742" i="34"/>
  <c r="Y742" i="34"/>
  <c r="AB742" i="34"/>
  <c r="AC742" i="34"/>
  <c r="AD742" i="34"/>
  <c r="P743" i="34"/>
  <c r="T743" i="34"/>
  <c r="U743" i="34"/>
  <c r="V743" i="34"/>
  <c r="W743" i="34"/>
  <c r="X743" i="34"/>
  <c r="Y743" i="34"/>
  <c r="AB743" i="34"/>
  <c r="AC743" i="34"/>
  <c r="AD743" i="34"/>
  <c r="P744" i="34"/>
  <c r="T744" i="34"/>
  <c r="U744" i="34"/>
  <c r="V744" i="34"/>
  <c r="W744" i="34"/>
  <c r="X744" i="34"/>
  <c r="Y744" i="34"/>
  <c r="AB744" i="34"/>
  <c r="AC744" i="34"/>
  <c r="AD744" i="34"/>
  <c r="P745" i="34"/>
  <c r="T745" i="34"/>
  <c r="U745" i="34"/>
  <c r="V745" i="34"/>
  <c r="W745" i="34"/>
  <c r="X745" i="34"/>
  <c r="Y745" i="34"/>
  <c r="AB745" i="34"/>
  <c r="AC745" i="34"/>
  <c r="AD745" i="34"/>
  <c r="P746" i="34"/>
  <c r="T746" i="34"/>
  <c r="U746" i="34"/>
  <c r="V746" i="34"/>
  <c r="W746" i="34"/>
  <c r="X746" i="34"/>
  <c r="Y746" i="34"/>
  <c r="AB746" i="34"/>
  <c r="AC746" i="34"/>
  <c r="AD746" i="34"/>
  <c r="P747" i="34"/>
  <c r="T747" i="34"/>
  <c r="U747" i="34"/>
  <c r="V747" i="34"/>
  <c r="W747" i="34"/>
  <c r="X747" i="34"/>
  <c r="Y747" i="34"/>
  <c r="AB747" i="34"/>
  <c r="AC747" i="34"/>
  <c r="AD747" i="34"/>
  <c r="P748" i="34"/>
  <c r="T748" i="34"/>
  <c r="U748" i="34"/>
  <c r="V748" i="34"/>
  <c r="W748" i="34"/>
  <c r="X748" i="34"/>
  <c r="Y748" i="34"/>
  <c r="AB748" i="34"/>
  <c r="AC748" i="34"/>
  <c r="AD748" i="34"/>
  <c r="P749" i="34"/>
  <c r="T749" i="34"/>
  <c r="U749" i="34"/>
  <c r="V749" i="34"/>
  <c r="W749" i="34"/>
  <c r="X749" i="34"/>
  <c r="Y749" i="34"/>
  <c r="AB749" i="34"/>
  <c r="AC749" i="34"/>
  <c r="AD749" i="34"/>
  <c r="P750" i="34"/>
  <c r="T750" i="34"/>
  <c r="U750" i="34"/>
  <c r="V750" i="34"/>
  <c r="W750" i="34"/>
  <c r="X750" i="34"/>
  <c r="Y750" i="34"/>
  <c r="AB750" i="34"/>
  <c r="AC750" i="34"/>
  <c r="AD750" i="34"/>
  <c r="P751" i="34"/>
  <c r="T751" i="34"/>
  <c r="U751" i="34"/>
  <c r="V751" i="34"/>
  <c r="W751" i="34"/>
  <c r="X751" i="34"/>
  <c r="Y751" i="34"/>
  <c r="AB751" i="34"/>
  <c r="AC751" i="34"/>
  <c r="AD751" i="34"/>
  <c r="P752" i="34"/>
  <c r="T752" i="34"/>
  <c r="U752" i="34"/>
  <c r="V752" i="34"/>
  <c r="W752" i="34"/>
  <c r="X752" i="34"/>
  <c r="Y752" i="34"/>
  <c r="AB752" i="34"/>
  <c r="AC752" i="34"/>
  <c r="AD752" i="34"/>
  <c r="P753" i="34"/>
  <c r="T753" i="34"/>
  <c r="U753" i="34"/>
  <c r="V753" i="34"/>
  <c r="W753" i="34"/>
  <c r="X753" i="34"/>
  <c r="Y753" i="34"/>
  <c r="AB753" i="34"/>
  <c r="AC753" i="34"/>
  <c r="AD753" i="34"/>
  <c r="P754" i="34"/>
  <c r="T754" i="34"/>
  <c r="U754" i="34"/>
  <c r="V754" i="34"/>
  <c r="W754" i="34"/>
  <c r="X754" i="34"/>
  <c r="Y754" i="34"/>
  <c r="AB754" i="34"/>
  <c r="AC754" i="34"/>
  <c r="AD754" i="34"/>
  <c r="P755" i="34"/>
  <c r="T755" i="34"/>
  <c r="U755" i="34"/>
  <c r="V755" i="34"/>
  <c r="W755" i="34"/>
  <c r="X755" i="34"/>
  <c r="Y755" i="34"/>
  <c r="AB755" i="34"/>
  <c r="AC755" i="34"/>
  <c r="AD755" i="34"/>
  <c r="P756" i="34"/>
  <c r="T756" i="34"/>
  <c r="U756" i="34"/>
  <c r="V756" i="34"/>
  <c r="W756" i="34"/>
  <c r="X756" i="34"/>
  <c r="Y756" i="34"/>
  <c r="AB756" i="34"/>
  <c r="AC756" i="34"/>
  <c r="AD756" i="34"/>
  <c r="P757" i="34"/>
  <c r="T757" i="34"/>
  <c r="U757" i="34"/>
  <c r="V757" i="34"/>
  <c r="W757" i="34"/>
  <c r="X757" i="34"/>
  <c r="Y757" i="34"/>
  <c r="AB757" i="34"/>
  <c r="AC757" i="34"/>
  <c r="AD757" i="34"/>
  <c r="P758" i="34"/>
  <c r="T758" i="34"/>
  <c r="U758" i="34"/>
  <c r="V758" i="34"/>
  <c r="W758" i="34"/>
  <c r="X758" i="34"/>
  <c r="Y758" i="34"/>
  <c r="AB758" i="34"/>
  <c r="AC758" i="34"/>
  <c r="AD758" i="34"/>
  <c r="P759" i="34"/>
  <c r="T759" i="34"/>
  <c r="U759" i="34"/>
  <c r="V759" i="34"/>
  <c r="W759" i="34"/>
  <c r="X759" i="34"/>
  <c r="Y759" i="34"/>
  <c r="AB759" i="34"/>
  <c r="AC759" i="34"/>
  <c r="AD759" i="34"/>
  <c r="P760" i="34"/>
  <c r="T760" i="34"/>
  <c r="U760" i="34"/>
  <c r="V760" i="34"/>
  <c r="W760" i="34"/>
  <c r="X760" i="34"/>
  <c r="Y760" i="34"/>
  <c r="AB760" i="34"/>
  <c r="AC760" i="34"/>
  <c r="AD760" i="34"/>
  <c r="P761" i="34"/>
  <c r="T761" i="34"/>
  <c r="U761" i="34"/>
  <c r="V761" i="34"/>
  <c r="W761" i="34"/>
  <c r="X761" i="34"/>
  <c r="Y761" i="34"/>
  <c r="AB761" i="34"/>
  <c r="AC761" i="34"/>
  <c r="AD761" i="34"/>
  <c r="P762" i="34"/>
  <c r="T762" i="34"/>
  <c r="U762" i="34"/>
  <c r="V762" i="34"/>
  <c r="W762" i="34"/>
  <c r="X762" i="34"/>
  <c r="Y762" i="34"/>
  <c r="AB762" i="34"/>
  <c r="AC762" i="34"/>
  <c r="AD762" i="34"/>
  <c r="P763" i="34"/>
  <c r="T763" i="34"/>
  <c r="U763" i="34"/>
  <c r="V763" i="34"/>
  <c r="W763" i="34"/>
  <c r="X763" i="34"/>
  <c r="Y763" i="34"/>
  <c r="AB763" i="34"/>
  <c r="AC763" i="34"/>
  <c r="AD763" i="34"/>
  <c r="P764" i="34"/>
  <c r="T764" i="34"/>
  <c r="U764" i="34"/>
  <c r="V764" i="34"/>
  <c r="W764" i="34"/>
  <c r="X764" i="34"/>
  <c r="Y764" i="34"/>
  <c r="AB764" i="34"/>
  <c r="AC764" i="34"/>
  <c r="AD764" i="34"/>
  <c r="P765" i="34"/>
  <c r="T765" i="34"/>
  <c r="U765" i="34"/>
  <c r="V765" i="34"/>
  <c r="W765" i="34"/>
  <c r="X765" i="34"/>
  <c r="Y765" i="34"/>
  <c r="AB765" i="34"/>
  <c r="AC765" i="34"/>
  <c r="AD765" i="34"/>
  <c r="P766" i="34"/>
  <c r="T766" i="34"/>
  <c r="U766" i="34"/>
  <c r="V766" i="34"/>
  <c r="W766" i="34"/>
  <c r="X766" i="34"/>
  <c r="Y766" i="34"/>
  <c r="AB766" i="34"/>
  <c r="AC766" i="34"/>
  <c r="AD766" i="34"/>
  <c r="P767" i="34"/>
  <c r="T767" i="34"/>
  <c r="U767" i="34"/>
  <c r="V767" i="34"/>
  <c r="W767" i="34"/>
  <c r="X767" i="34"/>
  <c r="Y767" i="34"/>
  <c r="AB767" i="34"/>
  <c r="AC767" i="34"/>
  <c r="AD767" i="34"/>
  <c r="P768" i="34"/>
  <c r="T768" i="34"/>
  <c r="U768" i="34"/>
  <c r="V768" i="34"/>
  <c r="W768" i="34"/>
  <c r="X768" i="34"/>
  <c r="Y768" i="34"/>
  <c r="AB768" i="34"/>
  <c r="AC768" i="34"/>
  <c r="AD768" i="34"/>
  <c r="P769" i="34"/>
  <c r="T769" i="34"/>
  <c r="U769" i="34"/>
  <c r="V769" i="34"/>
  <c r="W769" i="34"/>
  <c r="X769" i="34"/>
  <c r="Y769" i="34"/>
  <c r="AB769" i="34"/>
  <c r="AC769" i="34"/>
  <c r="AD769" i="34"/>
  <c r="P770" i="34"/>
  <c r="T770" i="34"/>
  <c r="U770" i="34"/>
  <c r="V770" i="34"/>
  <c r="W770" i="34"/>
  <c r="X770" i="34"/>
  <c r="Y770" i="34"/>
  <c r="AB770" i="34"/>
  <c r="AC770" i="34"/>
  <c r="AD770" i="34"/>
  <c r="P771" i="34"/>
  <c r="T771" i="34"/>
  <c r="U771" i="34"/>
  <c r="V771" i="34"/>
  <c r="W771" i="34"/>
  <c r="X771" i="34"/>
  <c r="Y771" i="34"/>
  <c r="AB771" i="34"/>
  <c r="AC771" i="34"/>
  <c r="AD771" i="34"/>
  <c r="P772" i="34"/>
  <c r="T772" i="34"/>
  <c r="U772" i="34"/>
  <c r="V772" i="34"/>
  <c r="W772" i="34"/>
  <c r="X772" i="34"/>
  <c r="Y772" i="34"/>
  <c r="AB772" i="34"/>
  <c r="AC772" i="34"/>
  <c r="AD772" i="34"/>
  <c r="P773" i="34"/>
  <c r="T773" i="34"/>
  <c r="U773" i="34"/>
  <c r="V773" i="34"/>
  <c r="W773" i="34"/>
  <c r="X773" i="34"/>
  <c r="Y773" i="34"/>
  <c r="AB773" i="34"/>
  <c r="AC773" i="34"/>
  <c r="AD773" i="34"/>
  <c r="P774" i="34"/>
  <c r="T774" i="34"/>
  <c r="U774" i="34"/>
  <c r="V774" i="34"/>
  <c r="W774" i="34"/>
  <c r="X774" i="34"/>
  <c r="Y774" i="34"/>
  <c r="AB774" i="34"/>
  <c r="AC774" i="34"/>
  <c r="AD774" i="34"/>
  <c r="P775" i="34"/>
  <c r="T775" i="34"/>
  <c r="U775" i="34"/>
  <c r="V775" i="34"/>
  <c r="W775" i="34"/>
  <c r="X775" i="34"/>
  <c r="Y775" i="34"/>
  <c r="AB775" i="34"/>
  <c r="AC775" i="34"/>
  <c r="AD775" i="34"/>
  <c r="P776" i="34"/>
  <c r="T776" i="34"/>
  <c r="U776" i="34"/>
  <c r="V776" i="34"/>
  <c r="W776" i="34"/>
  <c r="X776" i="34"/>
  <c r="Y776" i="34"/>
  <c r="AB776" i="34"/>
  <c r="AC776" i="34"/>
  <c r="AD776" i="34"/>
  <c r="P777" i="34"/>
  <c r="T777" i="34"/>
  <c r="U777" i="34"/>
  <c r="V777" i="34"/>
  <c r="W777" i="34"/>
  <c r="X777" i="34"/>
  <c r="Y777" i="34"/>
  <c r="AB777" i="34"/>
  <c r="AC777" i="34"/>
  <c r="AD777" i="34"/>
  <c r="P778" i="34"/>
  <c r="T778" i="34"/>
  <c r="U778" i="34"/>
  <c r="V778" i="34"/>
  <c r="W778" i="34"/>
  <c r="X778" i="34"/>
  <c r="Y778" i="34"/>
  <c r="AB778" i="34"/>
  <c r="AC778" i="34"/>
  <c r="AD778" i="34"/>
  <c r="P779" i="34"/>
  <c r="T779" i="34"/>
  <c r="U779" i="34"/>
  <c r="V779" i="34"/>
  <c r="W779" i="34"/>
  <c r="X779" i="34"/>
  <c r="Y779" i="34"/>
  <c r="AB779" i="34"/>
  <c r="AC779" i="34"/>
  <c r="AD779" i="34"/>
  <c r="P780" i="34"/>
  <c r="T780" i="34"/>
  <c r="U780" i="34"/>
  <c r="V780" i="34"/>
  <c r="W780" i="34"/>
  <c r="X780" i="34"/>
  <c r="Y780" i="34"/>
  <c r="AB780" i="34"/>
  <c r="AC780" i="34"/>
  <c r="AD780" i="34"/>
  <c r="P781" i="34"/>
  <c r="T781" i="34"/>
  <c r="U781" i="34"/>
  <c r="V781" i="34"/>
  <c r="W781" i="34"/>
  <c r="X781" i="34"/>
  <c r="Y781" i="34"/>
  <c r="AB781" i="34"/>
  <c r="AC781" i="34"/>
  <c r="AD781" i="34"/>
  <c r="P782" i="34"/>
  <c r="T782" i="34"/>
  <c r="U782" i="34"/>
  <c r="V782" i="34"/>
  <c r="W782" i="34"/>
  <c r="X782" i="34"/>
  <c r="Y782" i="34"/>
  <c r="AB782" i="34"/>
  <c r="AC782" i="34"/>
  <c r="AD782" i="34"/>
  <c r="P783" i="34"/>
  <c r="T783" i="34"/>
  <c r="U783" i="34"/>
  <c r="V783" i="34"/>
  <c r="W783" i="34"/>
  <c r="X783" i="34"/>
  <c r="Y783" i="34"/>
  <c r="AB783" i="34"/>
  <c r="AC783" i="34"/>
  <c r="AD783" i="34"/>
  <c r="P784" i="34"/>
  <c r="T784" i="34"/>
  <c r="U784" i="34"/>
  <c r="V784" i="34"/>
  <c r="W784" i="34"/>
  <c r="X784" i="34"/>
  <c r="Y784" i="34"/>
  <c r="AB784" i="34"/>
  <c r="AC784" i="34"/>
  <c r="AD784" i="34"/>
  <c r="P785" i="34"/>
  <c r="T785" i="34"/>
  <c r="U785" i="34"/>
  <c r="V785" i="34"/>
  <c r="W785" i="34"/>
  <c r="X785" i="34"/>
  <c r="Y785" i="34"/>
  <c r="AB785" i="34"/>
  <c r="AC785" i="34"/>
  <c r="AD785" i="34"/>
  <c r="P786" i="34"/>
  <c r="T786" i="34"/>
  <c r="U786" i="34"/>
  <c r="V786" i="34"/>
  <c r="W786" i="34"/>
  <c r="X786" i="34"/>
  <c r="Y786" i="34"/>
  <c r="AB786" i="34"/>
  <c r="AC786" i="34"/>
  <c r="AD786" i="34"/>
  <c r="P787" i="34"/>
  <c r="T787" i="34"/>
  <c r="U787" i="34"/>
  <c r="V787" i="34"/>
  <c r="W787" i="34"/>
  <c r="X787" i="34"/>
  <c r="Y787" i="34"/>
  <c r="AA787" i="34"/>
  <c r="AB787" i="34"/>
  <c r="AC787" i="34"/>
  <c r="AD787" i="34"/>
  <c r="P788" i="34"/>
  <c r="T788" i="34"/>
  <c r="U788" i="34"/>
  <c r="V788" i="34"/>
  <c r="W788" i="34"/>
  <c r="X788" i="34"/>
  <c r="Y788" i="34"/>
  <c r="AA788" i="34"/>
  <c r="AB788" i="34"/>
  <c r="AC788" i="34"/>
  <c r="AD788" i="34"/>
  <c r="P789" i="34"/>
  <c r="T789" i="34"/>
  <c r="U789" i="34"/>
  <c r="V789" i="34"/>
  <c r="W789" i="34"/>
  <c r="X789" i="34"/>
  <c r="Y789" i="34"/>
  <c r="AA789" i="34"/>
  <c r="AB789" i="34"/>
  <c r="AC789" i="34"/>
  <c r="AD789" i="34"/>
  <c r="P790" i="34"/>
  <c r="T790" i="34"/>
  <c r="U790" i="34"/>
  <c r="V790" i="34"/>
  <c r="W790" i="34"/>
  <c r="X790" i="34"/>
  <c r="Y790" i="34"/>
  <c r="AA790" i="34"/>
  <c r="AB790" i="34"/>
  <c r="AC790" i="34"/>
  <c r="AD790" i="34"/>
  <c r="P791" i="34"/>
  <c r="T791" i="34"/>
  <c r="U791" i="34"/>
  <c r="V791" i="34"/>
  <c r="W791" i="34"/>
  <c r="X791" i="34"/>
  <c r="Y791" i="34"/>
  <c r="AA791" i="34"/>
  <c r="AB791" i="34"/>
  <c r="AC791" i="34"/>
  <c r="AD791" i="34"/>
  <c r="P792" i="34"/>
  <c r="T792" i="34"/>
  <c r="U792" i="34"/>
  <c r="V792" i="34"/>
  <c r="W792" i="34"/>
  <c r="X792" i="34"/>
  <c r="Y792" i="34"/>
  <c r="AA792" i="34"/>
  <c r="AB792" i="34"/>
  <c r="AC792" i="34"/>
  <c r="AD792" i="34"/>
  <c r="P793" i="34"/>
  <c r="T793" i="34"/>
  <c r="U793" i="34"/>
  <c r="V793" i="34"/>
  <c r="W793" i="34"/>
  <c r="X793" i="34"/>
  <c r="Y793" i="34"/>
  <c r="AA793" i="34"/>
  <c r="AB793" i="34"/>
  <c r="AC793" i="34"/>
  <c r="AD793" i="34"/>
  <c r="P794" i="34"/>
  <c r="T794" i="34"/>
  <c r="U794" i="34"/>
  <c r="V794" i="34"/>
  <c r="W794" i="34"/>
  <c r="X794" i="34"/>
  <c r="Y794" i="34"/>
  <c r="AA794" i="34"/>
  <c r="AB794" i="34"/>
  <c r="AC794" i="34"/>
  <c r="AD794" i="34"/>
  <c r="P795" i="34"/>
  <c r="T795" i="34"/>
  <c r="U795" i="34"/>
  <c r="V795" i="34"/>
  <c r="W795" i="34"/>
  <c r="X795" i="34"/>
  <c r="Y795" i="34"/>
  <c r="AA795" i="34"/>
  <c r="AB795" i="34"/>
  <c r="AC795" i="34"/>
  <c r="AD795" i="34"/>
  <c r="P796" i="34"/>
  <c r="T796" i="34"/>
  <c r="U796" i="34"/>
  <c r="V796" i="34"/>
  <c r="W796" i="34"/>
  <c r="X796" i="34"/>
  <c r="Y796" i="34"/>
  <c r="AA796" i="34"/>
  <c r="AB796" i="34"/>
  <c r="AC796" i="34"/>
  <c r="AD796" i="34"/>
  <c r="P797" i="34"/>
  <c r="T797" i="34"/>
  <c r="U797" i="34"/>
  <c r="V797" i="34"/>
  <c r="W797" i="34"/>
  <c r="X797" i="34"/>
  <c r="Y797" i="34"/>
  <c r="AA797" i="34"/>
  <c r="AB797" i="34"/>
  <c r="AC797" i="34"/>
  <c r="AD797" i="34"/>
  <c r="P798" i="34"/>
  <c r="T798" i="34"/>
  <c r="U798" i="34"/>
  <c r="V798" i="34"/>
  <c r="W798" i="34"/>
  <c r="X798" i="34"/>
  <c r="Y798" i="34"/>
  <c r="AA798" i="34"/>
  <c r="AB798" i="34"/>
  <c r="AC798" i="34"/>
  <c r="AD798" i="34"/>
  <c r="P799" i="34"/>
  <c r="T799" i="34"/>
  <c r="U799" i="34"/>
  <c r="V799" i="34"/>
  <c r="W799" i="34"/>
  <c r="X799" i="34"/>
  <c r="Y799" i="34"/>
  <c r="AA799" i="34"/>
  <c r="AB799" i="34"/>
  <c r="AC799" i="34"/>
  <c r="AD799" i="34"/>
  <c r="P800" i="34"/>
  <c r="T800" i="34"/>
  <c r="U800" i="34"/>
  <c r="V800" i="34"/>
  <c r="W800" i="34"/>
  <c r="X800" i="34"/>
  <c r="Y800" i="34"/>
  <c r="AA800" i="34"/>
  <c r="AB800" i="34"/>
  <c r="AC800" i="34"/>
  <c r="AD800" i="34"/>
  <c r="P801" i="34"/>
  <c r="T801" i="34"/>
  <c r="U801" i="34"/>
  <c r="V801" i="34"/>
  <c r="W801" i="34"/>
  <c r="X801" i="34"/>
  <c r="Y801" i="34"/>
  <c r="AA801" i="34"/>
  <c r="AB801" i="34"/>
  <c r="AC801" i="34"/>
  <c r="AD801" i="34"/>
  <c r="P802" i="34"/>
  <c r="T802" i="34"/>
  <c r="U802" i="34"/>
  <c r="V802" i="34"/>
  <c r="W802" i="34"/>
  <c r="X802" i="34"/>
  <c r="Y802" i="34"/>
  <c r="AA802" i="34"/>
  <c r="AB802" i="34"/>
  <c r="AC802" i="34"/>
  <c r="AD802" i="34"/>
  <c r="P803" i="34"/>
  <c r="T803" i="34"/>
  <c r="U803" i="34"/>
  <c r="V803" i="34"/>
  <c r="W803" i="34"/>
  <c r="X803" i="34"/>
  <c r="Y803" i="34"/>
  <c r="AA803" i="34"/>
  <c r="AB803" i="34"/>
  <c r="AC803" i="34"/>
  <c r="AD803" i="34"/>
  <c r="P804" i="34"/>
  <c r="T804" i="34"/>
  <c r="U804" i="34"/>
  <c r="V804" i="34"/>
  <c r="W804" i="34"/>
  <c r="X804" i="34"/>
  <c r="Y804" i="34"/>
  <c r="AA804" i="34"/>
  <c r="AB804" i="34"/>
  <c r="AC804" i="34"/>
  <c r="AD804" i="34"/>
  <c r="P805" i="34"/>
  <c r="T805" i="34"/>
  <c r="U805" i="34"/>
  <c r="V805" i="34"/>
  <c r="W805" i="34"/>
  <c r="X805" i="34"/>
  <c r="Y805" i="34"/>
  <c r="AA805" i="34"/>
  <c r="AB805" i="34"/>
  <c r="AC805" i="34"/>
  <c r="AD805" i="34"/>
  <c r="P806" i="34"/>
  <c r="T806" i="34"/>
  <c r="U806" i="34"/>
  <c r="V806" i="34"/>
  <c r="W806" i="34"/>
  <c r="X806" i="34"/>
  <c r="Y806" i="34"/>
  <c r="AA806" i="34"/>
  <c r="AB806" i="34"/>
  <c r="AC806" i="34"/>
  <c r="AD806" i="34"/>
  <c r="P807" i="34"/>
  <c r="T807" i="34"/>
  <c r="U807" i="34"/>
  <c r="V807" i="34"/>
  <c r="W807" i="34"/>
  <c r="X807" i="34"/>
  <c r="Y807" i="34"/>
  <c r="AA807" i="34"/>
  <c r="AB807" i="34"/>
  <c r="AC807" i="34"/>
  <c r="AD807" i="34"/>
  <c r="P808" i="34"/>
  <c r="T808" i="34"/>
  <c r="U808" i="34"/>
  <c r="V808" i="34"/>
  <c r="W808" i="34"/>
  <c r="X808" i="34"/>
  <c r="Y808" i="34"/>
  <c r="AA808" i="34"/>
  <c r="AB808" i="34"/>
  <c r="AC808" i="34"/>
  <c r="AD808" i="34"/>
  <c r="P809" i="34"/>
  <c r="T809" i="34"/>
  <c r="U809" i="34"/>
  <c r="V809" i="34"/>
  <c r="W809" i="34"/>
  <c r="X809" i="34"/>
  <c r="Y809" i="34"/>
  <c r="AA809" i="34"/>
  <c r="AB809" i="34"/>
  <c r="AC809" i="34"/>
  <c r="AD809" i="34"/>
  <c r="P810" i="34"/>
  <c r="T810" i="34"/>
  <c r="U810" i="34"/>
  <c r="V810" i="34"/>
  <c r="W810" i="34"/>
  <c r="X810" i="34"/>
  <c r="Y810" i="34"/>
  <c r="AA810" i="34"/>
  <c r="AB810" i="34"/>
  <c r="AC810" i="34"/>
  <c r="AD810" i="34"/>
  <c r="P811" i="34"/>
  <c r="T811" i="34"/>
  <c r="U811" i="34"/>
  <c r="V811" i="34"/>
  <c r="W811" i="34"/>
  <c r="X811" i="34"/>
  <c r="Y811" i="34"/>
  <c r="AA811" i="34"/>
  <c r="AB811" i="34"/>
  <c r="AC811" i="34"/>
  <c r="AD811" i="34"/>
  <c r="P812" i="34"/>
  <c r="T812" i="34"/>
  <c r="U812" i="34"/>
  <c r="V812" i="34"/>
  <c r="W812" i="34"/>
  <c r="X812" i="34"/>
  <c r="Y812" i="34"/>
  <c r="AA812" i="34"/>
  <c r="AB812" i="34"/>
  <c r="AC812" i="34"/>
  <c r="AD812" i="34"/>
  <c r="P813" i="34"/>
  <c r="T813" i="34"/>
  <c r="U813" i="34"/>
  <c r="V813" i="34"/>
  <c r="W813" i="34"/>
  <c r="X813" i="34"/>
  <c r="Y813" i="34"/>
  <c r="AA813" i="34"/>
  <c r="AB813" i="34"/>
  <c r="AC813" i="34"/>
  <c r="AD813" i="34"/>
  <c r="P814" i="34"/>
  <c r="T814" i="34"/>
  <c r="U814" i="34"/>
  <c r="V814" i="34"/>
  <c r="W814" i="34"/>
  <c r="X814" i="34"/>
  <c r="Y814" i="34"/>
  <c r="AA814" i="34"/>
  <c r="AB814" i="34"/>
  <c r="AC814" i="34"/>
  <c r="AD814" i="34"/>
  <c r="P815" i="34"/>
  <c r="T815" i="34"/>
  <c r="U815" i="34"/>
  <c r="V815" i="34"/>
  <c r="W815" i="34"/>
  <c r="X815" i="34"/>
  <c r="Y815" i="34"/>
  <c r="AA815" i="34"/>
  <c r="AB815" i="34"/>
  <c r="AC815" i="34"/>
  <c r="AD815" i="34"/>
  <c r="P816" i="34"/>
  <c r="T816" i="34"/>
  <c r="U816" i="34"/>
  <c r="V816" i="34"/>
  <c r="W816" i="34"/>
  <c r="X816" i="34"/>
  <c r="Y816" i="34"/>
  <c r="AA816" i="34"/>
  <c r="AB816" i="34"/>
  <c r="AC816" i="34"/>
  <c r="AD816" i="34"/>
  <c r="P817" i="34"/>
  <c r="T817" i="34"/>
  <c r="U817" i="34"/>
  <c r="V817" i="34"/>
  <c r="W817" i="34"/>
  <c r="X817" i="34"/>
  <c r="Y817" i="34"/>
  <c r="AA817" i="34"/>
  <c r="AB817" i="34"/>
  <c r="AC817" i="34"/>
  <c r="AD817" i="34"/>
  <c r="P818" i="34"/>
  <c r="T818" i="34"/>
  <c r="U818" i="34"/>
  <c r="V818" i="34"/>
  <c r="W818" i="34"/>
  <c r="X818" i="34"/>
  <c r="Y818" i="34"/>
  <c r="AA818" i="34"/>
  <c r="AB818" i="34"/>
  <c r="AC818" i="34"/>
  <c r="AD818" i="34"/>
  <c r="P819" i="34"/>
  <c r="T819" i="34"/>
  <c r="U819" i="34"/>
  <c r="V819" i="34"/>
  <c r="W819" i="34"/>
  <c r="X819" i="34"/>
  <c r="Y819" i="34"/>
  <c r="AA819" i="34"/>
  <c r="AB819" i="34"/>
  <c r="AC819" i="34"/>
  <c r="AD819" i="34"/>
  <c r="P820" i="34"/>
  <c r="T820" i="34"/>
  <c r="U820" i="34"/>
  <c r="V820" i="34"/>
  <c r="W820" i="34"/>
  <c r="X820" i="34"/>
  <c r="Y820" i="34"/>
  <c r="AA820" i="34"/>
  <c r="AB820" i="34"/>
  <c r="AC820" i="34"/>
  <c r="AD820" i="34"/>
  <c r="P821" i="34"/>
  <c r="T821" i="34"/>
  <c r="U821" i="34"/>
  <c r="V821" i="34"/>
  <c r="W821" i="34"/>
  <c r="X821" i="34"/>
  <c r="Y821" i="34"/>
  <c r="AA821" i="34"/>
  <c r="AB821" i="34"/>
  <c r="AC821" i="34"/>
  <c r="AD821" i="34"/>
  <c r="P822" i="34"/>
  <c r="T822" i="34"/>
  <c r="U822" i="34"/>
  <c r="V822" i="34"/>
  <c r="W822" i="34"/>
  <c r="X822" i="34"/>
  <c r="Y822" i="34"/>
  <c r="AA822" i="34"/>
  <c r="AB822" i="34"/>
  <c r="AC822" i="34"/>
  <c r="AD822" i="34"/>
  <c r="P823" i="34"/>
  <c r="T823" i="34"/>
  <c r="U823" i="34"/>
  <c r="V823" i="34"/>
  <c r="W823" i="34"/>
  <c r="X823" i="34"/>
  <c r="Y823" i="34"/>
  <c r="AA823" i="34"/>
  <c r="AB823" i="34"/>
  <c r="AC823" i="34"/>
  <c r="AD823" i="34"/>
  <c r="P824" i="34"/>
  <c r="T824" i="34"/>
  <c r="U824" i="34"/>
  <c r="V824" i="34"/>
  <c r="W824" i="34"/>
  <c r="X824" i="34"/>
  <c r="Y824" i="34"/>
  <c r="AA824" i="34"/>
  <c r="AB824" i="34"/>
  <c r="AC824" i="34"/>
  <c r="AD824" i="34"/>
  <c r="P825" i="34"/>
  <c r="T825" i="34"/>
  <c r="U825" i="34"/>
  <c r="V825" i="34"/>
  <c r="W825" i="34"/>
  <c r="X825" i="34"/>
  <c r="Y825" i="34"/>
  <c r="AA825" i="34"/>
  <c r="AB825" i="34"/>
  <c r="AC825" i="34"/>
  <c r="AD825" i="34"/>
  <c r="P826" i="34"/>
  <c r="T826" i="34"/>
  <c r="U826" i="34"/>
  <c r="V826" i="34"/>
  <c r="W826" i="34"/>
  <c r="X826" i="34"/>
  <c r="Y826" i="34"/>
  <c r="AA826" i="34"/>
  <c r="AB826" i="34"/>
  <c r="AC826" i="34"/>
  <c r="AD826" i="34"/>
  <c r="P827" i="34"/>
  <c r="T827" i="34"/>
  <c r="U827" i="34"/>
  <c r="V827" i="34"/>
  <c r="W827" i="34"/>
  <c r="X827" i="34"/>
  <c r="Y827" i="34"/>
  <c r="AA827" i="34"/>
  <c r="AB827" i="34"/>
  <c r="AC827" i="34"/>
  <c r="AD827" i="34"/>
  <c r="P828" i="34"/>
  <c r="T828" i="34"/>
  <c r="U828" i="34"/>
  <c r="V828" i="34"/>
  <c r="W828" i="34"/>
  <c r="X828" i="34"/>
  <c r="Y828" i="34"/>
  <c r="AA828" i="34"/>
  <c r="AB828" i="34"/>
  <c r="AC828" i="34"/>
  <c r="AD828" i="34"/>
  <c r="P829" i="34"/>
  <c r="T829" i="34"/>
  <c r="U829" i="34"/>
  <c r="V829" i="34"/>
  <c r="W829" i="34"/>
  <c r="X829" i="34"/>
  <c r="Y829" i="34"/>
  <c r="AA829" i="34"/>
  <c r="AB829" i="34"/>
  <c r="AC829" i="34"/>
  <c r="AD829" i="34"/>
  <c r="P830" i="34"/>
  <c r="T830" i="34"/>
  <c r="U830" i="34"/>
  <c r="V830" i="34"/>
  <c r="W830" i="34"/>
  <c r="X830" i="34"/>
  <c r="Y830" i="34"/>
  <c r="AA830" i="34"/>
  <c r="AB830" i="34"/>
  <c r="AC830" i="34"/>
  <c r="AD830" i="34"/>
  <c r="P831" i="34"/>
  <c r="T831" i="34"/>
  <c r="U831" i="34"/>
  <c r="V831" i="34"/>
  <c r="W831" i="34"/>
  <c r="X831" i="34"/>
  <c r="Y831" i="34"/>
  <c r="AA831" i="34"/>
  <c r="AB831" i="34"/>
  <c r="AC831" i="34"/>
  <c r="AD831" i="34"/>
  <c r="P832" i="34"/>
  <c r="T832" i="34"/>
  <c r="U832" i="34"/>
  <c r="V832" i="34"/>
  <c r="W832" i="34"/>
  <c r="X832" i="34"/>
  <c r="Y832" i="34"/>
  <c r="AA832" i="34"/>
  <c r="AB832" i="34"/>
  <c r="AC832" i="34"/>
  <c r="AD832" i="34"/>
  <c r="P833" i="34"/>
  <c r="T833" i="34"/>
  <c r="U833" i="34"/>
  <c r="V833" i="34"/>
  <c r="W833" i="34"/>
  <c r="X833" i="34"/>
  <c r="Y833" i="34"/>
  <c r="AA833" i="34"/>
  <c r="AB833" i="34"/>
  <c r="AC833" i="34"/>
  <c r="AD833" i="34"/>
  <c r="P834" i="34"/>
  <c r="T834" i="34"/>
  <c r="U834" i="34"/>
  <c r="V834" i="34"/>
  <c r="W834" i="34"/>
  <c r="X834" i="34"/>
  <c r="Y834" i="34"/>
  <c r="AA834" i="34"/>
  <c r="AB834" i="34"/>
  <c r="AC834" i="34"/>
  <c r="AD834" i="34"/>
  <c r="P835" i="34"/>
  <c r="T835" i="34"/>
  <c r="U835" i="34"/>
  <c r="V835" i="34"/>
  <c r="W835" i="34"/>
  <c r="X835" i="34"/>
  <c r="Y835" i="34"/>
  <c r="AA835" i="34"/>
  <c r="AB835" i="34"/>
  <c r="AC835" i="34"/>
  <c r="AD835" i="34"/>
  <c r="P836" i="34"/>
  <c r="T836" i="34"/>
  <c r="U836" i="34"/>
  <c r="V836" i="34"/>
  <c r="W836" i="34"/>
  <c r="X836" i="34"/>
  <c r="Y836" i="34"/>
  <c r="AA836" i="34"/>
  <c r="AB836" i="34"/>
  <c r="AC836" i="34"/>
  <c r="AD836" i="34"/>
  <c r="P837" i="34"/>
  <c r="T837" i="34"/>
  <c r="U837" i="34"/>
  <c r="V837" i="34"/>
  <c r="W837" i="34"/>
  <c r="X837" i="34"/>
  <c r="Y837" i="34"/>
  <c r="AA837" i="34"/>
  <c r="AB837" i="34"/>
  <c r="AC837" i="34"/>
  <c r="AD837" i="34"/>
  <c r="P838" i="34"/>
  <c r="T838" i="34"/>
  <c r="U838" i="34"/>
  <c r="V838" i="34"/>
  <c r="W838" i="34"/>
  <c r="X838" i="34"/>
  <c r="Y838" i="34"/>
  <c r="AA838" i="34"/>
  <c r="AB838" i="34"/>
  <c r="AC838" i="34"/>
  <c r="AD838" i="34"/>
  <c r="P839" i="34"/>
  <c r="T839" i="34"/>
  <c r="U839" i="34"/>
  <c r="V839" i="34"/>
  <c r="W839" i="34"/>
  <c r="X839" i="34"/>
  <c r="Y839" i="34"/>
  <c r="AA839" i="34"/>
  <c r="AB839" i="34"/>
  <c r="AC839" i="34"/>
  <c r="AD839" i="34"/>
  <c r="P840" i="34"/>
  <c r="T840" i="34"/>
  <c r="U840" i="34"/>
  <c r="V840" i="34"/>
  <c r="W840" i="34"/>
  <c r="X840" i="34"/>
  <c r="Y840" i="34"/>
  <c r="AA840" i="34"/>
  <c r="AB840" i="34"/>
  <c r="AC840" i="34"/>
  <c r="AD840" i="34"/>
  <c r="P841" i="34"/>
  <c r="T841" i="34"/>
  <c r="U841" i="34"/>
  <c r="V841" i="34"/>
  <c r="W841" i="34"/>
  <c r="X841" i="34"/>
  <c r="Y841" i="34"/>
  <c r="AA841" i="34"/>
  <c r="AB841" i="34"/>
  <c r="AC841" i="34"/>
  <c r="AD841" i="34"/>
  <c r="P842" i="34"/>
  <c r="T842" i="34"/>
  <c r="U842" i="34"/>
  <c r="V842" i="34"/>
  <c r="W842" i="34"/>
  <c r="X842" i="34"/>
  <c r="Y842" i="34"/>
  <c r="AA842" i="34"/>
  <c r="AB842" i="34"/>
  <c r="AC842" i="34"/>
  <c r="AD842" i="34"/>
  <c r="P843" i="34"/>
  <c r="T843" i="34"/>
  <c r="U843" i="34"/>
  <c r="V843" i="34"/>
  <c r="W843" i="34"/>
  <c r="X843" i="34"/>
  <c r="Y843" i="34"/>
  <c r="AA843" i="34"/>
  <c r="AB843" i="34"/>
  <c r="AC843" i="34"/>
  <c r="AD843" i="34"/>
  <c r="P844" i="34"/>
  <c r="T844" i="34"/>
  <c r="U844" i="34"/>
  <c r="V844" i="34"/>
  <c r="W844" i="34"/>
  <c r="X844" i="34"/>
  <c r="Y844" i="34"/>
  <c r="AA844" i="34"/>
  <c r="AB844" i="34"/>
  <c r="AC844" i="34"/>
  <c r="AD844" i="34"/>
  <c r="P845" i="34"/>
  <c r="T845" i="34"/>
  <c r="U845" i="34"/>
  <c r="V845" i="34"/>
  <c r="W845" i="34"/>
  <c r="X845" i="34"/>
  <c r="Y845" i="34"/>
  <c r="AA845" i="34"/>
  <c r="AB845" i="34"/>
  <c r="AC845" i="34"/>
  <c r="AD845" i="34"/>
  <c r="P846" i="34"/>
  <c r="T846" i="34"/>
  <c r="U846" i="34"/>
  <c r="V846" i="34"/>
  <c r="W846" i="34"/>
  <c r="X846" i="34"/>
  <c r="Y846" i="34"/>
  <c r="AA846" i="34"/>
  <c r="AB846" i="34"/>
  <c r="AC846" i="34"/>
  <c r="AD846" i="34"/>
  <c r="P847" i="34"/>
  <c r="T847" i="34"/>
  <c r="U847" i="34"/>
  <c r="V847" i="34"/>
  <c r="W847" i="34"/>
  <c r="X847" i="34"/>
  <c r="Y847" i="34"/>
  <c r="AA847" i="34"/>
  <c r="AB847" i="34"/>
  <c r="AC847" i="34"/>
  <c r="AD847" i="34"/>
  <c r="P848" i="34"/>
  <c r="T848" i="34"/>
  <c r="U848" i="34"/>
  <c r="V848" i="34"/>
  <c r="W848" i="34"/>
  <c r="X848" i="34"/>
  <c r="Y848" i="34"/>
  <c r="AA848" i="34"/>
  <c r="AB848" i="34"/>
  <c r="AC848" i="34"/>
  <c r="AD848" i="34"/>
  <c r="P849" i="34"/>
  <c r="T849" i="34"/>
  <c r="U849" i="34"/>
  <c r="V849" i="34"/>
  <c r="W849" i="34"/>
  <c r="X849" i="34"/>
  <c r="Y849" i="34"/>
  <c r="AA849" i="34"/>
  <c r="AB849" i="34"/>
  <c r="AC849" i="34"/>
  <c r="AD849" i="34"/>
  <c r="P850" i="34"/>
  <c r="T850" i="34"/>
  <c r="U850" i="34"/>
  <c r="V850" i="34"/>
  <c r="W850" i="34"/>
  <c r="X850" i="34"/>
  <c r="Y850" i="34"/>
  <c r="AA850" i="34"/>
  <c r="AB850" i="34"/>
  <c r="AC850" i="34"/>
  <c r="AD850" i="34"/>
  <c r="P851" i="34"/>
  <c r="T851" i="34"/>
  <c r="U851" i="34"/>
  <c r="V851" i="34"/>
  <c r="W851" i="34"/>
  <c r="X851" i="34"/>
  <c r="Y851" i="34"/>
  <c r="AA851" i="34"/>
  <c r="AB851" i="34"/>
  <c r="AC851" i="34"/>
  <c r="AD851" i="34"/>
  <c r="P852" i="34"/>
  <c r="T852" i="34"/>
  <c r="U852" i="34"/>
  <c r="V852" i="34"/>
  <c r="W852" i="34"/>
  <c r="X852" i="34"/>
  <c r="Y852" i="34"/>
  <c r="AA852" i="34"/>
  <c r="AB852" i="34"/>
  <c r="AC852" i="34"/>
  <c r="AD852" i="34"/>
  <c r="P853" i="34"/>
  <c r="T853" i="34"/>
  <c r="U853" i="34"/>
  <c r="V853" i="34"/>
  <c r="W853" i="34"/>
  <c r="X853" i="34"/>
  <c r="Y853" i="34"/>
  <c r="AA853" i="34"/>
  <c r="AB853" i="34"/>
  <c r="AC853" i="34"/>
  <c r="AD853" i="34"/>
  <c r="P854" i="34"/>
  <c r="T854" i="34"/>
  <c r="U854" i="34"/>
  <c r="V854" i="34"/>
  <c r="W854" i="34"/>
  <c r="X854" i="34"/>
  <c r="Y854" i="34"/>
  <c r="AA854" i="34"/>
  <c r="AB854" i="34"/>
  <c r="AC854" i="34"/>
  <c r="AD854" i="34"/>
  <c r="P855" i="34"/>
  <c r="T855" i="34"/>
  <c r="U855" i="34"/>
  <c r="V855" i="34"/>
  <c r="W855" i="34"/>
  <c r="X855" i="34"/>
  <c r="Y855" i="34"/>
  <c r="AA855" i="34"/>
  <c r="AB855" i="34"/>
  <c r="AC855" i="34"/>
  <c r="AD855" i="34"/>
  <c r="P856" i="34"/>
  <c r="T856" i="34"/>
  <c r="U856" i="34"/>
  <c r="V856" i="34"/>
  <c r="W856" i="34"/>
  <c r="X856" i="34"/>
  <c r="Y856" i="34"/>
  <c r="AA856" i="34"/>
  <c r="AB856" i="34"/>
  <c r="AC856" i="34"/>
  <c r="AD856" i="34"/>
  <c r="P857" i="34"/>
  <c r="T857" i="34"/>
  <c r="U857" i="34"/>
  <c r="V857" i="34"/>
  <c r="W857" i="34"/>
  <c r="X857" i="34"/>
  <c r="Y857" i="34"/>
  <c r="AA857" i="34"/>
  <c r="AB857" i="34"/>
  <c r="AC857" i="34"/>
  <c r="AD857" i="34"/>
  <c r="P858" i="34"/>
  <c r="T858" i="34"/>
  <c r="U858" i="34"/>
  <c r="V858" i="34"/>
  <c r="W858" i="34"/>
  <c r="X858" i="34"/>
  <c r="Y858" i="34"/>
  <c r="AA858" i="34"/>
  <c r="AB858" i="34"/>
  <c r="AC858" i="34"/>
  <c r="AD858" i="34"/>
  <c r="P859" i="34"/>
  <c r="T859" i="34"/>
  <c r="U859" i="34"/>
  <c r="V859" i="34"/>
  <c r="W859" i="34"/>
  <c r="X859" i="34"/>
  <c r="Y859" i="34"/>
  <c r="AA859" i="34"/>
  <c r="AB859" i="34"/>
  <c r="AC859" i="34"/>
  <c r="AD859" i="34"/>
  <c r="P860" i="34"/>
  <c r="T860" i="34"/>
  <c r="U860" i="34"/>
  <c r="V860" i="34"/>
  <c r="W860" i="34"/>
  <c r="X860" i="34"/>
  <c r="Y860" i="34"/>
  <c r="AA860" i="34"/>
  <c r="AB860" i="34"/>
  <c r="AC860" i="34"/>
  <c r="AD860" i="34"/>
  <c r="P861" i="34"/>
  <c r="T861" i="34"/>
  <c r="U861" i="34"/>
  <c r="V861" i="34"/>
  <c r="W861" i="34"/>
  <c r="X861" i="34"/>
  <c r="Y861" i="34"/>
  <c r="AA861" i="34"/>
  <c r="AB861" i="34"/>
  <c r="AC861" i="34"/>
  <c r="AD861" i="34"/>
  <c r="P862" i="34"/>
  <c r="T862" i="34"/>
  <c r="U862" i="34"/>
  <c r="V862" i="34"/>
  <c r="W862" i="34"/>
  <c r="X862" i="34"/>
  <c r="Y862" i="34"/>
  <c r="AA862" i="34"/>
  <c r="AB862" i="34"/>
  <c r="AC862" i="34"/>
  <c r="AD862" i="34"/>
  <c r="P863" i="34"/>
  <c r="T863" i="34"/>
  <c r="U863" i="34"/>
  <c r="V863" i="34"/>
  <c r="W863" i="34"/>
  <c r="X863" i="34"/>
  <c r="Y863" i="34"/>
  <c r="AA863" i="34"/>
  <c r="AB863" i="34"/>
  <c r="AC863" i="34"/>
  <c r="AD863" i="34"/>
  <c r="P864" i="34"/>
  <c r="T864" i="34"/>
  <c r="U864" i="34"/>
  <c r="V864" i="34"/>
  <c r="W864" i="34"/>
  <c r="X864" i="34"/>
  <c r="Y864" i="34"/>
  <c r="AA864" i="34"/>
  <c r="AB864" i="34"/>
  <c r="AC864" i="34"/>
  <c r="AD864" i="34"/>
  <c r="P865" i="34"/>
  <c r="T865" i="34"/>
  <c r="U865" i="34"/>
  <c r="V865" i="34"/>
  <c r="W865" i="34"/>
  <c r="X865" i="34"/>
  <c r="Y865" i="34"/>
  <c r="AA865" i="34"/>
  <c r="AB865" i="34"/>
  <c r="AC865" i="34"/>
  <c r="AD865" i="34"/>
  <c r="P866" i="34"/>
  <c r="T866" i="34"/>
  <c r="U866" i="34"/>
  <c r="V866" i="34"/>
  <c r="W866" i="34"/>
  <c r="X866" i="34"/>
  <c r="Y866" i="34"/>
  <c r="AA866" i="34"/>
  <c r="AB866" i="34"/>
  <c r="AC866" i="34"/>
  <c r="AD866" i="34"/>
  <c r="P867" i="34"/>
  <c r="T867" i="34"/>
  <c r="U867" i="34"/>
  <c r="V867" i="34"/>
  <c r="W867" i="34"/>
  <c r="X867" i="34"/>
  <c r="Y867" i="34"/>
  <c r="AA867" i="34"/>
  <c r="AB867" i="34"/>
  <c r="AC867" i="34"/>
  <c r="AD867" i="34"/>
  <c r="P868" i="34"/>
  <c r="T868" i="34"/>
  <c r="U868" i="34"/>
  <c r="V868" i="34"/>
  <c r="W868" i="34"/>
  <c r="X868" i="34"/>
  <c r="Y868" i="34"/>
  <c r="AA868" i="34"/>
  <c r="AB868" i="34"/>
  <c r="AC868" i="34"/>
  <c r="AD868" i="34"/>
  <c r="P869" i="34"/>
  <c r="T869" i="34"/>
  <c r="U869" i="34"/>
  <c r="V869" i="34"/>
  <c r="W869" i="34"/>
  <c r="X869" i="34"/>
  <c r="Y869" i="34"/>
  <c r="AA869" i="34"/>
  <c r="AB869" i="34"/>
  <c r="AC869" i="34"/>
  <c r="AD869" i="34"/>
  <c r="P870" i="34"/>
  <c r="T870" i="34"/>
  <c r="U870" i="34"/>
  <c r="V870" i="34"/>
  <c r="W870" i="34"/>
  <c r="X870" i="34"/>
  <c r="Y870" i="34"/>
  <c r="AA870" i="34"/>
  <c r="AB870" i="34"/>
  <c r="AC870" i="34"/>
  <c r="AD870" i="34"/>
  <c r="P871" i="34"/>
  <c r="T871" i="34"/>
  <c r="U871" i="34"/>
  <c r="V871" i="34"/>
  <c r="W871" i="34"/>
  <c r="X871" i="34"/>
  <c r="Y871" i="34"/>
  <c r="AA871" i="34"/>
  <c r="AB871" i="34"/>
  <c r="AC871" i="34"/>
  <c r="AD871" i="34"/>
  <c r="P872" i="34"/>
  <c r="T872" i="34"/>
  <c r="U872" i="34"/>
  <c r="V872" i="34"/>
  <c r="W872" i="34"/>
  <c r="X872" i="34"/>
  <c r="Y872" i="34"/>
  <c r="AA872" i="34"/>
  <c r="AB872" i="34"/>
  <c r="AC872" i="34"/>
  <c r="AD872" i="34"/>
  <c r="P873" i="34"/>
  <c r="T873" i="34"/>
  <c r="U873" i="34"/>
  <c r="V873" i="34"/>
  <c r="W873" i="34"/>
  <c r="X873" i="34"/>
  <c r="Y873" i="34"/>
  <c r="AA873" i="34"/>
  <c r="AB873" i="34"/>
  <c r="AC873" i="34"/>
  <c r="AD873" i="34"/>
  <c r="P874" i="34"/>
  <c r="T874" i="34"/>
  <c r="U874" i="34"/>
  <c r="V874" i="34"/>
  <c r="W874" i="34"/>
  <c r="X874" i="34"/>
  <c r="Y874" i="34"/>
  <c r="AA874" i="34"/>
  <c r="AB874" i="34"/>
  <c r="AC874" i="34"/>
  <c r="AD874" i="34"/>
  <c r="P875" i="34"/>
  <c r="T875" i="34"/>
  <c r="U875" i="34"/>
  <c r="V875" i="34"/>
  <c r="W875" i="34"/>
  <c r="X875" i="34"/>
  <c r="Y875" i="34"/>
  <c r="AA875" i="34"/>
  <c r="AB875" i="34"/>
  <c r="AC875" i="34"/>
  <c r="AD875" i="34"/>
  <c r="P876" i="34"/>
  <c r="T876" i="34"/>
  <c r="U876" i="34"/>
  <c r="V876" i="34"/>
  <c r="W876" i="34"/>
  <c r="X876" i="34"/>
  <c r="Y876" i="34"/>
  <c r="AA876" i="34"/>
  <c r="AB876" i="34"/>
  <c r="AC876" i="34"/>
  <c r="AD876" i="34"/>
  <c r="P877" i="34"/>
  <c r="T877" i="34"/>
  <c r="U877" i="34"/>
  <c r="V877" i="34"/>
  <c r="W877" i="34"/>
  <c r="X877" i="34"/>
  <c r="Y877" i="34"/>
  <c r="AA877" i="34"/>
  <c r="AB877" i="34"/>
  <c r="AC877" i="34"/>
  <c r="AD877" i="34"/>
  <c r="P878" i="34"/>
  <c r="T878" i="34"/>
  <c r="U878" i="34"/>
  <c r="V878" i="34"/>
  <c r="W878" i="34"/>
  <c r="X878" i="34"/>
  <c r="Y878" i="34"/>
  <c r="AA878" i="34"/>
  <c r="AB878" i="34"/>
  <c r="AC878" i="34"/>
  <c r="AD878" i="34"/>
  <c r="P879" i="34"/>
  <c r="T879" i="34"/>
  <c r="U879" i="34"/>
  <c r="V879" i="34"/>
  <c r="W879" i="34"/>
  <c r="X879" i="34"/>
  <c r="Y879" i="34"/>
  <c r="AA879" i="34"/>
  <c r="AB879" i="34"/>
  <c r="AC879" i="34"/>
  <c r="AD879" i="34"/>
  <c r="P880" i="34"/>
  <c r="T880" i="34"/>
  <c r="U880" i="34"/>
  <c r="V880" i="34"/>
  <c r="W880" i="34"/>
  <c r="X880" i="34"/>
  <c r="Y880" i="34"/>
  <c r="AA880" i="34"/>
  <c r="AB880" i="34"/>
  <c r="AC880" i="34"/>
  <c r="AD880" i="34"/>
  <c r="P881" i="34"/>
  <c r="T881" i="34"/>
  <c r="U881" i="34"/>
  <c r="V881" i="34"/>
  <c r="W881" i="34"/>
  <c r="X881" i="34"/>
  <c r="Y881" i="34"/>
  <c r="AA881" i="34"/>
  <c r="AB881" i="34"/>
  <c r="AC881" i="34"/>
  <c r="AD881" i="34"/>
  <c r="P882" i="34"/>
  <c r="T882" i="34"/>
  <c r="U882" i="34"/>
  <c r="V882" i="34"/>
  <c r="W882" i="34"/>
  <c r="X882" i="34"/>
  <c r="Y882" i="34"/>
  <c r="AA882" i="34"/>
  <c r="AB882" i="34"/>
  <c r="AC882" i="34"/>
  <c r="AD882" i="34"/>
  <c r="P883" i="34"/>
  <c r="T883" i="34"/>
  <c r="U883" i="34"/>
  <c r="V883" i="34"/>
  <c r="W883" i="34"/>
  <c r="X883" i="34"/>
  <c r="Y883" i="34"/>
  <c r="AA883" i="34"/>
  <c r="AB883" i="34"/>
  <c r="AC883" i="34"/>
  <c r="AD883" i="34"/>
  <c r="P884" i="34"/>
  <c r="T884" i="34"/>
  <c r="U884" i="34"/>
  <c r="V884" i="34"/>
  <c r="W884" i="34"/>
  <c r="X884" i="34"/>
  <c r="Y884" i="34"/>
  <c r="AA884" i="34"/>
  <c r="AB884" i="34"/>
  <c r="AC884" i="34"/>
  <c r="AD884" i="34"/>
  <c r="P885" i="34"/>
  <c r="T885" i="34"/>
  <c r="U885" i="34"/>
  <c r="V885" i="34"/>
  <c r="W885" i="34"/>
  <c r="X885" i="34"/>
  <c r="Y885" i="34"/>
  <c r="AA885" i="34"/>
  <c r="AB885" i="34"/>
  <c r="AC885" i="34"/>
  <c r="AD885" i="34"/>
  <c r="P886" i="34"/>
  <c r="T886" i="34"/>
  <c r="U886" i="34"/>
  <c r="V886" i="34"/>
  <c r="W886" i="34"/>
  <c r="X886" i="34"/>
  <c r="Y886" i="34"/>
  <c r="AA886" i="34"/>
  <c r="AB886" i="34"/>
  <c r="AC886" i="34"/>
  <c r="AD886" i="34"/>
  <c r="P887" i="34"/>
  <c r="T887" i="34"/>
  <c r="U887" i="34"/>
  <c r="V887" i="34"/>
  <c r="W887" i="34"/>
  <c r="X887" i="34"/>
  <c r="Y887" i="34"/>
  <c r="AA887" i="34"/>
  <c r="AB887" i="34"/>
  <c r="AC887" i="34"/>
  <c r="AD887" i="34"/>
  <c r="P888" i="34"/>
  <c r="T888" i="34"/>
  <c r="U888" i="34"/>
  <c r="V888" i="34"/>
  <c r="W888" i="34"/>
  <c r="X888" i="34"/>
  <c r="Y888" i="34"/>
  <c r="AA888" i="34"/>
  <c r="AB888" i="34"/>
  <c r="AC888" i="34"/>
  <c r="AD888" i="34"/>
  <c r="P889" i="34"/>
  <c r="T889" i="34"/>
  <c r="U889" i="34"/>
  <c r="V889" i="34"/>
  <c r="W889" i="34"/>
  <c r="X889" i="34"/>
  <c r="Y889" i="34"/>
  <c r="AA889" i="34"/>
  <c r="AB889" i="34"/>
  <c r="AC889" i="34"/>
  <c r="AD889" i="34"/>
  <c r="P890" i="34"/>
  <c r="T890" i="34"/>
  <c r="U890" i="34"/>
  <c r="V890" i="34"/>
  <c r="W890" i="34"/>
  <c r="X890" i="34"/>
  <c r="Y890" i="34"/>
  <c r="AA890" i="34"/>
  <c r="AB890" i="34"/>
  <c r="AC890" i="34"/>
  <c r="AD890" i="34"/>
  <c r="P891" i="34"/>
  <c r="T891" i="34"/>
  <c r="U891" i="34"/>
  <c r="V891" i="34"/>
  <c r="W891" i="34"/>
  <c r="X891" i="34"/>
  <c r="Y891" i="34"/>
  <c r="AA891" i="34"/>
  <c r="AB891" i="34"/>
  <c r="AC891" i="34"/>
  <c r="AD891" i="34"/>
  <c r="P892" i="34"/>
  <c r="T892" i="34"/>
  <c r="U892" i="34"/>
  <c r="V892" i="34"/>
  <c r="W892" i="34"/>
  <c r="X892" i="34"/>
  <c r="Y892" i="34"/>
  <c r="AA892" i="34"/>
  <c r="AB892" i="34"/>
  <c r="AC892" i="34"/>
  <c r="AD892" i="34"/>
  <c r="P893" i="34"/>
  <c r="T893" i="34"/>
  <c r="U893" i="34"/>
  <c r="V893" i="34"/>
  <c r="W893" i="34"/>
  <c r="X893" i="34"/>
  <c r="Y893" i="34"/>
  <c r="AA893" i="34"/>
  <c r="AB893" i="34"/>
  <c r="AC893" i="34"/>
  <c r="AD893" i="34"/>
  <c r="P894" i="34"/>
  <c r="T894" i="34"/>
  <c r="U894" i="34"/>
  <c r="V894" i="34"/>
  <c r="W894" i="34"/>
  <c r="X894" i="34"/>
  <c r="Y894" i="34"/>
  <c r="AA894" i="34"/>
  <c r="AB894" i="34"/>
  <c r="AC894" i="34"/>
  <c r="AD894" i="34"/>
  <c r="P895" i="34"/>
  <c r="T895" i="34"/>
  <c r="U895" i="34"/>
  <c r="V895" i="34"/>
  <c r="W895" i="34"/>
  <c r="X895" i="34"/>
  <c r="Y895" i="34"/>
  <c r="AA895" i="34"/>
  <c r="AB895" i="34"/>
  <c r="AC895" i="34"/>
  <c r="AD895" i="34"/>
  <c r="P896" i="34"/>
  <c r="T896" i="34"/>
  <c r="U896" i="34"/>
  <c r="V896" i="34"/>
  <c r="W896" i="34"/>
  <c r="X896" i="34"/>
  <c r="Y896" i="34"/>
  <c r="AA896" i="34"/>
  <c r="AB896" i="34"/>
  <c r="AC896" i="34"/>
  <c r="AD896" i="34"/>
  <c r="P897" i="34"/>
  <c r="T897" i="34"/>
  <c r="U897" i="34"/>
  <c r="V897" i="34"/>
  <c r="W897" i="34"/>
  <c r="X897" i="34"/>
  <c r="Y897" i="34"/>
  <c r="AA897" i="34"/>
  <c r="AB897" i="34"/>
  <c r="AC897" i="34"/>
  <c r="AD897" i="34"/>
  <c r="P898" i="34"/>
  <c r="T898" i="34"/>
  <c r="U898" i="34"/>
  <c r="V898" i="34"/>
  <c r="W898" i="34"/>
  <c r="X898" i="34"/>
  <c r="Y898" i="34"/>
  <c r="AA898" i="34"/>
  <c r="AB898" i="34"/>
  <c r="AC898" i="34"/>
  <c r="AD898" i="34"/>
  <c r="P899" i="34"/>
  <c r="T899" i="34"/>
  <c r="U899" i="34"/>
  <c r="V899" i="34"/>
  <c r="W899" i="34"/>
  <c r="X899" i="34"/>
  <c r="Y899" i="34"/>
  <c r="AA899" i="34"/>
  <c r="AB899" i="34"/>
  <c r="AC899" i="34"/>
  <c r="AD899" i="34"/>
  <c r="P900" i="34"/>
  <c r="T900" i="34"/>
  <c r="U900" i="34"/>
  <c r="V900" i="34"/>
  <c r="W900" i="34"/>
  <c r="X900" i="34"/>
  <c r="Y900" i="34"/>
  <c r="AA900" i="34"/>
  <c r="AB900" i="34"/>
  <c r="AC900" i="34"/>
  <c r="AD900" i="34"/>
  <c r="P901" i="34"/>
  <c r="T901" i="34"/>
  <c r="U901" i="34"/>
  <c r="V901" i="34"/>
  <c r="W901" i="34"/>
  <c r="X901" i="34"/>
  <c r="Y901" i="34"/>
  <c r="AA901" i="34"/>
  <c r="AB901" i="34"/>
  <c r="AC901" i="34"/>
  <c r="AD901" i="34"/>
  <c r="P902" i="34"/>
  <c r="T902" i="34"/>
  <c r="U902" i="34"/>
  <c r="V902" i="34"/>
  <c r="W902" i="34"/>
  <c r="X902" i="34"/>
  <c r="Y902" i="34"/>
  <c r="AA902" i="34"/>
  <c r="AB902" i="34"/>
  <c r="AC902" i="34"/>
  <c r="AD902" i="34"/>
  <c r="P903" i="34"/>
  <c r="T903" i="34"/>
  <c r="U903" i="34"/>
  <c r="V903" i="34"/>
  <c r="W903" i="34"/>
  <c r="X903" i="34"/>
  <c r="Y903" i="34"/>
  <c r="AA903" i="34"/>
  <c r="AB903" i="34"/>
  <c r="AC903" i="34"/>
  <c r="AD903" i="34"/>
  <c r="P904" i="34"/>
  <c r="T904" i="34"/>
  <c r="U904" i="34"/>
  <c r="V904" i="34"/>
  <c r="W904" i="34"/>
  <c r="X904" i="34"/>
  <c r="Y904" i="34"/>
  <c r="AA904" i="34"/>
  <c r="AB904" i="34"/>
  <c r="AC904" i="34"/>
  <c r="AD904" i="34"/>
  <c r="P905" i="34"/>
  <c r="T905" i="34"/>
  <c r="U905" i="34"/>
  <c r="V905" i="34"/>
  <c r="W905" i="34"/>
  <c r="X905" i="34"/>
  <c r="Y905" i="34"/>
  <c r="AA905" i="34"/>
  <c r="AB905" i="34"/>
  <c r="AC905" i="34"/>
  <c r="AD905" i="34"/>
  <c r="P906" i="34"/>
  <c r="T906" i="34"/>
  <c r="U906" i="34"/>
  <c r="V906" i="34"/>
  <c r="W906" i="34"/>
  <c r="X906" i="34"/>
  <c r="Y906" i="34"/>
  <c r="AA906" i="34"/>
  <c r="AB906" i="34"/>
  <c r="AC906" i="34"/>
  <c r="AD906" i="34"/>
  <c r="P907" i="34"/>
  <c r="T907" i="34"/>
  <c r="U907" i="34"/>
  <c r="V907" i="34"/>
  <c r="W907" i="34"/>
  <c r="X907" i="34"/>
  <c r="Y907" i="34"/>
  <c r="AA907" i="34"/>
  <c r="AB907" i="34"/>
  <c r="AC907" i="34"/>
  <c r="AD907" i="34"/>
  <c r="P908" i="34"/>
  <c r="T908" i="34"/>
  <c r="U908" i="34"/>
  <c r="V908" i="34"/>
  <c r="W908" i="34"/>
  <c r="X908" i="34"/>
  <c r="Y908" i="34"/>
  <c r="AA908" i="34"/>
  <c r="AB908" i="34"/>
  <c r="AC908" i="34"/>
  <c r="AD908" i="34"/>
  <c r="P909" i="34"/>
  <c r="T909" i="34"/>
  <c r="U909" i="34"/>
  <c r="V909" i="34"/>
  <c r="W909" i="34"/>
  <c r="X909" i="34"/>
  <c r="Y909" i="34"/>
  <c r="AA909" i="34"/>
  <c r="AB909" i="34"/>
  <c r="AC909" i="34"/>
  <c r="AD909" i="34"/>
  <c r="P910" i="34"/>
  <c r="T910" i="34"/>
  <c r="U910" i="34"/>
  <c r="V910" i="34"/>
  <c r="W910" i="34"/>
  <c r="X910" i="34"/>
  <c r="Y910" i="34"/>
  <c r="AA910" i="34"/>
  <c r="AB910" i="34"/>
  <c r="AC910" i="34"/>
  <c r="AD910" i="34"/>
  <c r="P911" i="34"/>
  <c r="T911" i="34"/>
  <c r="U911" i="34"/>
  <c r="V911" i="34"/>
  <c r="W911" i="34"/>
  <c r="X911" i="34"/>
  <c r="Y911" i="34"/>
  <c r="AA911" i="34"/>
  <c r="AB911" i="34"/>
  <c r="AC911" i="34"/>
  <c r="AD911" i="34"/>
  <c r="P912" i="34"/>
  <c r="T912" i="34"/>
  <c r="U912" i="34"/>
  <c r="V912" i="34"/>
  <c r="W912" i="34"/>
  <c r="X912" i="34"/>
  <c r="Y912" i="34"/>
  <c r="AA912" i="34"/>
  <c r="AB912" i="34"/>
  <c r="AC912" i="34"/>
  <c r="AD912" i="34"/>
  <c r="P913" i="34"/>
  <c r="T913" i="34"/>
  <c r="U913" i="34"/>
  <c r="V913" i="34"/>
  <c r="W913" i="34"/>
  <c r="X913" i="34"/>
  <c r="Y913" i="34"/>
  <c r="AA913" i="34"/>
  <c r="AB913" i="34"/>
  <c r="AC913" i="34"/>
  <c r="AD913" i="34"/>
  <c r="P914" i="34"/>
  <c r="T914" i="34"/>
  <c r="U914" i="34"/>
  <c r="V914" i="34"/>
  <c r="W914" i="34"/>
  <c r="X914" i="34"/>
  <c r="Y914" i="34"/>
  <c r="AA914" i="34"/>
  <c r="AB914" i="34"/>
  <c r="AC914" i="34"/>
  <c r="AD914" i="34"/>
  <c r="P915" i="34"/>
  <c r="T915" i="34"/>
  <c r="U915" i="34"/>
  <c r="V915" i="34"/>
  <c r="W915" i="34"/>
  <c r="X915" i="34"/>
  <c r="Y915" i="34"/>
  <c r="AA915" i="34"/>
  <c r="AB915" i="34"/>
  <c r="AC915" i="34"/>
  <c r="AD915" i="34"/>
  <c r="P916" i="34"/>
  <c r="T916" i="34"/>
  <c r="U916" i="34"/>
  <c r="V916" i="34"/>
  <c r="W916" i="34"/>
  <c r="X916" i="34"/>
  <c r="Y916" i="34"/>
  <c r="AA916" i="34"/>
  <c r="AB916" i="34"/>
  <c r="AC916" i="34"/>
  <c r="AD916" i="34"/>
  <c r="P917" i="34"/>
  <c r="T917" i="34"/>
  <c r="U917" i="34"/>
  <c r="V917" i="34"/>
  <c r="W917" i="34"/>
  <c r="X917" i="34"/>
  <c r="Y917" i="34"/>
  <c r="AA917" i="34"/>
  <c r="AB917" i="34"/>
  <c r="AC917" i="34"/>
  <c r="AD917" i="34"/>
  <c r="P918" i="34"/>
  <c r="T918" i="34"/>
  <c r="U918" i="34"/>
  <c r="V918" i="34"/>
  <c r="W918" i="34"/>
  <c r="X918" i="34"/>
  <c r="Y918" i="34"/>
  <c r="AA918" i="34"/>
  <c r="AB918" i="34"/>
  <c r="AC918" i="34"/>
  <c r="AD918" i="34"/>
  <c r="P919" i="34"/>
  <c r="T919" i="34"/>
  <c r="U919" i="34"/>
  <c r="V919" i="34"/>
  <c r="W919" i="34"/>
  <c r="X919" i="34"/>
  <c r="Y919" i="34"/>
  <c r="AA919" i="34"/>
  <c r="AB919" i="34"/>
  <c r="AC919" i="34"/>
  <c r="AD919" i="34"/>
  <c r="P920" i="34"/>
  <c r="T920" i="34"/>
  <c r="U920" i="34"/>
  <c r="V920" i="34"/>
  <c r="W920" i="34"/>
  <c r="X920" i="34"/>
  <c r="Y920" i="34"/>
  <c r="AA920" i="34"/>
  <c r="AB920" i="34"/>
  <c r="AC920" i="34"/>
  <c r="AD920" i="34"/>
  <c r="P921" i="34"/>
  <c r="T921" i="34"/>
  <c r="U921" i="34"/>
  <c r="V921" i="34"/>
  <c r="W921" i="34"/>
  <c r="X921" i="34"/>
  <c r="Y921" i="34"/>
  <c r="AA921" i="34"/>
  <c r="AB921" i="34"/>
  <c r="AC921" i="34"/>
  <c r="AD921" i="34"/>
  <c r="P922" i="34"/>
  <c r="T922" i="34"/>
  <c r="U922" i="34"/>
  <c r="V922" i="34"/>
  <c r="W922" i="34"/>
  <c r="X922" i="34"/>
  <c r="Y922" i="34"/>
  <c r="AA922" i="34"/>
  <c r="AB922" i="34"/>
  <c r="AC922" i="34"/>
  <c r="AD922" i="34"/>
  <c r="P923" i="34"/>
  <c r="T923" i="34"/>
  <c r="U923" i="34"/>
  <c r="V923" i="34"/>
  <c r="W923" i="34"/>
  <c r="X923" i="34"/>
  <c r="Y923" i="34"/>
  <c r="AA923" i="34"/>
  <c r="AB923" i="34"/>
  <c r="AC923" i="34"/>
  <c r="AD923" i="34"/>
  <c r="P924" i="34"/>
  <c r="T924" i="34"/>
  <c r="U924" i="34"/>
  <c r="V924" i="34"/>
  <c r="W924" i="34"/>
  <c r="X924" i="34"/>
  <c r="Y924" i="34"/>
  <c r="AA924" i="34"/>
  <c r="AB924" i="34"/>
  <c r="AC924" i="34"/>
  <c r="AD924" i="34"/>
  <c r="P925" i="34"/>
  <c r="T925" i="34"/>
  <c r="U925" i="34"/>
  <c r="V925" i="34"/>
  <c r="W925" i="34"/>
  <c r="X925" i="34"/>
  <c r="Y925" i="34"/>
  <c r="AA925" i="34"/>
  <c r="AB925" i="34"/>
  <c r="AC925" i="34"/>
  <c r="AD925" i="34"/>
  <c r="P926" i="34"/>
  <c r="T926" i="34"/>
  <c r="U926" i="34"/>
  <c r="V926" i="34"/>
  <c r="W926" i="34"/>
  <c r="X926" i="34"/>
  <c r="Y926" i="34"/>
  <c r="AA926" i="34"/>
  <c r="AB926" i="34"/>
  <c r="AC926" i="34"/>
  <c r="AD926" i="34"/>
  <c r="P927" i="34"/>
  <c r="T927" i="34"/>
  <c r="U927" i="34"/>
  <c r="V927" i="34"/>
  <c r="W927" i="34"/>
  <c r="X927" i="34"/>
  <c r="Y927" i="34"/>
  <c r="AA927" i="34"/>
  <c r="AB927" i="34"/>
  <c r="AC927" i="34"/>
  <c r="AD927" i="34"/>
  <c r="P928" i="34"/>
  <c r="T928" i="34"/>
  <c r="U928" i="34"/>
  <c r="V928" i="34"/>
  <c r="W928" i="34"/>
  <c r="X928" i="34"/>
  <c r="Y928" i="34"/>
  <c r="AA928" i="34"/>
  <c r="AB928" i="34"/>
  <c r="AC928" i="34"/>
  <c r="AD928" i="34"/>
  <c r="P929" i="34"/>
  <c r="T929" i="34"/>
  <c r="U929" i="34"/>
  <c r="V929" i="34"/>
  <c r="W929" i="34"/>
  <c r="X929" i="34"/>
  <c r="Y929" i="34"/>
  <c r="AA929" i="34"/>
  <c r="AB929" i="34"/>
  <c r="AC929" i="34"/>
  <c r="AD929" i="34"/>
  <c r="P930" i="34"/>
  <c r="T930" i="34"/>
  <c r="U930" i="34"/>
  <c r="V930" i="34"/>
  <c r="W930" i="34"/>
  <c r="X930" i="34"/>
  <c r="Y930" i="34"/>
  <c r="AA930" i="34"/>
  <c r="AB930" i="34"/>
  <c r="AC930" i="34"/>
  <c r="AD930" i="34"/>
  <c r="P931" i="34"/>
  <c r="T931" i="34"/>
  <c r="U931" i="34"/>
  <c r="V931" i="34"/>
  <c r="W931" i="34"/>
  <c r="X931" i="34"/>
  <c r="Y931" i="34"/>
  <c r="AA931" i="34"/>
  <c r="AB931" i="34"/>
  <c r="AC931" i="34"/>
  <c r="AD931" i="34"/>
  <c r="P932" i="34"/>
  <c r="T932" i="34"/>
  <c r="U932" i="34"/>
  <c r="V932" i="34"/>
  <c r="W932" i="34"/>
  <c r="X932" i="34"/>
  <c r="Y932" i="34"/>
  <c r="AA932" i="34"/>
  <c r="AB932" i="34"/>
  <c r="AC932" i="34"/>
  <c r="AD932" i="34"/>
  <c r="P933" i="34"/>
  <c r="T933" i="34"/>
  <c r="U933" i="34"/>
  <c r="V933" i="34"/>
  <c r="W933" i="34"/>
  <c r="X933" i="34"/>
  <c r="Y933" i="34"/>
  <c r="AA933" i="34"/>
  <c r="AB933" i="34"/>
  <c r="AC933" i="34"/>
  <c r="AD933" i="34"/>
  <c r="P934" i="34"/>
  <c r="T934" i="34"/>
  <c r="U934" i="34"/>
  <c r="V934" i="34"/>
  <c r="W934" i="34"/>
  <c r="X934" i="34"/>
  <c r="Y934" i="34"/>
  <c r="AA934" i="34"/>
  <c r="AB934" i="34"/>
  <c r="AC934" i="34"/>
  <c r="AD934" i="34"/>
  <c r="P935" i="34"/>
  <c r="T935" i="34"/>
  <c r="U935" i="34"/>
  <c r="V935" i="34"/>
  <c r="W935" i="34"/>
  <c r="X935" i="34"/>
  <c r="Y935" i="34"/>
  <c r="AA935" i="34"/>
  <c r="AB935" i="34"/>
  <c r="AC935" i="34"/>
  <c r="AD935" i="34"/>
  <c r="P936" i="34"/>
  <c r="T936" i="34"/>
  <c r="U936" i="34"/>
  <c r="V936" i="34"/>
  <c r="W936" i="34"/>
  <c r="X936" i="34"/>
  <c r="Y936" i="34"/>
  <c r="AA936" i="34"/>
  <c r="AB936" i="34"/>
  <c r="AC936" i="34"/>
  <c r="AD936" i="34"/>
  <c r="P937" i="34"/>
  <c r="T937" i="34"/>
  <c r="U937" i="34"/>
  <c r="V937" i="34"/>
  <c r="W937" i="34"/>
  <c r="X937" i="34"/>
  <c r="Y937" i="34"/>
  <c r="AA937" i="34"/>
  <c r="AB937" i="34"/>
  <c r="AC937" i="34"/>
  <c r="AD937" i="34"/>
  <c r="P938" i="34"/>
  <c r="T938" i="34"/>
  <c r="U938" i="34"/>
  <c r="V938" i="34"/>
  <c r="W938" i="34"/>
  <c r="X938" i="34"/>
  <c r="Y938" i="34"/>
  <c r="AA938" i="34"/>
  <c r="AB938" i="34"/>
  <c r="AC938" i="34"/>
  <c r="AD938" i="34"/>
  <c r="P939" i="34"/>
  <c r="T939" i="34"/>
  <c r="U939" i="34"/>
  <c r="V939" i="34"/>
  <c r="W939" i="34"/>
  <c r="X939" i="34"/>
  <c r="Y939" i="34"/>
  <c r="AA939" i="34"/>
  <c r="AB939" i="34"/>
  <c r="AC939" i="34"/>
  <c r="AD939" i="34"/>
  <c r="P940" i="34"/>
  <c r="T940" i="34"/>
  <c r="U940" i="34"/>
  <c r="V940" i="34"/>
  <c r="W940" i="34"/>
  <c r="X940" i="34"/>
  <c r="Y940" i="34"/>
  <c r="AA940" i="34"/>
  <c r="AB940" i="34"/>
  <c r="AC940" i="34"/>
  <c r="AD940" i="34"/>
  <c r="P941" i="34"/>
  <c r="T941" i="34"/>
  <c r="U941" i="34"/>
  <c r="V941" i="34"/>
  <c r="W941" i="34"/>
  <c r="X941" i="34"/>
  <c r="Y941" i="34"/>
  <c r="AA941" i="34"/>
  <c r="AB941" i="34"/>
  <c r="AC941" i="34"/>
  <c r="AD941" i="34"/>
  <c r="P942" i="34"/>
  <c r="T942" i="34"/>
  <c r="U942" i="34"/>
  <c r="V942" i="34"/>
  <c r="W942" i="34"/>
  <c r="X942" i="34"/>
  <c r="Y942" i="34"/>
  <c r="AA942" i="34"/>
  <c r="AB942" i="34"/>
  <c r="AC942" i="34"/>
  <c r="AD942" i="34"/>
  <c r="P943" i="34"/>
  <c r="T943" i="34"/>
  <c r="U943" i="34"/>
  <c r="V943" i="34"/>
  <c r="W943" i="34"/>
  <c r="X943" i="34"/>
  <c r="Y943" i="34"/>
  <c r="AA943" i="34"/>
  <c r="AB943" i="34"/>
  <c r="AC943" i="34"/>
  <c r="AD943" i="34"/>
  <c r="P944" i="34"/>
  <c r="T944" i="34"/>
  <c r="U944" i="34"/>
  <c r="V944" i="34"/>
  <c r="W944" i="34"/>
  <c r="X944" i="34"/>
  <c r="Y944" i="34"/>
  <c r="AA944" i="34"/>
  <c r="AB944" i="34"/>
  <c r="AC944" i="34"/>
  <c r="AD944" i="34"/>
  <c r="K786" i="34"/>
  <c r="M786" i="34" s="1"/>
  <c r="B787" i="34"/>
  <c r="Q787" i="34" s="1"/>
  <c r="B788" i="34"/>
  <c r="Q788" i="34" s="1"/>
  <c r="B789" i="34"/>
  <c r="S789" i="34" s="1"/>
  <c r="B790" i="34"/>
  <c r="Q790" i="34" s="1"/>
  <c r="E786" i="34"/>
  <c r="AA786" i="34" s="1"/>
  <c r="B786" i="34"/>
  <c r="C24" i="34"/>
  <c r="AD24" i="34" s="1"/>
  <c r="C23" i="34"/>
  <c r="C22" i="34"/>
  <c r="AD22" i="34" s="1"/>
  <c r="E735" i="34"/>
  <c r="AA735" i="34" s="1"/>
  <c r="E785" i="34"/>
  <c r="AA785" i="34" s="1"/>
  <c r="B785" i="34"/>
  <c r="E784" i="34"/>
  <c r="AA784" i="34" s="1"/>
  <c r="B784" i="34"/>
  <c r="M783" i="34"/>
  <c r="M785" i="34" s="1"/>
  <c r="E783" i="34"/>
  <c r="AA783" i="34" s="1"/>
  <c r="B783" i="34"/>
  <c r="M782" i="34"/>
  <c r="M784" i="34" s="1"/>
  <c r="E782" i="34"/>
  <c r="AA782" i="34" s="1"/>
  <c r="B782" i="34"/>
  <c r="M781" i="34"/>
  <c r="E781" i="34"/>
  <c r="AA781" i="34" s="1"/>
  <c r="B781" i="34"/>
  <c r="M780" i="34"/>
  <c r="E780" i="34"/>
  <c r="AA780" i="34" s="1"/>
  <c r="B780" i="34"/>
  <c r="M779" i="34"/>
  <c r="E779" i="34"/>
  <c r="AA779" i="34" s="1"/>
  <c r="B779" i="34"/>
  <c r="M778" i="34"/>
  <c r="E778" i="34"/>
  <c r="AA778" i="34" s="1"/>
  <c r="B778" i="34"/>
  <c r="M777" i="34"/>
  <c r="E777" i="34"/>
  <c r="AA777" i="34" s="1"/>
  <c r="B777" i="34"/>
  <c r="M776" i="34"/>
  <c r="E776" i="34"/>
  <c r="AA776" i="34" s="1"/>
  <c r="B776" i="34"/>
  <c r="M775" i="34"/>
  <c r="E775" i="34"/>
  <c r="AA775" i="34" s="1"/>
  <c r="B775" i="34"/>
  <c r="M774" i="34"/>
  <c r="E774" i="34"/>
  <c r="AA774" i="34" s="1"/>
  <c r="B774" i="34"/>
  <c r="E773" i="34"/>
  <c r="AA773" i="34" s="1"/>
  <c r="B773" i="34"/>
  <c r="E772" i="34"/>
  <c r="AA772" i="34" s="1"/>
  <c r="B772" i="34"/>
  <c r="E771" i="34"/>
  <c r="AA771" i="34" s="1"/>
  <c r="B771" i="34"/>
  <c r="E770" i="34"/>
  <c r="AA770" i="34" s="1"/>
  <c r="B770" i="34"/>
  <c r="M769" i="34"/>
  <c r="M771" i="34" s="1"/>
  <c r="E769" i="34"/>
  <c r="AA769" i="34" s="1"/>
  <c r="B769" i="34"/>
  <c r="M768" i="34"/>
  <c r="M770" i="34" s="1"/>
  <c r="E768" i="34"/>
  <c r="AA768" i="34" s="1"/>
  <c r="B768" i="34"/>
  <c r="M767" i="34"/>
  <c r="E767" i="34"/>
  <c r="AA767" i="34" s="1"/>
  <c r="B767" i="34"/>
  <c r="M766" i="34"/>
  <c r="E766" i="34"/>
  <c r="AA766" i="34" s="1"/>
  <c r="B766" i="34"/>
  <c r="M765" i="34"/>
  <c r="E765" i="34"/>
  <c r="AA765" i="34" s="1"/>
  <c r="B765" i="34"/>
  <c r="M764" i="34"/>
  <c r="E764" i="34"/>
  <c r="AA764" i="34" s="1"/>
  <c r="B764" i="34"/>
  <c r="M763" i="34"/>
  <c r="E763" i="34"/>
  <c r="AA763" i="34" s="1"/>
  <c r="B763" i="34"/>
  <c r="M762" i="34"/>
  <c r="E762" i="34"/>
  <c r="AA762" i="34" s="1"/>
  <c r="B762" i="34"/>
  <c r="M761" i="34"/>
  <c r="E761" i="34"/>
  <c r="AA761" i="34" s="1"/>
  <c r="B761" i="34"/>
  <c r="M760" i="34"/>
  <c r="E760" i="34"/>
  <c r="AA760" i="34" s="1"/>
  <c r="B760" i="34"/>
  <c r="E759" i="34"/>
  <c r="AA759" i="34" s="1"/>
  <c r="B759" i="34"/>
  <c r="E758" i="34"/>
  <c r="AA758" i="34" s="1"/>
  <c r="B758" i="34"/>
  <c r="E757" i="34"/>
  <c r="AA757" i="34" s="1"/>
  <c r="B757" i="34"/>
  <c r="E756" i="34"/>
  <c r="AA756" i="34" s="1"/>
  <c r="B756" i="34"/>
  <c r="A756" i="34" s="1"/>
  <c r="M755" i="34"/>
  <c r="M757" i="34" s="1"/>
  <c r="E755" i="34"/>
  <c r="AA755" i="34" s="1"/>
  <c r="B755" i="34"/>
  <c r="M754" i="34"/>
  <c r="M756" i="34" s="1"/>
  <c r="E754" i="34"/>
  <c r="AA754" i="34" s="1"/>
  <c r="B754" i="34"/>
  <c r="M753" i="34"/>
  <c r="E753" i="34"/>
  <c r="AA753" i="34" s="1"/>
  <c r="B753" i="34"/>
  <c r="M752" i="34"/>
  <c r="E752" i="34"/>
  <c r="AA752" i="34" s="1"/>
  <c r="B752" i="34"/>
  <c r="M751" i="34"/>
  <c r="E751" i="34"/>
  <c r="AA751" i="34" s="1"/>
  <c r="B751" i="34"/>
  <c r="M750" i="34"/>
  <c r="E750" i="34"/>
  <c r="AA750" i="34" s="1"/>
  <c r="B750" i="34"/>
  <c r="M749" i="34"/>
  <c r="E749" i="34"/>
  <c r="AA749" i="34" s="1"/>
  <c r="B749" i="34"/>
  <c r="M748" i="34"/>
  <c r="E748" i="34"/>
  <c r="AA748" i="34" s="1"/>
  <c r="B748" i="34"/>
  <c r="M747" i="34"/>
  <c r="E747" i="34"/>
  <c r="AA747" i="34" s="1"/>
  <c r="B747" i="34"/>
  <c r="M746" i="34"/>
  <c r="E746" i="34"/>
  <c r="AA746" i="34" s="1"/>
  <c r="B746" i="34"/>
  <c r="E745" i="34"/>
  <c r="AA745" i="34" s="1"/>
  <c r="B745" i="34"/>
  <c r="E744" i="34"/>
  <c r="AA744" i="34" s="1"/>
  <c r="B744" i="34"/>
  <c r="E743" i="34"/>
  <c r="AA743" i="34" s="1"/>
  <c r="B743" i="34"/>
  <c r="E742" i="34"/>
  <c r="AA742" i="34" s="1"/>
  <c r="B742" i="34"/>
  <c r="E741" i="34"/>
  <c r="AA741" i="34" s="1"/>
  <c r="B741" i="34"/>
  <c r="E740" i="34"/>
  <c r="AA740" i="34" s="1"/>
  <c r="B740" i="34"/>
  <c r="E739" i="34"/>
  <c r="AA739" i="34" s="1"/>
  <c r="B739" i="34"/>
  <c r="E738" i="34"/>
  <c r="AA738" i="34" s="1"/>
  <c r="B738" i="34"/>
  <c r="E737" i="34"/>
  <c r="AA737" i="34" s="1"/>
  <c r="B737" i="34"/>
  <c r="E736" i="34"/>
  <c r="AA736" i="34" s="1"/>
  <c r="B736" i="34"/>
  <c r="B735" i="34"/>
  <c r="S767" i="34" l="1"/>
  <c r="Q767" i="34"/>
  <c r="R767" i="34"/>
  <c r="A775" i="34"/>
  <c r="S775" i="34"/>
  <c r="Q775" i="34"/>
  <c r="R775" i="34"/>
  <c r="A779" i="34"/>
  <c r="S779" i="34"/>
  <c r="Q779" i="34"/>
  <c r="R779" i="34"/>
  <c r="A783" i="34"/>
  <c r="S783" i="34"/>
  <c r="Q783" i="34"/>
  <c r="R783" i="34"/>
  <c r="Q738" i="34"/>
  <c r="R738" i="34"/>
  <c r="S738" i="34"/>
  <c r="Q746" i="34"/>
  <c r="R746" i="34"/>
  <c r="S746" i="34"/>
  <c r="Q750" i="34"/>
  <c r="R750" i="34"/>
  <c r="S750" i="34"/>
  <c r="S749" i="34"/>
  <c r="Q749" i="34"/>
  <c r="R749" i="34"/>
  <c r="S753" i="34"/>
  <c r="Q753" i="34"/>
  <c r="R753" i="34"/>
  <c r="S757" i="34"/>
  <c r="Q757" i="34"/>
  <c r="R757" i="34"/>
  <c r="S759" i="34"/>
  <c r="Q759" i="34"/>
  <c r="R759" i="34"/>
  <c r="Q762" i="34"/>
  <c r="R762" i="34"/>
  <c r="S762" i="34"/>
  <c r="Q766" i="34"/>
  <c r="R766" i="34"/>
  <c r="S766" i="34"/>
  <c r="Q770" i="34"/>
  <c r="R770" i="34"/>
  <c r="S770" i="34"/>
  <c r="Q772" i="34"/>
  <c r="R772" i="34"/>
  <c r="S772" i="34"/>
  <c r="Q774" i="34"/>
  <c r="R774" i="34"/>
  <c r="S774" i="34"/>
  <c r="Q778" i="34"/>
  <c r="R778" i="34"/>
  <c r="S778" i="34"/>
  <c r="Q782" i="34"/>
  <c r="R782" i="34"/>
  <c r="S782" i="34"/>
  <c r="S785" i="34"/>
  <c r="Q785" i="34"/>
  <c r="R785" i="34"/>
  <c r="B23" i="34"/>
  <c r="AD23" i="34"/>
  <c r="Q742" i="34"/>
  <c r="R742" i="34"/>
  <c r="S742" i="34"/>
  <c r="S739" i="34"/>
  <c r="Q739" i="34"/>
  <c r="R739" i="34"/>
  <c r="S743" i="34"/>
  <c r="Q743" i="34"/>
  <c r="R743" i="34"/>
  <c r="S745" i="34"/>
  <c r="Q745" i="34"/>
  <c r="R745" i="34"/>
  <c r="Q748" i="34"/>
  <c r="R748" i="34"/>
  <c r="S748" i="34"/>
  <c r="Q752" i="34"/>
  <c r="R752" i="34"/>
  <c r="S752" i="34"/>
  <c r="A761" i="34"/>
  <c r="S761" i="34"/>
  <c r="Q761" i="34"/>
  <c r="R761" i="34"/>
  <c r="A765" i="34"/>
  <c r="S765" i="34"/>
  <c r="Q765" i="34"/>
  <c r="R765" i="34"/>
  <c r="A769" i="34"/>
  <c r="S769" i="34"/>
  <c r="Q769" i="34"/>
  <c r="R769" i="34"/>
  <c r="S777" i="34"/>
  <c r="Q777" i="34"/>
  <c r="R777" i="34"/>
  <c r="S781" i="34"/>
  <c r="Q781" i="34"/>
  <c r="R781" i="34"/>
  <c r="Q736" i="34"/>
  <c r="R736" i="34"/>
  <c r="S736" i="34"/>
  <c r="Q740" i="34"/>
  <c r="R740" i="34"/>
  <c r="S740" i="34"/>
  <c r="Q744" i="34"/>
  <c r="R744" i="34"/>
  <c r="S744" i="34"/>
  <c r="Q754" i="34"/>
  <c r="R754" i="34"/>
  <c r="S754" i="34"/>
  <c r="S763" i="34"/>
  <c r="Q763" i="34"/>
  <c r="R763" i="34"/>
  <c r="S737" i="34"/>
  <c r="Q737" i="34"/>
  <c r="R737" i="34"/>
  <c r="S741" i="34"/>
  <c r="Q741" i="34"/>
  <c r="R741" i="34"/>
  <c r="S735" i="34"/>
  <c r="Q735" i="34"/>
  <c r="R735" i="34"/>
  <c r="A747" i="34"/>
  <c r="S747" i="34"/>
  <c r="Q747" i="34"/>
  <c r="R747" i="34"/>
  <c r="A751" i="34"/>
  <c r="S751" i="34"/>
  <c r="Q751" i="34"/>
  <c r="R751" i="34"/>
  <c r="A755" i="34"/>
  <c r="S755" i="34"/>
  <c r="Q755" i="34"/>
  <c r="R755" i="34"/>
  <c r="Q756" i="34"/>
  <c r="R756" i="34"/>
  <c r="S756" i="34"/>
  <c r="Q758" i="34"/>
  <c r="R758" i="34"/>
  <c r="S758" i="34"/>
  <c r="Q760" i="34"/>
  <c r="R760" i="34"/>
  <c r="S760" i="34"/>
  <c r="Q764" i="34"/>
  <c r="R764" i="34"/>
  <c r="S764" i="34"/>
  <c r="Q768" i="34"/>
  <c r="R768" i="34"/>
  <c r="S768" i="34"/>
  <c r="S771" i="34"/>
  <c r="Q771" i="34"/>
  <c r="R771" i="34"/>
  <c r="S773" i="34"/>
  <c r="Q773" i="34"/>
  <c r="R773" i="34"/>
  <c r="Q776" i="34"/>
  <c r="R776" i="34"/>
  <c r="S776" i="34"/>
  <c r="Q780" i="34"/>
  <c r="R780" i="34"/>
  <c r="S780" i="34"/>
  <c r="Q784" i="34"/>
  <c r="R784" i="34"/>
  <c r="S784" i="34"/>
  <c r="Q786" i="34"/>
  <c r="R786" i="34"/>
  <c r="S786" i="34"/>
  <c r="S790" i="34"/>
  <c r="R790" i="34"/>
  <c r="A787" i="34"/>
  <c r="R789" i="34"/>
  <c r="Q789" i="34"/>
  <c r="S788" i="34"/>
  <c r="R788" i="34"/>
  <c r="S787" i="34"/>
  <c r="R787" i="34"/>
  <c r="A786" i="34"/>
  <c r="A752" i="34"/>
  <c r="A760" i="34"/>
  <c r="A785" i="34"/>
  <c r="A736" i="34"/>
  <c r="B22" i="34"/>
  <c r="A742" i="34"/>
  <c r="A748" i="34"/>
  <c r="A746" i="34"/>
  <c r="A762" i="34"/>
  <c r="A23" i="34"/>
  <c r="B24" i="34"/>
  <c r="A737" i="34"/>
  <c r="A772" i="34"/>
  <c r="A774" i="34"/>
  <c r="A741" i="34"/>
  <c r="A743" i="34"/>
  <c r="A754" i="34"/>
  <c r="A764" i="34"/>
  <c r="A776" i="34"/>
  <c r="A778" i="34"/>
  <c r="A782" i="34"/>
  <c r="A773" i="34"/>
  <c r="A780" i="34"/>
  <c r="A759" i="34"/>
  <c r="A766" i="34"/>
  <c r="A768" i="34"/>
  <c r="A770" i="34"/>
  <c r="A758" i="34"/>
  <c r="A745" i="34"/>
  <c r="A750" i="34"/>
  <c r="A744" i="34"/>
  <c r="A740" i="34"/>
  <c r="A739" i="34"/>
  <c r="A738" i="34"/>
  <c r="A735" i="34"/>
  <c r="A749" i="34"/>
  <c r="A753" i="34"/>
  <c r="A757" i="34"/>
  <c r="A763" i="34"/>
  <c r="A767" i="34"/>
  <c r="A771" i="34"/>
  <c r="A777" i="34"/>
  <c r="A781" i="34"/>
  <c r="A784" i="34"/>
  <c r="A70" i="60"/>
  <c r="D70" i="60"/>
  <c r="A71" i="60"/>
  <c r="D71" i="60"/>
  <c r="G71" i="60"/>
  <c r="M502" i="34"/>
  <c r="C554" i="34"/>
  <c r="AD554" i="34" s="1"/>
  <c r="C734" i="34"/>
  <c r="AD734" i="34" s="1"/>
  <c r="C733" i="34"/>
  <c r="AD733" i="34" s="1"/>
  <c r="C732" i="34"/>
  <c r="AD732" i="34" s="1"/>
  <c r="C731" i="34"/>
  <c r="AD731" i="34" s="1"/>
  <c r="C730" i="34"/>
  <c r="AD730" i="34" s="1"/>
  <c r="B661" i="34"/>
  <c r="E661" i="34"/>
  <c r="AA661" i="34" s="1"/>
  <c r="B662" i="34"/>
  <c r="E662" i="34"/>
  <c r="AA662" i="34" s="1"/>
  <c r="B659" i="34"/>
  <c r="E659" i="34"/>
  <c r="AA659" i="34" s="1"/>
  <c r="B660" i="34"/>
  <c r="E660" i="34"/>
  <c r="AA660" i="34" s="1"/>
  <c r="A661" i="34" l="1"/>
  <c r="S661" i="34"/>
  <c r="Q661" i="34"/>
  <c r="R661" i="34"/>
  <c r="S24" i="34"/>
  <c r="Q24" i="34"/>
  <c r="R24" i="34"/>
  <c r="A659" i="34"/>
  <c r="S659" i="34"/>
  <c r="Q659" i="34"/>
  <c r="R659" i="34"/>
  <c r="S22" i="34"/>
  <c r="Q22" i="34"/>
  <c r="R22" i="34"/>
  <c r="A660" i="34"/>
  <c r="Q660" i="34"/>
  <c r="R660" i="34"/>
  <c r="S660" i="34"/>
  <c r="A662" i="34"/>
  <c r="Q662" i="34"/>
  <c r="R662" i="34"/>
  <c r="S662" i="34"/>
  <c r="A22" i="34"/>
  <c r="Q23" i="34"/>
  <c r="R23" i="34"/>
  <c r="S23" i="34"/>
  <c r="A24" i="34"/>
  <c r="G70" i="60"/>
  <c r="B731" i="34"/>
  <c r="B733" i="34"/>
  <c r="B730" i="34"/>
  <c r="B732" i="34"/>
  <c r="B734" i="34"/>
  <c r="E715" i="34"/>
  <c r="AA715" i="34" s="1"/>
  <c r="B715" i="34"/>
  <c r="E68" i="60"/>
  <c r="D68" i="60"/>
  <c r="D69" i="60"/>
  <c r="N50" i="60"/>
  <c r="M150" i="34"/>
  <c r="E150" i="34"/>
  <c r="AA150" i="34" s="1"/>
  <c r="B150" i="34"/>
  <c r="E90" i="34"/>
  <c r="AA90" i="34" s="1"/>
  <c r="M90" i="34"/>
  <c r="B90" i="34"/>
  <c r="C196" i="34"/>
  <c r="AD196" i="34" s="1"/>
  <c r="C197" i="34"/>
  <c r="C198" i="34"/>
  <c r="AD198" i="34" s="1"/>
  <c r="C199" i="34"/>
  <c r="AD199" i="34" s="1"/>
  <c r="C200" i="34"/>
  <c r="AD200" i="34" s="1"/>
  <c r="C201" i="34"/>
  <c r="C202" i="34"/>
  <c r="AD202" i="34" s="1"/>
  <c r="M202" i="34"/>
  <c r="M201" i="34"/>
  <c r="M200" i="34"/>
  <c r="M199" i="34"/>
  <c r="M198" i="34"/>
  <c r="M197" i="34"/>
  <c r="M196" i="34"/>
  <c r="M139" i="34"/>
  <c r="E140" i="34"/>
  <c r="AA140" i="34" s="1"/>
  <c r="E658" i="34"/>
  <c r="AA658" i="34" s="1"/>
  <c r="E139" i="34"/>
  <c r="AA139" i="34" s="1"/>
  <c r="A50" i="60"/>
  <c r="D49" i="60"/>
  <c r="G49" i="60" s="1"/>
  <c r="M148" i="34"/>
  <c r="E148" i="34"/>
  <c r="AA148" i="34" s="1"/>
  <c r="B148" i="34"/>
  <c r="E142" i="34"/>
  <c r="AA142" i="34" s="1"/>
  <c r="E143" i="34"/>
  <c r="AA143" i="34" s="1"/>
  <c r="E144" i="34"/>
  <c r="AA144" i="34" s="1"/>
  <c r="E145" i="34"/>
  <c r="AA145" i="34" s="1"/>
  <c r="E146" i="34"/>
  <c r="AA146" i="34" s="1"/>
  <c r="E147" i="34"/>
  <c r="AA147" i="34" s="1"/>
  <c r="E149" i="34"/>
  <c r="AA149" i="34" s="1"/>
  <c r="E141" i="34"/>
  <c r="AA141" i="34" s="1"/>
  <c r="M149" i="34"/>
  <c r="B149" i="34"/>
  <c r="M147" i="34"/>
  <c r="B147" i="34"/>
  <c r="M146" i="34"/>
  <c r="M145" i="34"/>
  <c r="B145" i="34"/>
  <c r="M144" i="34"/>
  <c r="B144" i="34"/>
  <c r="M143" i="34"/>
  <c r="B143" i="34"/>
  <c r="M142" i="34"/>
  <c r="M141" i="34"/>
  <c r="B141" i="34"/>
  <c r="M91" i="34"/>
  <c r="C91" i="34"/>
  <c r="AD91" i="34" s="1"/>
  <c r="Q141" i="34" l="1"/>
  <c r="R141" i="34"/>
  <c r="S141" i="34"/>
  <c r="R144" i="34"/>
  <c r="S144" i="34"/>
  <c r="Q144" i="34"/>
  <c r="R148" i="34"/>
  <c r="S148" i="34"/>
  <c r="Q148" i="34"/>
  <c r="S90" i="34"/>
  <c r="Q90" i="34"/>
  <c r="R90" i="34"/>
  <c r="Q734" i="34"/>
  <c r="R734" i="34"/>
  <c r="S734" i="34"/>
  <c r="Q143" i="34"/>
  <c r="R143" i="34"/>
  <c r="S143" i="34"/>
  <c r="Q145" i="34"/>
  <c r="R145" i="34"/>
  <c r="S145" i="34"/>
  <c r="B196" i="34"/>
  <c r="Q732" i="34"/>
  <c r="R732" i="34"/>
  <c r="S732" i="34"/>
  <c r="B201" i="34"/>
  <c r="AD201" i="34"/>
  <c r="B197" i="34"/>
  <c r="AD197" i="34"/>
  <c r="S715" i="34"/>
  <c r="Q715" i="34"/>
  <c r="R715" i="34"/>
  <c r="Q730" i="34"/>
  <c r="R730" i="34"/>
  <c r="S730" i="34"/>
  <c r="R150" i="34"/>
  <c r="S150" i="34"/>
  <c r="Q150" i="34"/>
  <c r="S733" i="34"/>
  <c r="Q733" i="34"/>
  <c r="R733" i="34"/>
  <c r="Q149" i="34"/>
  <c r="S149" i="34"/>
  <c r="R149" i="34"/>
  <c r="Q147" i="34"/>
  <c r="R147" i="34"/>
  <c r="S147" i="34"/>
  <c r="S731" i="34"/>
  <c r="Q731" i="34"/>
  <c r="R731" i="34"/>
  <c r="B198" i="34"/>
  <c r="B200" i="34"/>
  <c r="A732" i="34"/>
  <c r="A730" i="34"/>
  <c r="A733" i="34"/>
  <c r="A734" i="34"/>
  <c r="A731" i="34"/>
  <c r="A715" i="34"/>
  <c r="G69" i="60"/>
  <c r="A150" i="34"/>
  <c r="A90" i="34"/>
  <c r="A201" i="34"/>
  <c r="A197" i="34"/>
  <c r="B199" i="34"/>
  <c r="B202" i="34"/>
  <c r="B91" i="34"/>
  <c r="A148" i="34"/>
  <c r="A144" i="34"/>
  <c r="A147" i="34"/>
  <c r="A143" i="34"/>
  <c r="A141" i="34"/>
  <c r="B142" i="34"/>
  <c r="A145" i="34"/>
  <c r="B146" i="34"/>
  <c r="A149" i="34"/>
  <c r="B138" i="34"/>
  <c r="B137" i="34"/>
  <c r="B133" i="34"/>
  <c r="B134" i="34"/>
  <c r="R146" i="34" l="1"/>
  <c r="S146" i="34"/>
  <c r="Q146" i="34"/>
  <c r="Q91" i="34"/>
  <c r="R91" i="34"/>
  <c r="S91" i="34"/>
  <c r="Q198" i="34"/>
  <c r="R198" i="34"/>
  <c r="S198" i="34"/>
  <c r="R138" i="34"/>
  <c r="S138" i="34"/>
  <c r="Q138" i="34"/>
  <c r="S199" i="34"/>
  <c r="Q199" i="34"/>
  <c r="R199" i="34"/>
  <c r="A134" i="34"/>
  <c r="R134" i="34"/>
  <c r="S134" i="34"/>
  <c r="Q134" i="34"/>
  <c r="A198" i="34"/>
  <c r="A200" i="34"/>
  <c r="Q200" i="34"/>
  <c r="R200" i="34"/>
  <c r="S200" i="34"/>
  <c r="S197" i="34"/>
  <c r="Q197" i="34"/>
  <c r="R197" i="34"/>
  <c r="A133" i="34"/>
  <c r="Q133" i="34"/>
  <c r="R133" i="34"/>
  <c r="S133" i="34"/>
  <c r="Q137" i="34"/>
  <c r="R137" i="34"/>
  <c r="S137" i="34"/>
  <c r="A202" i="34"/>
  <c r="Q202" i="34"/>
  <c r="R202" i="34"/>
  <c r="S202" i="34"/>
  <c r="S201" i="34"/>
  <c r="Q201" i="34"/>
  <c r="R201" i="34"/>
  <c r="A196" i="34"/>
  <c r="Q196" i="34"/>
  <c r="R196" i="34"/>
  <c r="S196" i="34"/>
  <c r="R142" i="34"/>
  <c r="S142" i="34"/>
  <c r="Q142" i="34"/>
  <c r="A199" i="34"/>
  <c r="A91" i="34"/>
  <c r="A146" i="34"/>
  <c r="A142" i="34"/>
  <c r="A137" i="34"/>
  <c r="A138" i="34"/>
  <c r="J42" i="69"/>
  <c r="A4" i="69"/>
  <c r="B482" i="34" l="1"/>
  <c r="B483" i="34"/>
  <c r="B484" i="34"/>
  <c r="B485" i="34"/>
  <c r="B486" i="34"/>
  <c r="B487" i="34"/>
  <c r="B488" i="34"/>
  <c r="B489" i="34"/>
  <c r="B490" i="34"/>
  <c r="B491" i="34"/>
  <c r="B492" i="34"/>
  <c r="B493" i="34"/>
  <c r="B494" i="34"/>
  <c r="B495" i="34"/>
  <c r="B496" i="34"/>
  <c r="B497" i="34"/>
  <c r="B498" i="34"/>
  <c r="B499" i="34"/>
  <c r="B500" i="34"/>
  <c r="B501" i="34"/>
  <c r="B502" i="34"/>
  <c r="B503" i="34"/>
  <c r="B504" i="34"/>
  <c r="B505" i="34"/>
  <c r="B506" i="34"/>
  <c r="B507" i="34"/>
  <c r="B508" i="34"/>
  <c r="B509" i="34"/>
  <c r="B511" i="34"/>
  <c r="B512" i="34"/>
  <c r="B513" i="34"/>
  <c r="B514" i="34"/>
  <c r="B515" i="34"/>
  <c r="B510" i="34"/>
  <c r="B516" i="34"/>
  <c r="B517" i="34"/>
  <c r="B518" i="34"/>
  <c r="B519" i="34"/>
  <c r="B520" i="34"/>
  <c r="B521" i="34"/>
  <c r="B522" i="34"/>
  <c r="B523" i="34"/>
  <c r="B524" i="34"/>
  <c r="B525" i="34"/>
  <c r="B526" i="34"/>
  <c r="B528" i="34"/>
  <c r="B529" i="34"/>
  <c r="B530" i="34"/>
  <c r="B531" i="34"/>
  <c r="B532" i="34"/>
  <c r="B533" i="34"/>
  <c r="B534" i="34"/>
  <c r="B527" i="34"/>
  <c r="B535" i="34"/>
  <c r="B536" i="34"/>
  <c r="B537" i="34"/>
  <c r="B538" i="34"/>
  <c r="B539" i="34"/>
  <c r="B541" i="34"/>
  <c r="B542" i="34"/>
  <c r="B540" i="34"/>
  <c r="B543" i="34"/>
  <c r="B544" i="34"/>
  <c r="B545" i="34"/>
  <c r="B546" i="34"/>
  <c r="B547" i="34"/>
  <c r="B548" i="34"/>
  <c r="B549" i="34"/>
  <c r="B550" i="34"/>
  <c r="B551" i="34"/>
  <c r="B552" i="34"/>
  <c r="B553" i="34"/>
  <c r="B591" i="34"/>
  <c r="B555" i="34"/>
  <c r="B556" i="34"/>
  <c r="B557" i="34"/>
  <c r="B558" i="34"/>
  <c r="B559" i="34"/>
  <c r="B560" i="34"/>
  <c r="B561" i="34"/>
  <c r="B562" i="34"/>
  <c r="B563" i="34"/>
  <c r="B564" i="34"/>
  <c r="B565" i="34"/>
  <c r="B566" i="34"/>
  <c r="B567" i="34"/>
  <c r="B568" i="34"/>
  <c r="B569" i="34"/>
  <c r="B570" i="34"/>
  <c r="B571" i="34"/>
  <c r="B572" i="34"/>
  <c r="B573" i="34"/>
  <c r="B574" i="34"/>
  <c r="B575" i="34"/>
  <c r="B576" i="34"/>
  <c r="B577" i="34"/>
  <c r="B578" i="34"/>
  <c r="B579" i="34"/>
  <c r="B580" i="34"/>
  <c r="B581" i="34"/>
  <c r="B582" i="34"/>
  <c r="B583" i="34"/>
  <c r="B584" i="34"/>
  <c r="B585" i="34"/>
  <c r="B586" i="34"/>
  <c r="B587" i="34"/>
  <c r="B588" i="34"/>
  <c r="B589" i="34"/>
  <c r="B590" i="34"/>
  <c r="B592" i="34"/>
  <c r="B593" i="34"/>
  <c r="B594" i="34"/>
  <c r="B595" i="34"/>
  <c r="B596" i="34"/>
  <c r="B597" i="34"/>
  <c r="B598" i="34"/>
  <c r="B599" i="34"/>
  <c r="B600" i="34"/>
  <c r="B601" i="34"/>
  <c r="B602" i="34"/>
  <c r="B603" i="34"/>
  <c r="B604" i="34"/>
  <c r="B605" i="34"/>
  <c r="B606" i="34"/>
  <c r="B607" i="34"/>
  <c r="B608" i="34"/>
  <c r="B609" i="34"/>
  <c r="B610" i="34"/>
  <c r="B611" i="34"/>
  <c r="B612" i="34"/>
  <c r="B613" i="34"/>
  <c r="B614" i="34"/>
  <c r="B615" i="34"/>
  <c r="B616" i="34"/>
  <c r="B617" i="34"/>
  <c r="B618" i="34"/>
  <c r="B619" i="34"/>
  <c r="B620" i="34"/>
  <c r="B621" i="34"/>
  <c r="B622" i="34"/>
  <c r="B624" i="34"/>
  <c r="B625" i="34"/>
  <c r="B626" i="34"/>
  <c r="B627" i="34"/>
  <c r="B628" i="34"/>
  <c r="B629" i="34"/>
  <c r="B630" i="34"/>
  <c r="B631" i="34"/>
  <c r="B632" i="34"/>
  <c r="B633" i="34"/>
  <c r="B634" i="34"/>
  <c r="B635" i="34"/>
  <c r="B636" i="34"/>
  <c r="B637" i="34"/>
  <c r="B638" i="34"/>
  <c r="B639" i="34"/>
  <c r="B640" i="34"/>
  <c r="B641" i="34"/>
  <c r="B642" i="34"/>
  <c r="B643" i="34"/>
  <c r="B644" i="34"/>
  <c r="B645" i="34"/>
  <c r="B646" i="34"/>
  <c r="B647" i="34"/>
  <c r="B648" i="34"/>
  <c r="B649" i="34"/>
  <c r="B650" i="34"/>
  <c r="B651" i="34"/>
  <c r="B652" i="34"/>
  <c r="B653" i="34"/>
  <c r="B654" i="34"/>
  <c r="B655" i="34"/>
  <c r="B656" i="34"/>
  <c r="B657" i="34"/>
  <c r="B663" i="34"/>
  <c r="B139" i="34"/>
  <c r="B140" i="34"/>
  <c r="B658" i="34"/>
  <c r="A788" i="34"/>
  <c r="A789" i="34"/>
  <c r="A790" i="34"/>
  <c r="B791" i="34"/>
  <c r="B792" i="34"/>
  <c r="B793" i="34"/>
  <c r="B794" i="34"/>
  <c r="B795" i="34"/>
  <c r="B796" i="34"/>
  <c r="B797" i="34"/>
  <c r="B798" i="34"/>
  <c r="M64" i="34"/>
  <c r="E75" i="34"/>
  <c r="AA75" i="34" s="1"/>
  <c r="E74" i="34"/>
  <c r="AA74" i="34" s="1"/>
  <c r="M73" i="34"/>
  <c r="M75" i="34" s="1"/>
  <c r="E73" i="34"/>
  <c r="AA73" i="34" s="1"/>
  <c r="M72" i="34"/>
  <c r="M74" i="34" s="1"/>
  <c r="E72" i="34"/>
  <c r="AA72" i="34" s="1"/>
  <c r="M71" i="34"/>
  <c r="E71" i="34"/>
  <c r="AA71" i="34" s="1"/>
  <c r="M70" i="34"/>
  <c r="E70" i="34"/>
  <c r="AA70" i="34" s="1"/>
  <c r="M69" i="34"/>
  <c r="E69" i="34"/>
  <c r="AA69" i="34" s="1"/>
  <c r="M68" i="34"/>
  <c r="E68" i="34"/>
  <c r="AA68" i="34" s="1"/>
  <c r="M67" i="34"/>
  <c r="E67" i="34"/>
  <c r="AA67" i="34" s="1"/>
  <c r="M66" i="34"/>
  <c r="E66" i="34"/>
  <c r="AA66" i="34" s="1"/>
  <c r="M65" i="34"/>
  <c r="E65" i="34"/>
  <c r="AA65" i="34" s="1"/>
  <c r="E64" i="34"/>
  <c r="AA64" i="34" s="1"/>
  <c r="E63" i="34"/>
  <c r="AA63" i="34" s="1"/>
  <c r="E62" i="34"/>
  <c r="AA62" i="34" s="1"/>
  <c r="E61" i="34"/>
  <c r="AA61" i="34" s="1"/>
  <c r="E60" i="34"/>
  <c r="AA60" i="34" s="1"/>
  <c r="M59" i="34"/>
  <c r="M61" i="34" s="1"/>
  <c r="E59" i="34"/>
  <c r="AA59" i="34" s="1"/>
  <c r="M58" i="34"/>
  <c r="M60" i="34" s="1"/>
  <c r="E58" i="34"/>
  <c r="AA58" i="34" s="1"/>
  <c r="M57" i="34"/>
  <c r="E57" i="34"/>
  <c r="AA57" i="34" s="1"/>
  <c r="M56" i="34"/>
  <c r="E56" i="34"/>
  <c r="AA56" i="34" s="1"/>
  <c r="M55" i="34"/>
  <c r="E55" i="34"/>
  <c r="AA55" i="34" s="1"/>
  <c r="M54" i="34"/>
  <c r="E54" i="34"/>
  <c r="AA54" i="34" s="1"/>
  <c r="M53" i="34"/>
  <c r="E53" i="34"/>
  <c r="AA53" i="34" s="1"/>
  <c r="M52" i="34"/>
  <c r="E52" i="34"/>
  <c r="AA52" i="34" s="1"/>
  <c r="M51" i="34"/>
  <c r="E51" i="34"/>
  <c r="AA51" i="34" s="1"/>
  <c r="M50" i="34"/>
  <c r="E50" i="34"/>
  <c r="AA50" i="34" s="1"/>
  <c r="E49" i="34"/>
  <c r="AA49" i="34" s="1"/>
  <c r="E48" i="34"/>
  <c r="AA48" i="34" s="1"/>
  <c r="E47" i="34"/>
  <c r="AA47" i="34" s="1"/>
  <c r="E46" i="34"/>
  <c r="AA46" i="34" s="1"/>
  <c r="M45" i="34"/>
  <c r="M47" i="34" s="1"/>
  <c r="E45" i="34"/>
  <c r="AA45" i="34" s="1"/>
  <c r="M44" i="34"/>
  <c r="M46" i="34" s="1"/>
  <c r="E44" i="34"/>
  <c r="AA44" i="34" s="1"/>
  <c r="M43" i="34"/>
  <c r="E43" i="34"/>
  <c r="AA43" i="34" s="1"/>
  <c r="M42" i="34"/>
  <c r="E42" i="34"/>
  <c r="AA42" i="34" s="1"/>
  <c r="M41" i="34"/>
  <c r="E41" i="34"/>
  <c r="AA41" i="34" s="1"/>
  <c r="M40" i="34"/>
  <c r="E40" i="34"/>
  <c r="AA40" i="34" s="1"/>
  <c r="M39" i="34"/>
  <c r="E39" i="34"/>
  <c r="AA39" i="34" s="1"/>
  <c r="M38" i="34"/>
  <c r="E38" i="34"/>
  <c r="AA38" i="34" s="1"/>
  <c r="M37" i="34"/>
  <c r="E37" i="34"/>
  <c r="AA37" i="34" s="1"/>
  <c r="M36" i="34"/>
  <c r="E36" i="34"/>
  <c r="AA36" i="34" s="1"/>
  <c r="E35" i="34"/>
  <c r="AA35" i="34" s="1"/>
  <c r="E34" i="34"/>
  <c r="AA34" i="34" s="1"/>
  <c r="A797" i="34" l="1"/>
  <c r="S797" i="34"/>
  <c r="Q797" i="34"/>
  <c r="R797" i="34"/>
  <c r="A793" i="34"/>
  <c r="S793" i="34"/>
  <c r="Q793" i="34"/>
  <c r="R793" i="34"/>
  <c r="A139" i="34"/>
  <c r="Q139" i="34"/>
  <c r="R139" i="34"/>
  <c r="S139" i="34"/>
  <c r="A655" i="34"/>
  <c r="S655" i="34"/>
  <c r="Q655" i="34"/>
  <c r="R655" i="34"/>
  <c r="A651" i="34"/>
  <c r="S651" i="34"/>
  <c r="Q651" i="34"/>
  <c r="R651" i="34"/>
  <c r="A647" i="34"/>
  <c r="S647" i="34"/>
  <c r="Q647" i="34"/>
  <c r="R647" i="34"/>
  <c r="A643" i="34"/>
  <c r="S643" i="34"/>
  <c r="T643" i="34"/>
  <c r="Q643" i="34"/>
  <c r="U643" i="34"/>
  <c r="R643" i="34"/>
  <c r="V643" i="34"/>
  <c r="A639" i="34"/>
  <c r="S639" i="34"/>
  <c r="Q639" i="34"/>
  <c r="R639" i="34"/>
  <c r="A635" i="34"/>
  <c r="S635" i="34"/>
  <c r="Q635" i="34"/>
  <c r="R635" i="34"/>
  <c r="A631" i="34"/>
  <c r="S631" i="34"/>
  <c r="Q631" i="34"/>
  <c r="R631" i="34"/>
  <c r="A627" i="34"/>
  <c r="S627" i="34"/>
  <c r="Q627" i="34"/>
  <c r="R627" i="34"/>
  <c r="A622" i="34"/>
  <c r="Q622" i="34"/>
  <c r="R622" i="34"/>
  <c r="S622" i="34"/>
  <c r="A618" i="34"/>
  <c r="Q618" i="34"/>
  <c r="R618" i="34"/>
  <c r="S618" i="34"/>
  <c r="A614" i="34"/>
  <c r="Q614" i="34"/>
  <c r="R614" i="34"/>
  <c r="S614" i="34"/>
  <c r="A610" i="34"/>
  <c r="Q610" i="34"/>
  <c r="R610" i="34"/>
  <c r="S610" i="34"/>
  <c r="A606" i="34"/>
  <c r="Q606" i="34"/>
  <c r="R606" i="34"/>
  <c r="S606" i="34"/>
  <c r="A602" i="34"/>
  <c r="S602" i="34"/>
  <c r="Q602" i="34"/>
  <c r="V602" i="34"/>
  <c r="R602" i="34"/>
  <c r="T602" i="34"/>
  <c r="U602" i="34"/>
  <c r="A598" i="34"/>
  <c r="S598" i="34"/>
  <c r="Q598" i="34"/>
  <c r="T598" i="34"/>
  <c r="U598" i="34"/>
  <c r="V598" i="34"/>
  <c r="R598" i="34"/>
  <c r="A594" i="34"/>
  <c r="S594" i="34"/>
  <c r="Q594" i="34"/>
  <c r="R594" i="34"/>
  <c r="A589" i="34"/>
  <c r="Q589" i="34"/>
  <c r="R589" i="34"/>
  <c r="S589" i="34"/>
  <c r="A585" i="34"/>
  <c r="Q585" i="34"/>
  <c r="R585" i="34"/>
  <c r="S585" i="34"/>
  <c r="A581" i="34"/>
  <c r="Q581" i="34"/>
  <c r="R581" i="34"/>
  <c r="S581" i="34"/>
  <c r="A577" i="34"/>
  <c r="Q577" i="34"/>
  <c r="R577" i="34"/>
  <c r="S577" i="34"/>
  <c r="A573" i="34"/>
  <c r="Q573" i="34"/>
  <c r="R573" i="34"/>
  <c r="S573" i="34"/>
  <c r="A569" i="34"/>
  <c r="Q569" i="34"/>
  <c r="R569" i="34"/>
  <c r="S569" i="34"/>
  <c r="A565" i="34"/>
  <c r="Q565" i="34"/>
  <c r="R565" i="34"/>
  <c r="S565" i="34"/>
  <c r="A561" i="34"/>
  <c r="Q561" i="34"/>
  <c r="U561" i="34"/>
  <c r="R561" i="34"/>
  <c r="V561" i="34"/>
  <c r="S561" i="34"/>
  <c r="T561" i="34"/>
  <c r="A557" i="34"/>
  <c r="Q557" i="34"/>
  <c r="U557" i="34"/>
  <c r="R557" i="34"/>
  <c r="V557" i="34"/>
  <c r="S557" i="34"/>
  <c r="T557" i="34"/>
  <c r="A553" i="34"/>
  <c r="Q553" i="34"/>
  <c r="U553" i="34"/>
  <c r="R553" i="34"/>
  <c r="V553" i="34"/>
  <c r="S553" i="34"/>
  <c r="T553" i="34"/>
  <c r="A549" i="34"/>
  <c r="Q549" i="34"/>
  <c r="R549" i="34"/>
  <c r="S549" i="34"/>
  <c r="A545" i="34"/>
  <c r="Q545" i="34"/>
  <c r="R545" i="34"/>
  <c r="S545" i="34"/>
  <c r="A542" i="34"/>
  <c r="S542" i="34"/>
  <c r="Q542" i="34"/>
  <c r="R542" i="34"/>
  <c r="A537" i="34"/>
  <c r="Q537" i="34"/>
  <c r="R537" i="34"/>
  <c r="S537" i="34"/>
  <c r="A534" i="34"/>
  <c r="S534" i="34"/>
  <c r="Q534" i="34"/>
  <c r="R534" i="34"/>
  <c r="A530" i="34"/>
  <c r="S530" i="34"/>
  <c r="Q530" i="34"/>
  <c r="R530" i="34"/>
  <c r="A525" i="34"/>
  <c r="Q525" i="34"/>
  <c r="R525" i="34"/>
  <c r="S525" i="34"/>
  <c r="A521" i="34"/>
  <c r="Q521" i="34"/>
  <c r="R521" i="34"/>
  <c r="S521" i="34"/>
  <c r="A517" i="34"/>
  <c r="Q517" i="34"/>
  <c r="R517" i="34"/>
  <c r="S517" i="34"/>
  <c r="A514" i="34"/>
  <c r="S514" i="34"/>
  <c r="Q514" i="34"/>
  <c r="R514" i="34"/>
  <c r="A509" i="34"/>
  <c r="Q509" i="34"/>
  <c r="R509" i="34"/>
  <c r="S509" i="34"/>
  <c r="A505" i="34"/>
  <c r="Q505" i="34"/>
  <c r="R505" i="34"/>
  <c r="S505" i="34"/>
  <c r="A501" i="34"/>
  <c r="Q501" i="34"/>
  <c r="R501" i="34"/>
  <c r="S501" i="34"/>
  <c r="A497" i="34"/>
  <c r="Q497" i="34"/>
  <c r="R497" i="34"/>
  <c r="S497" i="34"/>
  <c r="A493" i="34"/>
  <c r="Q493" i="34"/>
  <c r="R493" i="34"/>
  <c r="S493" i="34"/>
  <c r="A489" i="34"/>
  <c r="Q489" i="34"/>
  <c r="R489" i="34"/>
  <c r="S489" i="34"/>
  <c r="A485" i="34"/>
  <c r="Q485" i="34"/>
  <c r="R485" i="34"/>
  <c r="S485" i="34"/>
  <c r="A796" i="34"/>
  <c r="Q796" i="34"/>
  <c r="R796" i="34"/>
  <c r="S796" i="34"/>
  <c r="A792" i="34"/>
  <c r="Q792" i="34"/>
  <c r="R792" i="34"/>
  <c r="S792" i="34"/>
  <c r="A663" i="34"/>
  <c r="S663" i="34"/>
  <c r="Q663" i="34"/>
  <c r="R663" i="34"/>
  <c r="A654" i="34"/>
  <c r="Q654" i="34"/>
  <c r="R654" i="34"/>
  <c r="S654" i="34"/>
  <c r="A650" i="34"/>
  <c r="Q650" i="34"/>
  <c r="U650" i="34"/>
  <c r="R650" i="34"/>
  <c r="V650" i="34"/>
  <c r="S650" i="34"/>
  <c r="T650" i="34"/>
  <c r="A646" i="34"/>
  <c r="Q646" i="34"/>
  <c r="U646" i="34"/>
  <c r="R646" i="34"/>
  <c r="V646" i="34"/>
  <c r="S646" i="34"/>
  <c r="T646" i="34"/>
  <c r="A642" i="34"/>
  <c r="Q642" i="34"/>
  <c r="R642" i="34"/>
  <c r="S642" i="34"/>
  <c r="A638" i="34"/>
  <c r="Q638" i="34"/>
  <c r="R638" i="34"/>
  <c r="S638" i="34"/>
  <c r="A634" i="34"/>
  <c r="Q634" i="34"/>
  <c r="R634" i="34"/>
  <c r="S634" i="34"/>
  <c r="A630" i="34"/>
  <c r="Q630" i="34"/>
  <c r="R630" i="34"/>
  <c r="S630" i="34"/>
  <c r="A626" i="34"/>
  <c r="Q626" i="34"/>
  <c r="R626" i="34"/>
  <c r="S626" i="34"/>
  <c r="A621" i="34"/>
  <c r="S621" i="34"/>
  <c r="Q621" i="34"/>
  <c r="R621" i="34"/>
  <c r="A617" i="34"/>
  <c r="S617" i="34"/>
  <c r="Q617" i="34"/>
  <c r="R617" i="34"/>
  <c r="A613" i="34"/>
  <c r="S613" i="34"/>
  <c r="Q613" i="34"/>
  <c r="R613" i="34"/>
  <c r="A609" i="34"/>
  <c r="S609" i="34"/>
  <c r="Q609" i="34"/>
  <c r="R609" i="34"/>
  <c r="A605" i="34"/>
  <c r="S605" i="34"/>
  <c r="Q605" i="34"/>
  <c r="R605" i="34"/>
  <c r="A601" i="34"/>
  <c r="Q601" i="34"/>
  <c r="U601" i="34"/>
  <c r="R601" i="34"/>
  <c r="S601" i="34"/>
  <c r="T601" i="34"/>
  <c r="V601" i="34"/>
  <c r="A597" i="34"/>
  <c r="Q597" i="34"/>
  <c r="U597" i="34"/>
  <c r="S597" i="34"/>
  <c r="R597" i="34"/>
  <c r="T597" i="34"/>
  <c r="V597" i="34"/>
  <c r="A593" i="34"/>
  <c r="Q593" i="34"/>
  <c r="S593" i="34"/>
  <c r="R593" i="34"/>
  <c r="A588" i="34"/>
  <c r="S588" i="34"/>
  <c r="Q588" i="34"/>
  <c r="R588" i="34"/>
  <c r="A584" i="34"/>
  <c r="S584" i="34"/>
  <c r="Q584" i="34"/>
  <c r="R584" i="34"/>
  <c r="A580" i="34"/>
  <c r="S580" i="34"/>
  <c r="Q580" i="34"/>
  <c r="R580" i="34"/>
  <c r="A576" i="34"/>
  <c r="S576" i="34"/>
  <c r="Q576" i="34"/>
  <c r="R576" i="34"/>
  <c r="A572" i="34"/>
  <c r="S572" i="34"/>
  <c r="Q572" i="34"/>
  <c r="R572" i="34"/>
  <c r="A568" i="34"/>
  <c r="S568" i="34"/>
  <c r="Q568" i="34"/>
  <c r="R568" i="34"/>
  <c r="A564" i="34"/>
  <c r="S564" i="34"/>
  <c r="T564" i="34"/>
  <c r="Q564" i="34"/>
  <c r="U564" i="34"/>
  <c r="R564" i="34"/>
  <c r="V564" i="34"/>
  <c r="A560" i="34"/>
  <c r="S560" i="34"/>
  <c r="T560" i="34"/>
  <c r="Q560" i="34"/>
  <c r="U560" i="34"/>
  <c r="R560" i="34"/>
  <c r="V560" i="34"/>
  <c r="A556" i="34"/>
  <c r="S556" i="34"/>
  <c r="T556" i="34"/>
  <c r="Q556" i="34"/>
  <c r="U556" i="34"/>
  <c r="R556" i="34"/>
  <c r="V556" i="34"/>
  <c r="A552" i="34"/>
  <c r="S552" i="34"/>
  <c r="T552" i="34"/>
  <c r="Q552" i="34"/>
  <c r="U552" i="34"/>
  <c r="R552" i="34"/>
  <c r="V552" i="34"/>
  <c r="A548" i="34"/>
  <c r="S548" i="34"/>
  <c r="Q548" i="34"/>
  <c r="R548" i="34"/>
  <c r="A544" i="34"/>
  <c r="S544" i="34"/>
  <c r="Q544" i="34"/>
  <c r="R544" i="34"/>
  <c r="A541" i="34"/>
  <c r="Q541" i="34"/>
  <c r="R541" i="34"/>
  <c r="S541" i="34"/>
  <c r="A536" i="34"/>
  <c r="S536" i="34"/>
  <c r="Q536" i="34"/>
  <c r="R536" i="34"/>
  <c r="A533" i="34"/>
  <c r="Q533" i="34"/>
  <c r="R533" i="34"/>
  <c r="S533" i="34"/>
  <c r="A529" i="34"/>
  <c r="Q529" i="34"/>
  <c r="R529" i="34"/>
  <c r="S529" i="34"/>
  <c r="A524" i="34"/>
  <c r="S524" i="34"/>
  <c r="Q524" i="34"/>
  <c r="R524" i="34"/>
  <c r="A520" i="34"/>
  <c r="S520" i="34"/>
  <c r="Q520" i="34"/>
  <c r="R520" i="34"/>
  <c r="A516" i="34"/>
  <c r="S516" i="34"/>
  <c r="Q516" i="34"/>
  <c r="R516" i="34"/>
  <c r="A513" i="34"/>
  <c r="Q513" i="34"/>
  <c r="R513" i="34"/>
  <c r="S513" i="34"/>
  <c r="A508" i="34"/>
  <c r="S508" i="34"/>
  <c r="Q508" i="34"/>
  <c r="R508" i="34"/>
  <c r="A504" i="34"/>
  <c r="S504" i="34"/>
  <c r="Q504" i="34"/>
  <c r="R504" i="34"/>
  <c r="A500" i="34"/>
  <c r="S500" i="34"/>
  <c r="Q500" i="34"/>
  <c r="R500" i="34"/>
  <c r="A496" i="34"/>
  <c r="S496" i="34"/>
  <c r="Q496" i="34"/>
  <c r="R496" i="34"/>
  <c r="A492" i="34"/>
  <c r="S492" i="34"/>
  <c r="Q492" i="34"/>
  <c r="R492" i="34"/>
  <c r="A488" i="34"/>
  <c r="S488" i="34"/>
  <c r="Q488" i="34"/>
  <c r="R488" i="34"/>
  <c r="A484" i="34"/>
  <c r="S484" i="34"/>
  <c r="Q484" i="34"/>
  <c r="R484" i="34"/>
  <c r="A795" i="34"/>
  <c r="S795" i="34"/>
  <c r="Q795" i="34"/>
  <c r="R795" i="34"/>
  <c r="A791" i="34"/>
  <c r="S791" i="34"/>
  <c r="Q791" i="34"/>
  <c r="R791" i="34"/>
  <c r="A658" i="34"/>
  <c r="Q658" i="34"/>
  <c r="R658" i="34"/>
  <c r="S658" i="34"/>
  <c r="A657" i="34"/>
  <c r="S657" i="34"/>
  <c r="Q657" i="34"/>
  <c r="R657" i="34"/>
  <c r="A653" i="34"/>
  <c r="S653" i="34"/>
  <c r="Q653" i="34"/>
  <c r="R653" i="34"/>
  <c r="A649" i="34"/>
  <c r="S649" i="34"/>
  <c r="T649" i="34"/>
  <c r="Q649" i="34"/>
  <c r="U649" i="34"/>
  <c r="R649" i="34"/>
  <c r="V649" i="34"/>
  <c r="A645" i="34"/>
  <c r="S645" i="34"/>
  <c r="T645" i="34"/>
  <c r="Q645" i="34"/>
  <c r="U645" i="34"/>
  <c r="R645" i="34"/>
  <c r="V645" i="34"/>
  <c r="A641" i="34"/>
  <c r="S641" i="34"/>
  <c r="Q641" i="34"/>
  <c r="R641" i="34"/>
  <c r="A637" i="34"/>
  <c r="S637" i="34"/>
  <c r="Q637" i="34"/>
  <c r="R637" i="34"/>
  <c r="A633" i="34"/>
  <c r="S633" i="34"/>
  <c r="Q633" i="34"/>
  <c r="R633" i="34"/>
  <c r="A629" i="34"/>
  <c r="S629" i="34"/>
  <c r="Q629" i="34"/>
  <c r="R629" i="34"/>
  <c r="A625" i="34"/>
  <c r="S625" i="34"/>
  <c r="Q625" i="34"/>
  <c r="R625" i="34"/>
  <c r="A620" i="34"/>
  <c r="Q620" i="34"/>
  <c r="R620" i="34"/>
  <c r="S620" i="34"/>
  <c r="A616" i="34"/>
  <c r="Q616" i="34"/>
  <c r="R616" i="34"/>
  <c r="S616" i="34"/>
  <c r="A612" i="34"/>
  <c r="Q612" i="34"/>
  <c r="R612" i="34"/>
  <c r="S612" i="34"/>
  <c r="A608" i="34"/>
  <c r="Q608" i="34"/>
  <c r="R608" i="34"/>
  <c r="S608" i="34"/>
  <c r="A604" i="34"/>
  <c r="S604" i="34"/>
  <c r="U604" i="34"/>
  <c r="Q604" i="34"/>
  <c r="V604" i="34"/>
  <c r="R604" i="34"/>
  <c r="T604" i="34"/>
  <c r="A600" i="34"/>
  <c r="S600" i="34"/>
  <c r="R600" i="34"/>
  <c r="T600" i="34"/>
  <c r="U600" i="34"/>
  <c r="Q600" i="34"/>
  <c r="V600" i="34"/>
  <c r="A596" i="34"/>
  <c r="S596" i="34"/>
  <c r="Q596" i="34"/>
  <c r="R596" i="34"/>
  <c r="A592" i="34"/>
  <c r="S592" i="34"/>
  <c r="Q592" i="34"/>
  <c r="R592" i="34"/>
  <c r="A587" i="34"/>
  <c r="Q587" i="34"/>
  <c r="R587" i="34"/>
  <c r="S587" i="34"/>
  <c r="A583" i="34"/>
  <c r="Q583" i="34"/>
  <c r="R583" i="34"/>
  <c r="S583" i="34"/>
  <c r="A579" i="34"/>
  <c r="Q579" i="34"/>
  <c r="R579" i="34"/>
  <c r="S579" i="34"/>
  <c r="A575" i="34"/>
  <c r="Q575" i="34"/>
  <c r="R575" i="34"/>
  <c r="S575" i="34"/>
  <c r="A571" i="34"/>
  <c r="Q571" i="34"/>
  <c r="R571" i="34"/>
  <c r="S571" i="34"/>
  <c r="A567" i="34"/>
  <c r="Q567" i="34"/>
  <c r="R567" i="34"/>
  <c r="S567" i="34"/>
  <c r="A563" i="34"/>
  <c r="Q563" i="34"/>
  <c r="U563" i="34"/>
  <c r="R563" i="34"/>
  <c r="V563" i="34"/>
  <c r="S563" i="34"/>
  <c r="T563" i="34"/>
  <c r="A559" i="34"/>
  <c r="Q559" i="34"/>
  <c r="U559" i="34"/>
  <c r="R559" i="34"/>
  <c r="V559" i="34"/>
  <c r="S559" i="34"/>
  <c r="T559" i="34"/>
  <c r="A555" i="34"/>
  <c r="Q555" i="34"/>
  <c r="U555" i="34"/>
  <c r="R555" i="34"/>
  <c r="V555" i="34"/>
  <c r="S555" i="34"/>
  <c r="T555" i="34"/>
  <c r="A551" i="34"/>
  <c r="Q551" i="34"/>
  <c r="R551" i="34"/>
  <c r="S551" i="34"/>
  <c r="A547" i="34"/>
  <c r="Q547" i="34"/>
  <c r="R547" i="34"/>
  <c r="S547" i="34"/>
  <c r="A543" i="34"/>
  <c r="Q543" i="34"/>
  <c r="R543" i="34"/>
  <c r="S543" i="34"/>
  <c r="A539" i="34"/>
  <c r="Q539" i="34"/>
  <c r="R539" i="34"/>
  <c r="S539" i="34"/>
  <c r="A535" i="34"/>
  <c r="Q535" i="34"/>
  <c r="R535" i="34"/>
  <c r="S535" i="34"/>
  <c r="A532" i="34"/>
  <c r="S532" i="34"/>
  <c r="Q532" i="34"/>
  <c r="R532" i="34"/>
  <c r="A528" i="34"/>
  <c r="S528" i="34"/>
  <c r="Q528" i="34"/>
  <c r="R528" i="34"/>
  <c r="A523" i="34"/>
  <c r="Q523" i="34"/>
  <c r="R523" i="34"/>
  <c r="S523" i="34"/>
  <c r="A519" i="34"/>
  <c r="Q519" i="34"/>
  <c r="R519" i="34"/>
  <c r="S519" i="34"/>
  <c r="A510" i="34"/>
  <c r="S510" i="34"/>
  <c r="Q510" i="34"/>
  <c r="R510" i="34"/>
  <c r="A512" i="34"/>
  <c r="S512" i="34"/>
  <c r="Q512" i="34"/>
  <c r="R512" i="34"/>
  <c r="A507" i="34"/>
  <c r="Q507" i="34"/>
  <c r="R507" i="34"/>
  <c r="S507" i="34"/>
  <c r="A503" i="34"/>
  <c r="Q503" i="34"/>
  <c r="R503" i="34"/>
  <c r="S503" i="34"/>
  <c r="A499" i="34"/>
  <c r="Q499" i="34"/>
  <c r="R499" i="34"/>
  <c r="S499" i="34"/>
  <c r="A495" i="34"/>
  <c r="Q495" i="34"/>
  <c r="R495" i="34"/>
  <c r="S495" i="34"/>
  <c r="A491" i="34"/>
  <c r="Q491" i="34"/>
  <c r="R491" i="34"/>
  <c r="S491" i="34"/>
  <c r="A487" i="34"/>
  <c r="Q487" i="34"/>
  <c r="R487" i="34"/>
  <c r="S487" i="34"/>
  <c r="A483" i="34"/>
  <c r="Q483" i="34"/>
  <c r="R483" i="34"/>
  <c r="S483" i="34"/>
  <c r="A798" i="34"/>
  <c r="Q798" i="34"/>
  <c r="R798" i="34"/>
  <c r="S798" i="34"/>
  <c r="A794" i="34"/>
  <c r="Q794" i="34"/>
  <c r="R794" i="34"/>
  <c r="S794" i="34"/>
  <c r="A140" i="34"/>
  <c r="R140" i="34"/>
  <c r="S140" i="34"/>
  <c r="Q140" i="34"/>
  <c r="A656" i="34"/>
  <c r="Q656" i="34"/>
  <c r="R656" i="34"/>
  <c r="S656" i="34"/>
  <c r="A652" i="34"/>
  <c r="Q652" i="34"/>
  <c r="R652" i="34"/>
  <c r="S652" i="34"/>
  <c r="A648" i="34"/>
  <c r="Q648" i="34"/>
  <c r="U648" i="34"/>
  <c r="R648" i="34"/>
  <c r="V648" i="34"/>
  <c r="S648" i="34"/>
  <c r="T648" i="34"/>
  <c r="A644" i="34"/>
  <c r="Q644" i="34"/>
  <c r="U644" i="34"/>
  <c r="R644" i="34"/>
  <c r="V644" i="34"/>
  <c r="S644" i="34"/>
  <c r="T644" i="34"/>
  <c r="A640" i="34"/>
  <c r="Q640" i="34"/>
  <c r="R640" i="34"/>
  <c r="S640" i="34"/>
  <c r="A636" i="34"/>
  <c r="Q636" i="34"/>
  <c r="R636" i="34"/>
  <c r="S636" i="34"/>
  <c r="A632" i="34"/>
  <c r="Q632" i="34"/>
  <c r="R632" i="34"/>
  <c r="S632" i="34"/>
  <c r="A628" i="34"/>
  <c r="Q628" i="34"/>
  <c r="R628" i="34"/>
  <c r="S628" i="34"/>
  <c r="A624" i="34"/>
  <c r="Q624" i="34"/>
  <c r="R624" i="34"/>
  <c r="S624" i="34"/>
  <c r="A619" i="34"/>
  <c r="S619" i="34"/>
  <c r="Q619" i="34"/>
  <c r="R619" i="34"/>
  <c r="A615" i="34"/>
  <c r="S615" i="34"/>
  <c r="Q615" i="34"/>
  <c r="R615" i="34"/>
  <c r="A611" i="34"/>
  <c r="S611" i="34"/>
  <c r="Q611" i="34"/>
  <c r="R611" i="34"/>
  <c r="A607" i="34"/>
  <c r="S607" i="34"/>
  <c r="Q607" i="34"/>
  <c r="R607" i="34"/>
  <c r="A603" i="34"/>
  <c r="Q603" i="34"/>
  <c r="U603" i="34"/>
  <c r="V603" i="34"/>
  <c r="R603" i="34"/>
  <c r="S603" i="34"/>
  <c r="T603" i="34"/>
  <c r="A599" i="34"/>
  <c r="Q599" i="34"/>
  <c r="U599" i="34"/>
  <c r="S599" i="34"/>
  <c r="T599" i="34"/>
  <c r="V599" i="34"/>
  <c r="R599" i="34"/>
  <c r="A595" i="34"/>
  <c r="Q595" i="34"/>
  <c r="S595" i="34"/>
  <c r="R595" i="34"/>
  <c r="A590" i="34"/>
  <c r="S590" i="34"/>
  <c r="Q590" i="34"/>
  <c r="R590" i="34"/>
  <c r="A586" i="34"/>
  <c r="S586" i="34"/>
  <c r="Q586" i="34"/>
  <c r="R586" i="34"/>
  <c r="A582" i="34"/>
  <c r="S582" i="34"/>
  <c r="Q582" i="34"/>
  <c r="R582" i="34"/>
  <c r="A578" i="34"/>
  <c r="S578" i="34"/>
  <c r="Q578" i="34"/>
  <c r="R578" i="34"/>
  <c r="A574" i="34"/>
  <c r="S574" i="34"/>
  <c r="Q574" i="34"/>
  <c r="R574" i="34"/>
  <c r="A570" i="34"/>
  <c r="S570" i="34"/>
  <c r="Q570" i="34"/>
  <c r="R570" i="34"/>
  <c r="A566" i="34"/>
  <c r="S566" i="34"/>
  <c r="Q566" i="34"/>
  <c r="R566" i="34"/>
  <c r="A562" i="34"/>
  <c r="S562" i="34"/>
  <c r="T562" i="34"/>
  <c r="Q562" i="34"/>
  <c r="U562" i="34"/>
  <c r="R562" i="34"/>
  <c r="V562" i="34"/>
  <c r="A558" i="34"/>
  <c r="S558" i="34"/>
  <c r="T558" i="34"/>
  <c r="Q558" i="34"/>
  <c r="U558" i="34"/>
  <c r="R558" i="34"/>
  <c r="V558" i="34"/>
  <c r="A591" i="34"/>
  <c r="Q591" i="34"/>
  <c r="U591" i="34"/>
  <c r="S591" i="34"/>
  <c r="T591" i="34"/>
  <c r="R591" i="34"/>
  <c r="V591" i="34"/>
  <c r="A550" i="34"/>
  <c r="S550" i="34"/>
  <c r="Q550" i="34"/>
  <c r="R550" i="34"/>
  <c r="A546" i="34"/>
  <c r="S546" i="34"/>
  <c r="Q546" i="34"/>
  <c r="R546" i="34"/>
  <c r="A540" i="34"/>
  <c r="S540" i="34"/>
  <c r="Q540" i="34"/>
  <c r="R540" i="34"/>
  <c r="A538" i="34"/>
  <c r="S538" i="34"/>
  <c r="Q538" i="34"/>
  <c r="R538" i="34"/>
  <c r="A527" i="34"/>
  <c r="Q527" i="34"/>
  <c r="R527" i="34"/>
  <c r="S527" i="34"/>
  <c r="A531" i="34"/>
  <c r="Q531" i="34"/>
  <c r="R531" i="34"/>
  <c r="S531" i="34"/>
  <c r="A526" i="34"/>
  <c r="S526" i="34"/>
  <c r="Q526" i="34"/>
  <c r="R526" i="34"/>
  <c r="A522" i="34"/>
  <c r="S522" i="34"/>
  <c r="Q522" i="34"/>
  <c r="R522" i="34"/>
  <c r="A518" i="34"/>
  <c r="S518" i="34"/>
  <c r="Q518" i="34"/>
  <c r="R518" i="34"/>
  <c r="A515" i="34"/>
  <c r="Q515" i="34"/>
  <c r="R515" i="34"/>
  <c r="S515" i="34"/>
  <c r="A511" i="34"/>
  <c r="Q511" i="34"/>
  <c r="R511" i="34"/>
  <c r="S511" i="34"/>
  <c r="A506" i="34"/>
  <c r="S506" i="34"/>
  <c r="Q506" i="34"/>
  <c r="R506" i="34"/>
  <c r="A502" i="34"/>
  <c r="S502" i="34"/>
  <c r="Q502" i="34"/>
  <c r="R502" i="34"/>
  <c r="A498" i="34"/>
  <c r="S498" i="34"/>
  <c r="Q498" i="34"/>
  <c r="R498" i="34"/>
  <c r="A494" i="34"/>
  <c r="S494" i="34"/>
  <c r="Q494" i="34"/>
  <c r="R494" i="34"/>
  <c r="A490" i="34"/>
  <c r="S490" i="34"/>
  <c r="Q490" i="34"/>
  <c r="R490" i="34"/>
  <c r="A486" i="34"/>
  <c r="S486" i="34"/>
  <c r="Q486" i="34"/>
  <c r="R486" i="34"/>
  <c r="A482" i="34"/>
  <c r="S482" i="34"/>
  <c r="Q482" i="34"/>
  <c r="R482" i="34"/>
  <c r="J64" i="64"/>
  <c r="J32" i="64"/>
  <c r="J31" i="64"/>
  <c r="J27" i="64"/>
  <c r="J28" i="64"/>
  <c r="J26" i="64"/>
  <c r="K27" i="64"/>
  <c r="K28" i="64"/>
  <c r="K26" i="64"/>
  <c r="P26" i="64"/>
  <c r="G26" i="64"/>
  <c r="P27" i="64"/>
  <c r="G27" i="64"/>
  <c r="J25" i="64"/>
  <c r="J24" i="64"/>
  <c r="J23" i="64"/>
  <c r="J22" i="64"/>
  <c r="J17" i="64"/>
  <c r="J16" i="64"/>
  <c r="J14" i="64"/>
  <c r="Q14" i="64" s="1"/>
  <c r="J21" i="64"/>
  <c r="A29" i="68"/>
  <c r="G64" i="64"/>
  <c r="G15" i="64"/>
  <c r="G16" i="64"/>
  <c r="G17" i="64"/>
  <c r="G19" i="64"/>
  <c r="G20" i="64"/>
  <c r="G21" i="64"/>
  <c r="G22" i="64"/>
  <c r="G23" i="64"/>
  <c r="G24" i="64"/>
  <c r="G25" i="64"/>
  <c r="G28" i="64"/>
  <c r="G30" i="64"/>
  <c r="G31" i="64"/>
  <c r="G32" i="64"/>
  <c r="G14" i="64"/>
  <c r="P14" i="64"/>
  <c r="P15" i="64"/>
  <c r="P16" i="64"/>
  <c r="P17" i="64"/>
  <c r="P18" i="64"/>
  <c r="P19" i="64"/>
  <c r="P20" i="64"/>
  <c r="P21" i="64"/>
  <c r="P22" i="64"/>
  <c r="P23" i="64"/>
  <c r="P24" i="64"/>
  <c r="P25" i="64"/>
  <c r="P28" i="64"/>
  <c r="P29" i="64"/>
  <c r="P30" i="64"/>
  <c r="P31" i="64"/>
  <c r="P32" i="64"/>
  <c r="P33" i="64"/>
  <c r="P34" i="64"/>
  <c r="P35" i="64"/>
  <c r="P36" i="64"/>
  <c r="P37" i="64"/>
  <c r="P38" i="64"/>
  <c r="P39" i="64"/>
  <c r="P40" i="64"/>
  <c r="P41" i="64"/>
  <c r="P42" i="64"/>
  <c r="P43" i="64"/>
  <c r="P44" i="64"/>
  <c r="P45" i="64"/>
  <c r="P46" i="64"/>
  <c r="P47" i="64"/>
  <c r="P48" i="64"/>
  <c r="P49" i="64"/>
  <c r="P50" i="64"/>
  <c r="P51" i="64"/>
  <c r="P52" i="64"/>
  <c r="P53" i="64"/>
  <c r="P54" i="64"/>
  <c r="P55" i="64"/>
  <c r="P56" i="64"/>
  <c r="P57" i="64"/>
  <c r="P58" i="64"/>
  <c r="P59" i="64"/>
  <c r="P60" i="64"/>
  <c r="P61" i="64"/>
  <c r="P62" i="64"/>
  <c r="P63" i="64"/>
  <c r="P64" i="64"/>
  <c r="P65" i="64"/>
  <c r="P66" i="64"/>
  <c r="P13" i="64"/>
  <c r="C21" i="68" s="1"/>
  <c r="Q15" i="64" l="1"/>
  <c r="L26" i="64"/>
  <c r="B28" i="68"/>
  <c r="A28" i="68" s="1"/>
  <c r="B27" i="68"/>
  <c r="A27" i="68" s="1"/>
  <c r="B26" i="68"/>
  <c r="A26" i="68" s="1"/>
  <c r="B25" i="68"/>
  <c r="A25" i="68" s="1"/>
  <c r="B24" i="68"/>
  <c r="A24" i="68" s="1"/>
  <c r="B23" i="68"/>
  <c r="A23" i="68" s="1"/>
  <c r="B22" i="68"/>
  <c r="A22" i="68" s="1"/>
  <c r="B21" i="68"/>
  <c r="A21" i="68" s="1"/>
  <c r="E28" i="68"/>
  <c r="E27" i="68"/>
  <c r="E26" i="68"/>
  <c r="E25" i="68"/>
  <c r="E24" i="68"/>
  <c r="E23" i="68"/>
  <c r="E22" i="68"/>
  <c r="E21" i="68"/>
  <c r="D28" i="68"/>
  <c r="D27" i="68"/>
  <c r="D26" i="68"/>
  <c r="D25" i="68"/>
  <c r="D24" i="68"/>
  <c r="D23" i="68"/>
  <c r="D22" i="68"/>
  <c r="D21" i="68"/>
  <c r="C28" i="68"/>
  <c r="C27" i="68"/>
  <c r="C26" i="68"/>
  <c r="C25" i="68"/>
  <c r="C24" i="68"/>
  <c r="C23" i="68"/>
  <c r="C22" i="68"/>
  <c r="L27" i="64"/>
  <c r="E20" i="68"/>
  <c r="A7" i="68"/>
  <c r="A42" i="68"/>
  <c r="A43" i="68"/>
  <c r="F20" i="68"/>
  <c r="C20" i="68"/>
  <c r="A12" i="68"/>
  <c r="A8" i="68"/>
  <c r="A13" i="68"/>
  <c r="B20" i="68"/>
  <c r="A20" i="68" s="1"/>
  <c r="D20" i="68"/>
  <c r="E13" i="68"/>
  <c r="E11" i="68"/>
  <c r="E30" i="68" l="1"/>
  <c r="G20" i="68" s="1"/>
  <c r="F21" i="68"/>
  <c r="A10" i="68"/>
  <c r="L15" i="64"/>
  <c r="L16" i="64"/>
  <c r="L17" i="64"/>
  <c r="L19" i="64"/>
  <c r="L20" i="64"/>
  <c r="L21" i="64"/>
  <c r="L22" i="64"/>
  <c r="L23" i="64"/>
  <c r="L24" i="64"/>
  <c r="L25" i="64"/>
  <c r="L28" i="64"/>
  <c r="L30" i="64"/>
  <c r="L31" i="64"/>
  <c r="L32" i="64"/>
  <c r="J34" i="64"/>
  <c r="K34" i="64"/>
  <c r="H34" i="64"/>
  <c r="K66" i="64"/>
  <c r="J66" i="64"/>
  <c r="H66" i="64"/>
  <c r="L64" i="64"/>
  <c r="L66" i="64" s="1"/>
  <c r="L14" i="64"/>
  <c r="F22" i="68" l="1"/>
  <c r="H20" i="68"/>
  <c r="G21" i="68" s="1"/>
  <c r="L34" i="64"/>
  <c r="F23" i="68" l="1"/>
  <c r="H21" i="68"/>
  <c r="G22" i="68" s="1"/>
  <c r="F24" i="68" l="1"/>
  <c r="G23" i="68"/>
  <c r="H23" i="68" s="1"/>
  <c r="H22" i="68"/>
  <c r="F25" i="68" l="1"/>
  <c r="G24" i="68"/>
  <c r="H24" i="68" s="1"/>
  <c r="A27" i="45"/>
  <c r="A28" i="45"/>
  <c r="A29" i="45"/>
  <c r="A30" i="45"/>
  <c r="A31" i="45"/>
  <c r="A32" i="45"/>
  <c r="A33" i="45"/>
  <c r="F26" i="68" l="1"/>
  <c r="G25" i="68"/>
  <c r="H25" i="68" s="1"/>
  <c r="A6" i="45"/>
  <c r="A7" i="45"/>
  <c r="A8" i="45"/>
  <c r="A9" i="45"/>
  <c r="A10" i="45"/>
  <c r="A11" i="45"/>
  <c r="A12" i="45"/>
  <c r="A13" i="45"/>
  <c r="A14" i="45"/>
  <c r="A15" i="45"/>
  <c r="A16" i="45"/>
  <c r="A17" i="45"/>
  <c r="A18" i="45"/>
  <c r="A19" i="45"/>
  <c r="A20" i="45"/>
  <c r="A21" i="45"/>
  <c r="A22" i="45"/>
  <c r="A23" i="45"/>
  <c r="A24" i="45"/>
  <c r="A25" i="45"/>
  <c r="A26" i="45"/>
  <c r="A5" i="45"/>
  <c r="A6" i="62"/>
  <c r="A7" i="62"/>
  <c r="A8" i="62"/>
  <c r="A9" i="62"/>
  <c r="A10" i="62"/>
  <c r="A11" i="62"/>
  <c r="A12" i="62"/>
  <c r="A13" i="62"/>
  <c r="A14" i="62"/>
  <c r="A15" i="62"/>
  <c r="A16" i="62"/>
  <c r="A5" i="62"/>
  <c r="A22" i="12"/>
  <c r="F27" i="68" l="1"/>
  <c r="G26" i="68"/>
  <c r="H26" i="68" s="1"/>
  <c r="D50" i="51"/>
  <c r="D49" i="51"/>
  <c r="D48" i="51"/>
  <c r="D47" i="51"/>
  <c r="D46" i="51"/>
  <c r="D45" i="51"/>
  <c r="D44" i="51"/>
  <c r="D43" i="51"/>
  <c r="D42" i="51"/>
  <c r="D41" i="51"/>
  <c r="D40" i="51"/>
  <c r="D50" i="50"/>
  <c r="D49" i="50"/>
  <c r="D48" i="50"/>
  <c r="D47" i="50"/>
  <c r="D46" i="50"/>
  <c r="D45" i="50"/>
  <c r="D44" i="50"/>
  <c r="D43" i="50"/>
  <c r="D42" i="50"/>
  <c r="D41" i="50"/>
  <c r="D40" i="50"/>
  <c r="D50" i="49"/>
  <c r="D49" i="49"/>
  <c r="D48" i="49"/>
  <c r="D47" i="49"/>
  <c r="D46" i="49"/>
  <c r="D45" i="49"/>
  <c r="D44" i="49"/>
  <c r="D43" i="49"/>
  <c r="D42" i="49"/>
  <c r="D41" i="49"/>
  <c r="D40" i="49"/>
  <c r="J12" i="51"/>
  <c r="K12" i="51"/>
  <c r="L12" i="51"/>
  <c r="M12" i="51"/>
  <c r="N12" i="51"/>
  <c r="O12" i="51"/>
  <c r="P12" i="51"/>
  <c r="Q12" i="51"/>
  <c r="R12" i="51"/>
  <c r="S12" i="51"/>
  <c r="T12" i="51"/>
  <c r="U12" i="51"/>
  <c r="V12" i="51"/>
  <c r="W12" i="51"/>
  <c r="X12" i="51"/>
  <c r="Y12" i="51"/>
  <c r="Z12" i="51"/>
  <c r="AA12" i="51"/>
  <c r="AB12" i="51"/>
  <c r="AC12" i="51"/>
  <c r="AD12" i="51"/>
  <c r="AE12" i="51"/>
  <c r="AF12" i="51"/>
  <c r="AG12" i="51"/>
  <c r="AH12" i="51"/>
  <c r="AI12" i="51"/>
  <c r="AJ12" i="51"/>
  <c r="AK12" i="51"/>
  <c r="AL12" i="51"/>
  <c r="AM12" i="51"/>
  <c r="AN12" i="51"/>
  <c r="AO12" i="51"/>
  <c r="AP12" i="51"/>
  <c r="AQ12" i="51"/>
  <c r="AR12" i="51"/>
  <c r="AS12" i="51"/>
  <c r="AT12" i="51"/>
  <c r="AU12" i="51"/>
  <c r="AV12" i="51"/>
  <c r="AW12" i="51"/>
  <c r="AX12" i="51"/>
  <c r="AY12" i="51"/>
  <c r="AZ12" i="51"/>
  <c r="BA12" i="51"/>
  <c r="BB12" i="51"/>
  <c r="BC12" i="51"/>
  <c r="BD12" i="51"/>
  <c r="BE12" i="51"/>
  <c r="BF12" i="51"/>
  <c r="BG12" i="51"/>
  <c r="BH12" i="51"/>
  <c r="BI12" i="51"/>
  <c r="BJ12" i="51"/>
  <c r="BK12" i="51"/>
  <c r="BL12" i="51"/>
  <c r="BM12" i="51"/>
  <c r="BN12" i="51"/>
  <c r="BO12" i="51"/>
  <c r="BP12" i="51"/>
  <c r="BQ12" i="51"/>
  <c r="BR12" i="51"/>
  <c r="BS12" i="51"/>
  <c r="BT12" i="51"/>
  <c r="BU12" i="51"/>
  <c r="BV12" i="51"/>
  <c r="BW12" i="51"/>
  <c r="BX12" i="51"/>
  <c r="BY12" i="51"/>
  <c r="BZ12" i="51"/>
  <c r="CA12" i="51"/>
  <c r="CB12" i="51"/>
  <c r="CC12" i="51"/>
  <c r="CD12" i="51"/>
  <c r="CE12" i="51"/>
  <c r="CF12" i="51"/>
  <c r="CG12" i="51"/>
  <c r="CH12" i="51"/>
  <c r="CI12" i="51"/>
  <c r="CJ12" i="51"/>
  <c r="CK12" i="51"/>
  <c r="CL12" i="51"/>
  <c r="CM12" i="51"/>
  <c r="CN12" i="51"/>
  <c r="CO12" i="51"/>
  <c r="CP12" i="51"/>
  <c r="CQ12" i="51"/>
  <c r="CR12" i="51"/>
  <c r="CS12" i="51"/>
  <c r="CT12" i="51"/>
  <c r="CU12" i="51"/>
  <c r="CV12" i="51"/>
  <c r="CW12" i="51"/>
  <c r="CX12" i="51"/>
  <c r="CY12" i="51"/>
  <c r="CZ12" i="51"/>
  <c r="DA12" i="51"/>
  <c r="J13" i="51"/>
  <c r="K13" i="51"/>
  <c r="L13" i="51"/>
  <c r="M13" i="51"/>
  <c r="N13" i="51"/>
  <c r="O13" i="51"/>
  <c r="P13" i="51"/>
  <c r="Q13" i="51"/>
  <c r="R13" i="51"/>
  <c r="S13" i="51"/>
  <c r="T13" i="51"/>
  <c r="U13" i="51"/>
  <c r="V13" i="51"/>
  <c r="W13" i="51"/>
  <c r="X13" i="51"/>
  <c r="Y13" i="51"/>
  <c r="Z13" i="51"/>
  <c r="AA13" i="51"/>
  <c r="AB13" i="51"/>
  <c r="AC13" i="51"/>
  <c r="AD13" i="51"/>
  <c r="AE13" i="51"/>
  <c r="AF13" i="51"/>
  <c r="AG13" i="51"/>
  <c r="AH13" i="51"/>
  <c r="AI13" i="51"/>
  <c r="AJ13" i="51"/>
  <c r="AK13" i="51"/>
  <c r="AL13" i="51"/>
  <c r="AM13" i="51"/>
  <c r="AN13" i="51"/>
  <c r="AO13" i="51"/>
  <c r="AP13" i="51"/>
  <c r="AQ13" i="51"/>
  <c r="AR13" i="51"/>
  <c r="AS13" i="51"/>
  <c r="AT13" i="51"/>
  <c r="AU13" i="51"/>
  <c r="AV13" i="51"/>
  <c r="AW13" i="51"/>
  <c r="AX13" i="51"/>
  <c r="AY13" i="51"/>
  <c r="AZ13" i="51"/>
  <c r="BA13" i="51"/>
  <c r="BB13" i="51"/>
  <c r="BC13" i="51"/>
  <c r="BD13" i="51"/>
  <c r="BE13" i="51"/>
  <c r="BF13" i="51"/>
  <c r="BG13" i="51"/>
  <c r="BH13" i="51"/>
  <c r="BI13" i="51"/>
  <c r="BJ13" i="51"/>
  <c r="BK13" i="51"/>
  <c r="BL13" i="51"/>
  <c r="BM13" i="51"/>
  <c r="BN13" i="51"/>
  <c r="BO13" i="51"/>
  <c r="BP13" i="51"/>
  <c r="BQ13" i="51"/>
  <c r="BR13" i="51"/>
  <c r="BS13" i="51"/>
  <c r="BT13" i="51"/>
  <c r="BU13" i="51"/>
  <c r="BV13" i="51"/>
  <c r="BW13" i="51"/>
  <c r="BX13" i="51"/>
  <c r="BY13" i="51"/>
  <c r="BZ13" i="51"/>
  <c r="CA13" i="51"/>
  <c r="CB13" i="51"/>
  <c r="CC13" i="51"/>
  <c r="CD13" i="51"/>
  <c r="CE13" i="51"/>
  <c r="CF13" i="51"/>
  <c r="CG13" i="51"/>
  <c r="CH13" i="51"/>
  <c r="CI13" i="51"/>
  <c r="CJ13" i="51"/>
  <c r="CK13" i="51"/>
  <c r="CL13" i="51"/>
  <c r="CM13" i="51"/>
  <c r="CN13" i="51"/>
  <c r="CO13" i="51"/>
  <c r="CP13" i="51"/>
  <c r="CQ13" i="51"/>
  <c r="CR13" i="51"/>
  <c r="CS13" i="51"/>
  <c r="CT13" i="51"/>
  <c r="CU13" i="51"/>
  <c r="CV13" i="51"/>
  <c r="CW13" i="51"/>
  <c r="CX13" i="51"/>
  <c r="CY13" i="51"/>
  <c r="CZ13" i="51"/>
  <c r="DA13" i="51"/>
  <c r="J14" i="51"/>
  <c r="K14" i="51"/>
  <c r="L14" i="51"/>
  <c r="M14" i="51"/>
  <c r="N14" i="51"/>
  <c r="O14" i="51"/>
  <c r="P14" i="51"/>
  <c r="Q14" i="51"/>
  <c r="R14" i="51"/>
  <c r="S14" i="51"/>
  <c r="T14" i="51"/>
  <c r="U14" i="51"/>
  <c r="V14" i="51"/>
  <c r="W14" i="51"/>
  <c r="X14" i="51"/>
  <c r="Y14" i="51"/>
  <c r="Z14" i="51"/>
  <c r="AA14" i="51"/>
  <c r="AB14" i="51"/>
  <c r="AC14" i="51"/>
  <c r="AD14" i="51"/>
  <c r="AE14" i="51"/>
  <c r="AF14" i="51"/>
  <c r="AG14" i="51"/>
  <c r="AH14" i="51"/>
  <c r="AI14" i="51"/>
  <c r="AJ14" i="51"/>
  <c r="AK14" i="51"/>
  <c r="AL14" i="51"/>
  <c r="AM14" i="51"/>
  <c r="AN14" i="51"/>
  <c r="AO14" i="51"/>
  <c r="AP14" i="51"/>
  <c r="AQ14" i="51"/>
  <c r="AR14" i="51"/>
  <c r="AS14" i="51"/>
  <c r="AT14" i="51"/>
  <c r="AU14" i="51"/>
  <c r="AV14" i="51"/>
  <c r="AW14" i="51"/>
  <c r="AX14" i="51"/>
  <c r="AY14" i="51"/>
  <c r="AZ14" i="51"/>
  <c r="BA14" i="51"/>
  <c r="BB14" i="51"/>
  <c r="BC14" i="51"/>
  <c r="BD14" i="51"/>
  <c r="BE14" i="51"/>
  <c r="BF14" i="51"/>
  <c r="BG14" i="51"/>
  <c r="BH14" i="51"/>
  <c r="BI14" i="51"/>
  <c r="BJ14" i="51"/>
  <c r="BK14" i="51"/>
  <c r="BL14" i="51"/>
  <c r="BM14" i="51"/>
  <c r="BN14" i="51"/>
  <c r="BO14" i="51"/>
  <c r="BP14" i="51"/>
  <c r="BQ14" i="51"/>
  <c r="BR14" i="51"/>
  <c r="BS14" i="51"/>
  <c r="BT14" i="51"/>
  <c r="BU14" i="51"/>
  <c r="BV14" i="51"/>
  <c r="BW14" i="51"/>
  <c r="BX14" i="51"/>
  <c r="BY14" i="51"/>
  <c r="BZ14" i="51"/>
  <c r="CA14" i="51"/>
  <c r="CB14" i="51"/>
  <c r="CC14" i="51"/>
  <c r="CD14" i="51"/>
  <c r="CE14" i="51"/>
  <c r="CF14" i="51"/>
  <c r="CG14" i="51"/>
  <c r="CH14" i="51"/>
  <c r="CI14" i="51"/>
  <c r="CJ14" i="51"/>
  <c r="CK14" i="51"/>
  <c r="CL14" i="51"/>
  <c r="CM14" i="51"/>
  <c r="CN14" i="51"/>
  <c r="CO14" i="51"/>
  <c r="CP14" i="51"/>
  <c r="CQ14" i="51"/>
  <c r="CR14" i="51"/>
  <c r="CS14" i="51"/>
  <c r="CT14" i="51"/>
  <c r="CU14" i="51"/>
  <c r="CV14" i="51"/>
  <c r="CW14" i="51"/>
  <c r="CX14" i="51"/>
  <c r="CY14" i="51"/>
  <c r="CZ14" i="51"/>
  <c r="DA14" i="51"/>
  <c r="J15" i="51"/>
  <c r="K15" i="51"/>
  <c r="L15" i="51"/>
  <c r="M15" i="51"/>
  <c r="N15" i="51"/>
  <c r="O15" i="51"/>
  <c r="P15" i="51"/>
  <c r="Q15" i="51"/>
  <c r="R15" i="51"/>
  <c r="S15" i="51"/>
  <c r="T15" i="51"/>
  <c r="U15" i="51"/>
  <c r="V15" i="51"/>
  <c r="W15" i="51"/>
  <c r="X15" i="51"/>
  <c r="Y15" i="51"/>
  <c r="Z15" i="51"/>
  <c r="AA15" i="51"/>
  <c r="AB15" i="51"/>
  <c r="AC15" i="51"/>
  <c r="AD15" i="51"/>
  <c r="AE15" i="51"/>
  <c r="AF15" i="51"/>
  <c r="AG15" i="51"/>
  <c r="AH15" i="51"/>
  <c r="AI15" i="51"/>
  <c r="AJ15" i="51"/>
  <c r="AK15" i="51"/>
  <c r="AL15" i="51"/>
  <c r="AM15" i="51"/>
  <c r="AN15" i="51"/>
  <c r="AO15" i="51"/>
  <c r="AP15" i="51"/>
  <c r="AQ15" i="51"/>
  <c r="AR15" i="51"/>
  <c r="AS15" i="51"/>
  <c r="AT15" i="51"/>
  <c r="AU15" i="51"/>
  <c r="AV15" i="51"/>
  <c r="AW15" i="51"/>
  <c r="AX15" i="51"/>
  <c r="AY15" i="51"/>
  <c r="AZ15" i="51"/>
  <c r="BA15" i="51"/>
  <c r="BB15" i="51"/>
  <c r="BC15" i="51"/>
  <c r="BD15" i="51"/>
  <c r="BE15" i="51"/>
  <c r="BF15" i="51"/>
  <c r="BG15" i="51"/>
  <c r="BH15" i="51"/>
  <c r="BI15" i="51"/>
  <c r="BJ15" i="51"/>
  <c r="BK15" i="51"/>
  <c r="BL15" i="51"/>
  <c r="BM15" i="51"/>
  <c r="BN15" i="51"/>
  <c r="BO15" i="51"/>
  <c r="BP15" i="51"/>
  <c r="BQ15" i="51"/>
  <c r="BR15" i="51"/>
  <c r="BS15" i="51"/>
  <c r="BT15" i="51"/>
  <c r="BU15" i="51"/>
  <c r="BV15" i="51"/>
  <c r="BW15" i="51"/>
  <c r="BX15" i="51"/>
  <c r="BY15" i="51"/>
  <c r="BZ15" i="51"/>
  <c r="CA15" i="51"/>
  <c r="CB15" i="51"/>
  <c r="CC15" i="51"/>
  <c r="CD15" i="51"/>
  <c r="CE15" i="51"/>
  <c r="CF15" i="51"/>
  <c r="CG15" i="51"/>
  <c r="CH15" i="51"/>
  <c r="CI15" i="51"/>
  <c r="CJ15" i="51"/>
  <c r="CK15" i="51"/>
  <c r="CL15" i="51"/>
  <c r="CM15" i="51"/>
  <c r="CN15" i="51"/>
  <c r="CO15" i="51"/>
  <c r="CP15" i="51"/>
  <c r="CQ15" i="51"/>
  <c r="CR15" i="51"/>
  <c r="CS15" i="51"/>
  <c r="CT15" i="51"/>
  <c r="CU15" i="51"/>
  <c r="CV15" i="51"/>
  <c r="CW15" i="51"/>
  <c r="CX15" i="51"/>
  <c r="CY15" i="51"/>
  <c r="CZ15" i="51"/>
  <c r="DA15" i="51"/>
  <c r="J16" i="51"/>
  <c r="K16" i="51"/>
  <c r="L16" i="51"/>
  <c r="M16" i="51"/>
  <c r="N16" i="51"/>
  <c r="O16" i="51"/>
  <c r="P16" i="51"/>
  <c r="Q16" i="51"/>
  <c r="R16" i="51"/>
  <c r="S16" i="51"/>
  <c r="T16" i="51"/>
  <c r="U16" i="51"/>
  <c r="V16" i="51"/>
  <c r="W16" i="51"/>
  <c r="X16" i="51"/>
  <c r="Y16" i="51"/>
  <c r="Z16" i="51"/>
  <c r="AA16" i="51"/>
  <c r="AB16" i="51"/>
  <c r="AC16" i="51"/>
  <c r="AD16" i="51"/>
  <c r="AE16" i="51"/>
  <c r="AF16" i="51"/>
  <c r="AG16" i="51"/>
  <c r="AH16" i="51"/>
  <c r="AI16" i="51"/>
  <c r="AJ16" i="51"/>
  <c r="AK16" i="51"/>
  <c r="AL16" i="51"/>
  <c r="AM16" i="51"/>
  <c r="AN16" i="51"/>
  <c r="AO16" i="51"/>
  <c r="AP16" i="51"/>
  <c r="AQ16" i="51"/>
  <c r="AR16" i="51"/>
  <c r="AS16" i="51"/>
  <c r="AT16" i="51"/>
  <c r="AU16" i="51"/>
  <c r="AV16" i="51"/>
  <c r="AW16" i="51"/>
  <c r="AX16" i="51"/>
  <c r="AY16" i="51"/>
  <c r="AZ16" i="51"/>
  <c r="BA16" i="51"/>
  <c r="BB16" i="51"/>
  <c r="BC16" i="51"/>
  <c r="BD16" i="51"/>
  <c r="BE16" i="51"/>
  <c r="BF16" i="51"/>
  <c r="BG16" i="51"/>
  <c r="BH16" i="51"/>
  <c r="BI16" i="51"/>
  <c r="BJ16" i="51"/>
  <c r="BK16" i="51"/>
  <c r="BL16" i="51"/>
  <c r="BM16" i="51"/>
  <c r="BN16" i="51"/>
  <c r="BO16" i="51"/>
  <c r="BP16" i="51"/>
  <c r="BQ16" i="51"/>
  <c r="BR16" i="51"/>
  <c r="BS16" i="51"/>
  <c r="BT16" i="51"/>
  <c r="BU16" i="51"/>
  <c r="BV16" i="51"/>
  <c r="BW16" i="51"/>
  <c r="BX16" i="51"/>
  <c r="BY16" i="51"/>
  <c r="BZ16" i="51"/>
  <c r="CA16" i="51"/>
  <c r="CB16" i="51"/>
  <c r="CC16" i="51"/>
  <c r="CD16" i="51"/>
  <c r="CE16" i="51"/>
  <c r="CF16" i="51"/>
  <c r="CG16" i="51"/>
  <c r="CH16" i="51"/>
  <c r="CI16" i="51"/>
  <c r="CJ16" i="51"/>
  <c r="CK16" i="51"/>
  <c r="CL16" i="51"/>
  <c r="CM16" i="51"/>
  <c r="CN16" i="51"/>
  <c r="CO16" i="51"/>
  <c r="CP16" i="51"/>
  <c r="CQ16" i="51"/>
  <c r="CR16" i="51"/>
  <c r="CS16" i="51"/>
  <c r="CT16" i="51"/>
  <c r="CU16" i="51"/>
  <c r="CV16" i="51"/>
  <c r="CW16" i="51"/>
  <c r="CX16" i="51"/>
  <c r="CY16" i="51"/>
  <c r="CZ16" i="51"/>
  <c r="DA16" i="51"/>
  <c r="J17" i="51"/>
  <c r="K17" i="51"/>
  <c r="L17" i="51"/>
  <c r="M17" i="51"/>
  <c r="N17" i="51"/>
  <c r="O17" i="51"/>
  <c r="P17" i="51"/>
  <c r="Q17" i="51"/>
  <c r="R17" i="51"/>
  <c r="S17" i="51"/>
  <c r="T17" i="51"/>
  <c r="U17" i="51"/>
  <c r="V17" i="51"/>
  <c r="W17" i="51"/>
  <c r="X17" i="51"/>
  <c r="Y17" i="51"/>
  <c r="Z17" i="51"/>
  <c r="AA17" i="51"/>
  <c r="AB17" i="51"/>
  <c r="AC17" i="51"/>
  <c r="AD17" i="51"/>
  <c r="AE17" i="51"/>
  <c r="AF17" i="51"/>
  <c r="AG17" i="51"/>
  <c r="AH17" i="51"/>
  <c r="AI17" i="51"/>
  <c r="AJ17" i="51"/>
  <c r="AK17" i="51"/>
  <c r="AL17" i="51"/>
  <c r="AM17" i="51"/>
  <c r="AN17" i="51"/>
  <c r="AO17" i="51"/>
  <c r="AP17" i="51"/>
  <c r="AQ17" i="51"/>
  <c r="AR17" i="51"/>
  <c r="AS17" i="51"/>
  <c r="AT17" i="51"/>
  <c r="AU17" i="51"/>
  <c r="AV17" i="51"/>
  <c r="AW17" i="51"/>
  <c r="AX17" i="51"/>
  <c r="AY17" i="51"/>
  <c r="AZ17" i="51"/>
  <c r="BA17" i="51"/>
  <c r="BB17" i="51"/>
  <c r="BC17" i="51"/>
  <c r="BD17" i="51"/>
  <c r="BE17" i="51"/>
  <c r="BF17" i="51"/>
  <c r="BG17" i="51"/>
  <c r="BH17" i="51"/>
  <c r="BI17" i="51"/>
  <c r="BJ17" i="51"/>
  <c r="BK17" i="51"/>
  <c r="BL17" i="51"/>
  <c r="BM17" i="51"/>
  <c r="BN17" i="51"/>
  <c r="BO17" i="51"/>
  <c r="BP17" i="51"/>
  <c r="BQ17" i="51"/>
  <c r="BR17" i="51"/>
  <c r="BS17" i="51"/>
  <c r="BT17" i="51"/>
  <c r="BU17" i="51"/>
  <c r="BV17" i="51"/>
  <c r="BW17" i="51"/>
  <c r="BX17" i="51"/>
  <c r="BY17" i="51"/>
  <c r="BZ17" i="51"/>
  <c r="CA17" i="51"/>
  <c r="CB17" i="51"/>
  <c r="CC17" i="51"/>
  <c r="CD17" i="51"/>
  <c r="CE17" i="51"/>
  <c r="CF17" i="51"/>
  <c r="CG17" i="51"/>
  <c r="CH17" i="51"/>
  <c r="CI17" i="51"/>
  <c r="CJ17" i="51"/>
  <c r="CK17" i="51"/>
  <c r="CL17" i="51"/>
  <c r="CM17" i="51"/>
  <c r="CN17" i="51"/>
  <c r="CO17" i="51"/>
  <c r="CP17" i="51"/>
  <c r="CQ17" i="51"/>
  <c r="CR17" i="51"/>
  <c r="CS17" i="51"/>
  <c r="CT17" i="51"/>
  <c r="CU17" i="51"/>
  <c r="CV17" i="51"/>
  <c r="CW17" i="51"/>
  <c r="CX17" i="51"/>
  <c r="CY17" i="51"/>
  <c r="CZ17" i="51"/>
  <c r="DA17" i="51"/>
  <c r="J18" i="51"/>
  <c r="K18" i="51"/>
  <c r="L18" i="51"/>
  <c r="M18" i="51"/>
  <c r="N18" i="51"/>
  <c r="O18" i="51"/>
  <c r="P18" i="51"/>
  <c r="Q18" i="51"/>
  <c r="R18" i="51"/>
  <c r="S18" i="51"/>
  <c r="T18" i="51"/>
  <c r="U18" i="51"/>
  <c r="V18" i="51"/>
  <c r="W18" i="51"/>
  <c r="X18" i="51"/>
  <c r="Y18" i="51"/>
  <c r="Z18" i="51"/>
  <c r="AA18" i="51"/>
  <c r="AB18" i="51"/>
  <c r="AC18" i="51"/>
  <c r="AD18" i="51"/>
  <c r="AE18" i="51"/>
  <c r="AF18" i="51"/>
  <c r="AG18" i="51"/>
  <c r="AH18" i="51"/>
  <c r="AI18" i="51"/>
  <c r="AJ18" i="51"/>
  <c r="AK18" i="51"/>
  <c r="AL18" i="51"/>
  <c r="AM18" i="51"/>
  <c r="AN18" i="51"/>
  <c r="AO18" i="51"/>
  <c r="AP18" i="51"/>
  <c r="AQ18" i="51"/>
  <c r="AR18" i="51"/>
  <c r="AS18" i="51"/>
  <c r="AT18" i="51"/>
  <c r="AU18" i="51"/>
  <c r="AV18" i="51"/>
  <c r="AW18" i="51"/>
  <c r="AX18" i="51"/>
  <c r="AY18" i="51"/>
  <c r="AZ18" i="51"/>
  <c r="BA18" i="51"/>
  <c r="BB18" i="51"/>
  <c r="BC18" i="51"/>
  <c r="BD18" i="51"/>
  <c r="BE18" i="51"/>
  <c r="BF18" i="51"/>
  <c r="BG18" i="51"/>
  <c r="BH18" i="51"/>
  <c r="BI18" i="51"/>
  <c r="BJ18" i="51"/>
  <c r="BK18" i="51"/>
  <c r="BL18" i="51"/>
  <c r="BM18" i="51"/>
  <c r="BN18" i="51"/>
  <c r="BO18" i="51"/>
  <c r="BP18" i="51"/>
  <c r="BQ18" i="51"/>
  <c r="BR18" i="51"/>
  <c r="BS18" i="51"/>
  <c r="BT18" i="51"/>
  <c r="BU18" i="51"/>
  <c r="BV18" i="51"/>
  <c r="BW18" i="51"/>
  <c r="BX18" i="51"/>
  <c r="BY18" i="51"/>
  <c r="BZ18" i="51"/>
  <c r="CA18" i="51"/>
  <c r="CB18" i="51"/>
  <c r="CC18" i="51"/>
  <c r="CD18" i="51"/>
  <c r="CE18" i="51"/>
  <c r="CF18" i="51"/>
  <c r="CG18" i="51"/>
  <c r="CH18" i="51"/>
  <c r="CI18" i="51"/>
  <c r="CJ18" i="51"/>
  <c r="CK18" i="51"/>
  <c r="CL18" i="51"/>
  <c r="CM18" i="51"/>
  <c r="CN18" i="51"/>
  <c r="CO18" i="51"/>
  <c r="CP18" i="51"/>
  <c r="CQ18" i="51"/>
  <c r="CR18" i="51"/>
  <c r="CS18" i="51"/>
  <c r="CT18" i="51"/>
  <c r="CU18" i="51"/>
  <c r="CV18" i="51"/>
  <c r="CW18" i="51"/>
  <c r="CX18" i="51"/>
  <c r="CY18" i="51"/>
  <c r="CZ18" i="51"/>
  <c r="DA18" i="51"/>
  <c r="J19" i="51"/>
  <c r="K19" i="51"/>
  <c r="L19" i="51"/>
  <c r="M19" i="51"/>
  <c r="N19" i="51"/>
  <c r="O19" i="51"/>
  <c r="P19" i="51"/>
  <c r="Q19" i="51"/>
  <c r="R19" i="51"/>
  <c r="S19" i="51"/>
  <c r="T19" i="51"/>
  <c r="U19" i="51"/>
  <c r="V19" i="51"/>
  <c r="W19" i="51"/>
  <c r="X19" i="51"/>
  <c r="Y19" i="51"/>
  <c r="Z19" i="51"/>
  <c r="AA19" i="51"/>
  <c r="AB19" i="51"/>
  <c r="AC19" i="51"/>
  <c r="AD19" i="51"/>
  <c r="AE19" i="51"/>
  <c r="AF19" i="51"/>
  <c r="AG19" i="51"/>
  <c r="AH19" i="51"/>
  <c r="AI19" i="51"/>
  <c r="AJ19" i="51"/>
  <c r="AK19" i="51"/>
  <c r="AL19" i="51"/>
  <c r="AM19" i="51"/>
  <c r="AN19" i="51"/>
  <c r="AO19" i="51"/>
  <c r="AP19" i="51"/>
  <c r="AQ19" i="51"/>
  <c r="AR19" i="51"/>
  <c r="AS19" i="51"/>
  <c r="AT19" i="51"/>
  <c r="AU19" i="51"/>
  <c r="AV19" i="51"/>
  <c r="AW19" i="51"/>
  <c r="AX19" i="51"/>
  <c r="AY19" i="51"/>
  <c r="AZ19" i="51"/>
  <c r="BA19" i="51"/>
  <c r="BB19" i="51"/>
  <c r="BC19" i="51"/>
  <c r="BD19" i="51"/>
  <c r="BE19" i="51"/>
  <c r="BF19" i="51"/>
  <c r="BG19" i="51"/>
  <c r="BH19" i="51"/>
  <c r="BI19" i="51"/>
  <c r="BJ19" i="51"/>
  <c r="BK19" i="51"/>
  <c r="BL19" i="51"/>
  <c r="BM19" i="51"/>
  <c r="BN19" i="51"/>
  <c r="BO19" i="51"/>
  <c r="BP19" i="51"/>
  <c r="BQ19" i="51"/>
  <c r="BR19" i="51"/>
  <c r="BS19" i="51"/>
  <c r="BT19" i="51"/>
  <c r="BU19" i="51"/>
  <c r="BV19" i="51"/>
  <c r="BW19" i="51"/>
  <c r="BX19" i="51"/>
  <c r="BY19" i="51"/>
  <c r="BZ19" i="51"/>
  <c r="CA19" i="51"/>
  <c r="CB19" i="51"/>
  <c r="CC19" i="51"/>
  <c r="CD19" i="51"/>
  <c r="CE19" i="51"/>
  <c r="CF19" i="51"/>
  <c r="CG19" i="51"/>
  <c r="CH19" i="51"/>
  <c r="CI19" i="51"/>
  <c r="CJ19" i="51"/>
  <c r="CK19" i="51"/>
  <c r="CL19" i="51"/>
  <c r="CM19" i="51"/>
  <c r="CN19" i="51"/>
  <c r="CO19" i="51"/>
  <c r="CP19" i="51"/>
  <c r="CQ19" i="51"/>
  <c r="CR19" i="51"/>
  <c r="CS19" i="51"/>
  <c r="CT19" i="51"/>
  <c r="CU19" i="51"/>
  <c r="CV19" i="51"/>
  <c r="CW19" i="51"/>
  <c r="CX19" i="51"/>
  <c r="CY19" i="51"/>
  <c r="CZ19" i="51"/>
  <c r="DA19" i="51"/>
  <c r="J20" i="51"/>
  <c r="K20" i="51"/>
  <c r="L20" i="51"/>
  <c r="M20" i="51"/>
  <c r="N20" i="51"/>
  <c r="O20" i="51"/>
  <c r="P20" i="51"/>
  <c r="Q20" i="51"/>
  <c r="R20" i="51"/>
  <c r="S20" i="51"/>
  <c r="T20" i="51"/>
  <c r="U20" i="51"/>
  <c r="V20" i="51"/>
  <c r="W20" i="51"/>
  <c r="X20" i="51"/>
  <c r="Y20" i="51"/>
  <c r="Z20" i="51"/>
  <c r="AA20" i="51"/>
  <c r="AB20" i="51"/>
  <c r="AC20" i="51"/>
  <c r="AD20" i="51"/>
  <c r="AE20" i="51"/>
  <c r="AF20" i="51"/>
  <c r="AG20" i="51"/>
  <c r="AH20" i="51"/>
  <c r="AI20" i="51"/>
  <c r="AJ20" i="51"/>
  <c r="AK20" i="51"/>
  <c r="AL20" i="51"/>
  <c r="AM20" i="51"/>
  <c r="AN20" i="51"/>
  <c r="AO20" i="51"/>
  <c r="AP20" i="51"/>
  <c r="AQ20" i="51"/>
  <c r="AR20" i="51"/>
  <c r="AS20" i="51"/>
  <c r="AT20" i="51"/>
  <c r="AU20" i="51"/>
  <c r="AV20" i="51"/>
  <c r="AW20" i="51"/>
  <c r="AX20" i="51"/>
  <c r="AY20" i="51"/>
  <c r="AZ20" i="51"/>
  <c r="BA20" i="51"/>
  <c r="BB20" i="51"/>
  <c r="BC20" i="51"/>
  <c r="BD20" i="51"/>
  <c r="BE20" i="51"/>
  <c r="BF20" i="51"/>
  <c r="BG20" i="51"/>
  <c r="BH20" i="51"/>
  <c r="BI20" i="51"/>
  <c r="BJ20" i="51"/>
  <c r="BK20" i="51"/>
  <c r="BL20" i="51"/>
  <c r="BM20" i="51"/>
  <c r="BN20" i="51"/>
  <c r="BO20" i="51"/>
  <c r="BP20" i="51"/>
  <c r="BQ20" i="51"/>
  <c r="BR20" i="51"/>
  <c r="BS20" i="51"/>
  <c r="BT20" i="51"/>
  <c r="BU20" i="51"/>
  <c r="BV20" i="51"/>
  <c r="BW20" i="51"/>
  <c r="BX20" i="51"/>
  <c r="BY20" i="51"/>
  <c r="BZ20" i="51"/>
  <c r="CA20" i="51"/>
  <c r="CB20" i="51"/>
  <c r="CC20" i="51"/>
  <c r="CD20" i="51"/>
  <c r="CE20" i="51"/>
  <c r="CF20" i="51"/>
  <c r="CG20" i="51"/>
  <c r="CH20" i="51"/>
  <c r="CI20" i="51"/>
  <c r="CJ20" i="51"/>
  <c r="CK20" i="51"/>
  <c r="CL20" i="51"/>
  <c r="CM20" i="51"/>
  <c r="CN20" i="51"/>
  <c r="CO20" i="51"/>
  <c r="CP20" i="51"/>
  <c r="CQ20" i="51"/>
  <c r="CR20" i="51"/>
  <c r="CS20" i="51"/>
  <c r="CT20" i="51"/>
  <c r="CU20" i="51"/>
  <c r="CV20" i="51"/>
  <c r="CW20" i="51"/>
  <c r="CX20" i="51"/>
  <c r="CY20" i="51"/>
  <c r="CZ20" i="51"/>
  <c r="DA20" i="51"/>
  <c r="J21" i="51"/>
  <c r="K21" i="51"/>
  <c r="L21" i="51"/>
  <c r="M21" i="51"/>
  <c r="N21" i="51"/>
  <c r="O21" i="51"/>
  <c r="P21" i="51"/>
  <c r="Q21" i="51"/>
  <c r="R21" i="51"/>
  <c r="S21" i="51"/>
  <c r="T21" i="51"/>
  <c r="U21" i="51"/>
  <c r="V21" i="51"/>
  <c r="W21" i="51"/>
  <c r="X21" i="51"/>
  <c r="Y21" i="51"/>
  <c r="Z21" i="51"/>
  <c r="AA21" i="51"/>
  <c r="AB21" i="51"/>
  <c r="AC21" i="51"/>
  <c r="AD21" i="51"/>
  <c r="AE21" i="51"/>
  <c r="AF21" i="51"/>
  <c r="AG21" i="51"/>
  <c r="AH21" i="51"/>
  <c r="AI21" i="51"/>
  <c r="AJ21" i="51"/>
  <c r="AK21" i="51"/>
  <c r="AL21" i="51"/>
  <c r="AM21" i="51"/>
  <c r="AN21" i="51"/>
  <c r="AO21" i="51"/>
  <c r="AP21" i="51"/>
  <c r="AQ21" i="51"/>
  <c r="AR21" i="51"/>
  <c r="AS21" i="51"/>
  <c r="AT21" i="51"/>
  <c r="AU21" i="51"/>
  <c r="AV21" i="51"/>
  <c r="AW21" i="51"/>
  <c r="AX21" i="51"/>
  <c r="AY21" i="51"/>
  <c r="AZ21" i="51"/>
  <c r="BA21" i="51"/>
  <c r="BB21" i="51"/>
  <c r="BC21" i="51"/>
  <c r="BD21" i="51"/>
  <c r="BE21" i="51"/>
  <c r="BF21" i="51"/>
  <c r="BG21" i="51"/>
  <c r="BH21" i="51"/>
  <c r="BI21" i="51"/>
  <c r="BJ21" i="51"/>
  <c r="BK21" i="51"/>
  <c r="BL21" i="51"/>
  <c r="BM21" i="51"/>
  <c r="BN21" i="51"/>
  <c r="BO21" i="51"/>
  <c r="BP21" i="51"/>
  <c r="BQ21" i="51"/>
  <c r="BR21" i="51"/>
  <c r="BS21" i="51"/>
  <c r="BT21" i="51"/>
  <c r="BU21" i="51"/>
  <c r="BV21" i="51"/>
  <c r="BW21" i="51"/>
  <c r="BX21" i="51"/>
  <c r="BY21" i="51"/>
  <c r="BZ21" i="51"/>
  <c r="CA21" i="51"/>
  <c r="CB21" i="51"/>
  <c r="CC21" i="51"/>
  <c r="CD21" i="51"/>
  <c r="CE21" i="51"/>
  <c r="CF21" i="51"/>
  <c r="CG21" i="51"/>
  <c r="CH21" i="51"/>
  <c r="CI21" i="51"/>
  <c r="CJ21" i="51"/>
  <c r="CK21" i="51"/>
  <c r="CL21" i="51"/>
  <c r="CM21" i="51"/>
  <c r="CN21" i="51"/>
  <c r="CO21" i="51"/>
  <c r="CP21" i="51"/>
  <c r="CQ21" i="51"/>
  <c r="CR21" i="51"/>
  <c r="CS21" i="51"/>
  <c r="CT21" i="51"/>
  <c r="CU21" i="51"/>
  <c r="CV21" i="51"/>
  <c r="CW21" i="51"/>
  <c r="CX21" i="51"/>
  <c r="CY21" i="51"/>
  <c r="CZ21" i="51"/>
  <c r="DA21" i="51"/>
  <c r="J22" i="51"/>
  <c r="K22" i="51"/>
  <c r="L22" i="51"/>
  <c r="M22" i="51"/>
  <c r="N22" i="51"/>
  <c r="O22" i="51"/>
  <c r="P22" i="51"/>
  <c r="Q22" i="51"/>
  <c r="R22" i="51"/>
  <c r="S22" i="51"/>
  <c r="T22" i="51"/>
  <c r="U22" i="51"/>
  <c r="V22" i="51"/>
  <c r="W22" i="51"/>
  <c r="X22" i="51"/>
  <c r="Y22" i="51"/>
  <c r="Z22" i="51"/>
  <c r="AA22" i="51"/>
  <c r="AB22" i="51"/>
  <c r="AC22" i="51"/>
  <c r="AD22" i="51"/>
  <c r="AE22" i="51"/>
  <c r="AF22" i="51"/>
  <c r="AG22" i="51"/>
  <c r="AH22" i="51"/>
  <c r="AI22" i="51"/>
  <c r="AJ22" i="51"/>
  <c r="AK22" i="51"/>
  <c r="AL22" i="51"/>
  <c r="AM22" i="51"/>
  <c r="AN22" i="51"/>
  <c r="AO22" i="51"/>
  <c r="AP22" i="51"/>
  <c r="AQ22" i="51"/>
  <c r="AR22" i="51"/>
  <c r="AS22" i="51"/>
  <c r="AT22" i="51"/>
  <c r="AU22" i="51"/>
  <c r="AV22" i="51"/>
  <c r="AW22" i="51"/>
  <c r="AX22" i="51"/>
  <c r="AY22" i="51"/>
  <c r="AZ22" i="51"/>
  <c r="BA22" i="51"/>
  <c r="BB22" i="51"/>
  <c r="BC22" i="51"/>
  <c r="BD22" i="51"/>
  <c r="BE22" i="51"/>
  <c r="BF22" i="51"/>
  <c r="BG22" i="51"/>
  <c r="BH22" i="51"/>
  <c r="BI22" i="51"/>
  <c r="BJ22" i="51"/>
  <c r="BK22" i="51"/>
  <c r="BL22" i="51"/>
  <c r="BM22" i="51"/>
  <c r="BN22" i="51"/>
  <c r="BO22" i="51"/>
  <c r="BP22" i="51"/>
  <c r="BQ22" i="51"/>
  <c r="BR22" i="51"/>
  <c r="BS22" i="51"/>
  <c r="BT22" i="51"/>
  <c r="BU22" i="51"/>
  <c r="BV22" i="51"/>
  <c r="BW22" i="51"/>
  <c r="BX22" i="51"/>
  <c r="BY22" i="51"/>
  <c r="BZ22" i="51"/>
  <c r="CA22" i="51"/>
  <c r="CB22" i="51"/>
  <c r="CC22" i="51"/>
  <c r="CD22" i="51"/>
  <c r="CE22" i="51"/>
  <c r="CF22" i="51"/>
  <c r="CG22" i="51"/>
  <c r="CH22" i="51"/>
  <c r="CI22" i="51"/>
  <c r="CJ22" i="51"/>
  <c r="CK22" i="51"/>
  <c r="CL22" i="51"/>
  <c r="CM22" i="51"/>
  <c r="CN22" i="51"/>
  <c r="CO22" i="51"/>
  <c r="CP22" i="51"/>
  <c r="CQ22" i="51"/>
  <c r="CR22" i="51"/>
  <c r="CS22" i="51"/>
  <c r="CT22" i="51"/>
  <c r="CU22" i="51"/>
  <c r="CV22" i="51"/>
  <c r="CW22" i="51"/>
  <c r="CX22" i="51"/>
  <c r="CY22" i="51"/>
  <c r="CZ22" i="51"/>
  <c r="DA22" i="51"/>
  <c r="J23" i="51"/>
  <c r="K23" i="51"/>
  <c r="L23" i="51"/>
  <c r="M23" i="51"/>
  <c r="N23" i="51"/>
  <c r="O23" i="51"/>
  <c r="P23" i="51"/>
  <c r="Q23" i="51"/>
  <c r="R23" i="51"/>
  <c r="S23" i="51"/>
  <c r="T23" i="51"/>
  <c r="U23" i="51"/>
  <c r="V23" i="51"/>
  <c r="W23" i="51"/>
  <c r="X23" i="51"/>
  <c r="Y23" i="51"/>
  <c r="Z23" i="51"/>
  <c r="AA23" i="51"/>
  <c r="AB23" i="51"/>
  <c r="AC23" i="51"/>
  <c r="AD23" i="51"/>
  <c r="AE23" i="51"/>
  <c r="AF23" i="51"/>
  <c r="AG23" i="51"/>
  <c r="AH23" i="51"/>
  <c r="AI23" i="51"/>
  <c r="AJ23" i="51"/>
  <c r="AK23" i="51"/>
  <c r="AL23" i="51"/>
  <c r="AM23" i="51"/>
  <c r="AN23" i="51"/>
  <c r="AO23" i="51"/>
  <c r="AP23" i="51"/>
  <c r="AQ23" i="51"/>
  <c r="AR23" i="51"/>
  <c r="AS23" i="51"/>
  <c r="AT23" i="51"/>
  <c r="AU23" i="51"/>
  <c r="AV23" i="51"/>
  <c r="AW23" i="51"/>
  <c r="AX23" i="51"/>
  <c r="AY23" i="51"/>
  <c r="AZ23" i="51"/>
  <c r="BA23" i="51"/>
  <c r="BB23" i="51"/>
  <c r="BC23" i="51"/>
  <c r="BD23" i="51"/>
  <c r="BE23" i="51"/>
  <c r="BF23" i="51"/>
  <c r="BG23" i="51"/>
  <c r="BH23" i="51"/>
  <c r="BI23" i="51"/>
  <c r="BJ23" i="51"/>
  <c r="BK23" i="51"/>
  <c r="BL23" i="51"/>
  <c r="BM23" i="51"/>
  <c r="BN23" i="51"/>
  <c r="BO23" i="51"/>
  <c r="BP23" i="51"/>
  <c r="BQ23" i="51"/>
  <c r="BR23" i="51"/>
  <c r="BS23" i="51"/>
  <c r="BT23" i="51"/>
  <c r="BU23" i="51"/>
  <c r="BV23" i="51"/>
  <c r="BW23" i="51"/>
  <c r="BX23" i="51"/>
  <c r="BY23" i="51"/>
  <c r="BZ23" i="51"/>
  <c r="CA23" i="51"/>
  <c r="CB23" i="51"/>
  <c r="CC23" i="51"/>
  <c r="CD23" i="51"/>
  <c r="CE23" i="51"/>
  <c r="CF23" i="51"/>
  <c r="CG23" i="51"/>
  <c r="CH23" i="51"/>
  <c r="CI23" i="51"/>
  <c r="CJ23" i="51"/>
  <c r="CK23" i="51"/>
  <c r="CL23" i="51"/>
  <c r="CM23" i="51"/>
  <c r="CN23" i="51"/>
  <c r="CO23" i="51"/>
  <c r="CP23" i="51"/>
  <c r="CQ23" i="51"/>
  <c r="CR23" i="51"/>
  <c r="CS23" i="51"/>
  <c r="CT23" i="51"/>
  <c r="CU23" i="51"/>
  <c r="CV23" i="51"/>
  <c r="CW23" i="51"/>
  <c r="CX23" i="51"/>
  <c r="CY23" i="51"/>
  <c r="CZ23" i="51"/>
  <c r="DA23" i="51"/>
  <c r="J24" i="51"/>
  <c r="K24" i="51"/>
  <c r="L24" i="51"/>
  <c r="M24" i="51"/>
  <c r="N24" i="51"/>
  <c r="O24" i="51"/>
  <c r="P24" i="51"/>
  <c r="Q24" i="51"/>
  <c r="R24" i="51"/>
  <c r="S24" i="51"/>
  <c r="T24" i="51"/>
  <c r="U24" i="51"/>
  <c r="V24" i="51"/>
  <c r="W24" i="51"/>
  <c r="X24" i="51"/>
  <c r="Y24" i="51"/>
  <c r="Z24" i="51"/>
  <c r="AA24" i="51"/>
  <c r="AB24" i="51"/>
  <c r="AC24" i="51"/>
  <c r="AD24" i="51"/>
  <c r="AE24" i="51"/>
  <c r="AF24" i="51"/>
  <c r="AG24" i="51"/>
  <c r="AH24" i="51"/>
  <c r="AI24" i="51"/>
  <c r="AJ24" i="51"/>
  <c r="AK24" i="51"/>
  <c r="AL24" i="51"/>
  <c r="AM24" i="51"/>
  <c r="AN24" i="51"/>
  <c r="AO24" i="51"/>
  <c r="AP24" i="51"/>
  <c r="AQ24" i="51"/>
  <c r="AR24" i="51"/>
  <c r="AS24" i="51"/>
  <c r="AT24" i="51"/>
  <c r="AU24" i="51"/>
  <c r="AV24" i="51"/>
  <c r="AW24" i="51"/>
  <c r="AX24" i="51"/>
  <c r="AY24" i="51"/>
  <c r="AZ24" i="51"/>
  <c r="BA24" i="51"/>
  <c r="BB24" i="51"/>
  <c r="BC24" i="51"/>
  <c r="BD24" i="51"/>
  <c r="BE24" i="51"/>
  <c r="BF24" i="51"/>
  <c r="BG24" i="51"/>
  <c r="BH24" i="51"/>
  <c r="BI24" i="51"/>
  <c r="BJ24" i="51"/>
  <c r="BK24" i="51"/>
  <c r="BL24" i="51"/>
  <c r="BM24" i="51"/>
  <c r="BN24" i="51"/>
  <c r="BO24" i="51"/>
  <c r="BP24" i="51"/>
  <c r="BQ24" i="51"/>
  <c r="BR24" i="51"/>
  <c r="BS24" i="51"/>
  <c r="BT24" i="51"/>
  <c r="BU24" i="51"/>
  <c r="BV24" i="51"/>
  <c r="BW24" i="51"/>
  <c r="BX24" i="51"/>
  <c r="BY24" i="51"/>
  <c r="BZ24" i="51"/>
  <c r="CA24" i="51"/>
  <c r="CB24" i="51"/>
  <c r="CC24" i="51"/>
  <c r="CD24" i="51"/>
  <c r="CE24" i="51"/>
  <c r="CF24" i="51"/>
  <c r="CG24" i="51"/>
  <c r="CH24" i="51"/>
  <c r="CI24" i="51"/>
  <c r="CJ24" i="51"/>
  <c r="CK24" i="51"/>
  <c r="CL24" i="51"/>
  <c r="CM24" i="51"/>
  <c r="CN24" i="51"/>
  <c r="CO24" i="51"/>
  <c r="CP24" i="51"/>
  <c r="CQ24" i="51"/>
  <c r="CR24" i="51"/>
  <c r="CS24" i="51"/>
  <c r="CT24" i="51"/>
  <c r="CU24" i="51"/>
  <c r="CV24" i="51"/>
  <c r="CW24" i="51"/>
  <c r="CX24" i="51"/>
  <c r="CY24" i="51"/>
  <c r="CZ24" i="51"/>
  <c r="DA24" i="51"/>
  <c r="J25" i="51"/>
  <c r="K25" i="51"/>
  <c r="L25" i="51"/>
  <c r="M25" i="51"/>
  <c r="N25" i="51"/>
  <c r="O25" i="51"/>
  <c r="P25" i="51"/>
  <c r="Q25" i="51"/>
  <c r="R25" i="51"/>
  <c r="S25" i="51"/>
  <c r="T25" i="51"/>
  <c r="U25" i="51"/>
  <c r="V25" i="51"/>
  <c r="W25" i="51"/>
  <c r="X25" i="51"/>
  <c r="Y25" i="51"/>
  <c r="Z25" i="51"/>
  <c r="AA25" i="51"/>
  <c r="AB25" i="51"/>
  <c r="AC25" i="51"/>
  <c r="AD25" i="51"/>
  <c r="AE25" i="51"/>
  <c r="AF25" i="51"/>
  <c r="AG25" i="51"/>
  <c r="AH25" i="51"/>
  <c r="AI25" i="51"/>
  <c r="AJ25" i="51"/>
  <c r="AK25" i="51"/>
  <c r="AL25" i="51"/>
  <c r="AM25" i="51"/>
  <c r="AN25" i="51"/>
  <c r="AO25" i="51"/>
  <c r="AP25" i="51"/>
  <c r="AQ25" i="51"/>
  <c r="AR25" i="51"/>
  <c r="AS25" i="51"/>
  <c r="AT25" i="51"/>
  <c r="AU25" i="51"/>
  <c r="AV25" i="51"/>
  <c r="AW25" i="51"/>
  <c r="AX25" i="51"/>
  <c r="AY25" i="51"/>
  <c r="AZ25" i="51"/>
  <c r="BA25" i="51"/>
  <c r="BB25" i="51"/>
  <c r="BC25" i="51"/>
  <c r="BD25" i="51"/>
  <c r="BE25" i="51"/>
  <c r="BF25" i="51"/>
  <c r="BG25" i="51"/>
  <c r="BH25" i="51"/>
  <c r="BI25" i="51"/>
  <c r="BJ25" i="51"/>
  <c r="BK25" i="51"/>
  <c r="BL25" i="51"/>
  <c r="BM25" i="51"/>
  <c r="BN25" i="51"/>
  <c r="BO25" i="51"/>
  <c r="BP25" i="51"/>
  <c r="BQ25" i="51"/>
  <c r="BR25" i="51"/>
  <c r="BS25" i="51"/>
  <c r="BT25" i="51"/>
  <c r="BU25" i="51"/>
  <c r="BV25" i="51"/>
  <c r="BW25" i="51"/>
  <c r="BX25" i="51"/>
  <c r="BY25" i="51"/>
  <c r="BZ25" i="51"/>
  <c r="CA25" i="51"/>
  <c r="CB25" i="51"/>
  <c r="CC25" i="51"/>
  <c r="CD25" i="51"/>
  <c r="CE25" i="51"/>
  <c r="CF25" i="51"/>
  <c r="CG25" i="51"/>
  <c r="CH25" i="51"/>
  <c r="CI25" i="51"/>
  <c r="CJ25" i="51"/>
  <c r="CK25" i="51"/>
  <c r="CL25" i="51"/>
  <c r="CM25" i="51"/>
  <c r="CN25" i="51"/>
  <c r="CO25" i="51"/>
  <c r="CP25" i="51"/>
  <c r="CQ25" i="51"/>
  <c r="CR25" i="51"/>
  <c r="CS25" i="51"/>
  <c r="CT25" i="51"/>
  <c r="CU25" i="51"/>
  <c r="CV25" i="51"/>
  <c r="CW25" i="51"/>
  <c r="CX25" i="51"/>
  <c r="CY25" i="51"/>
  <c r="CZ25" i="51"/>
  <c r="DA25" i="51"/>
  <c r="J26" i="51"/>
  <c r="K26" i="51"/>
  <c r="L26" i="51"/>
  <c r="M26" i="51"/>
  <c r="N26" i="51"/>
  <c r="O26" i="51"/>
  <c r="P26" i="51"/>
  <c r="Q26" i="51"/>
  <c r="R26" i="51"/>
  <c r="S26" i="51"/>
  <c r="T26" i="51"/>
  <c r="U26" i="51"/>
  <c r="V26" i="51"/>
  <c r="W26" i="51"/>
  <c r="X26" i="51"/>
  <c r="Y26" i="51"/>
  <c r="Z26" i="51"/>
  <c r="AA26" i="51"/>
  <c r="AB26" i="51"/>
  <c r="AC26" i="51"/>
  <c r="AD26" i="51"/>
  <c r="AE26" i="51"/>
  <c r="AF26" i="51"/>
  <c r="AG26" i="51"/>
  <c r="AH26" i="51"/>
  <c r="AI26" i="51"/>
  <c r="AJ26" i="51"/>
  <c r="AK26" i="51"/>
  <c r="AL26" i="51"/>
  <c r="AM26" i="51"/>
  <c r="AN26" i="51"/>
  <c r="AO26" i="51"/>
  <c r="AP26" i="51"/>
  <c r="AQ26" i="51"/>
  <c r="AR26" i="51"/>
  <c r="AS26" i="51"/>
  <c r="AT26" i="51"/>
  <c r="AU26" i="51"/>
  <c r="AV26" i="51"/>
  <c r="AW26" i="51"/>
  <c r="AX26" i="51"/>
  <c r="AY26" i="51"/>
  <c r="AZ26" i="51"/>
  <c r="BA26" i="51"/>
  <c r="BB26" i="51"/>
  <c r="BC26" i="51"/>
  <c r="BD26" i="51"/>
  <c r="BE26" i="51"/>
  <c r="BF26" i="51"/>
  <c r="BG26" i="51"/>
  <c r="BH26" i="51"/>
  <c r="BI26" i="51"/>
  <c r="BJ26" i="51"/>
  <c r="BK26" i="51"/>
  <c r="BL26" i="51"/>
  <c r="BM26" i="51"/>
  <c r="BN26" i="51"/>
  <c r="BO26" i="51"/>
  <c r="BP26" i="51"/>
  <c r="BQ26" i="51"/>
  <c r="BR26" i="51"/>
  <c r="BS26" i="51"/>
  <c r="BT26" i="51"/>
  <c r="BU26" i="51"/>
  <c r="BV26" i="51"/>
  <c r="BW26" i="51"/>
  <c r="BX26" i="51"/>
  <c r="BY26" i="51"/>
  <c r="BZ26" i="51"/>
  <c r="CA26" i="51"/>
  <c r="CB26" i="51"/>
  <c r="CC26" i="51"/>
  <c r="CD26" i="51"/>
  <c r="CE26" i="51"/>
  <c r="CF26" i="51"/>
  <c r="CG26" i="51"/>
  <c r="CH26" i="51"/>
  <c r="CI26" i="51"/>
  <c r="CJ26" i="51"/>
  <c r="CK26" i="51"/>
  <c r="CL26" i="51"/>
  <c r="CM26" i="51"/>
  <c r="CN26" i="51"/>
  <c r="CO26" i="51"/>
  <c r="CP26" i="51"/>
  <c r="CQ26" i="51"/>
  <c r="CR26" i="51"/>
  <c r="CS26" i="51"/>
  <c r="CT26" i="51"/>
  <c r="CU26" i="51"/>
  <c r="CV26" i="51"/>
  <c r="CW26" i="51"/>
  <c r="CX26" i="51"/>
  <c r="CY26" i="51"/>
  <c r="CZ26" i="51"/>
  <c r="DA26" i="51"/>
  <c r="J27" i="51"/>
  <c r="K27" i="51"/>
  <c r="L27" i="51"/>
  <c r="M27" i="51"/>
  <c r="N27" i="51"/>
  <c r="O27" i="51"/>
  <c r="P27" i="51"/>
  <c r="Q27" i="51"/>
  <c r="R27" i="51"/>
  <c r="S27" i="51"/>
  <c r="T27" i="51"/>
  <c r="U27" i="51"/>
  <c r="V27" i="51"/>
  <c r="W27" i="51"/>
  <c r="X27" i="51"/>
  <c r="Y27" i="51"/>
  <c r="Z27" i="51"/>
  <c r="AA27" i="51"/>
  <c r="AB27" i="51"/>
  <c r="AC27" i="51"/>
  <c r="AD27" i="51"/>
  <c r="AE27" i="51"/>
  <c r="AF27" i="51"/>
  <c r="AG27" i="51"/>
  <c r="AH27" i="51"/>
  <c r="AI27" i="51"/>
  <c r="AJ27" i="51"/>
  <c r="AK27" i="51"/>
  <c r="AL27" i="51"/>
  <c r="AM27" i="51"/>
  <c r="AN27" i="51"/>
  <c r="AO27" i="51"/>
  <c r="AP27" i="51"/>
  <c r="AQ27" i="51"/>
  <c r="AR27" i="51"/>
  <c r="AS27" i="51"/>
  <c r="AT27" i="51"/>
  <c r="AU27" i="51"/>
  <c r="AV27" i="51"/>
  <c r="AW27" i="51"/>
  <c r="AX27" i="51"/>
  <c r="AY27" i="51"/>
  <c r="AZ27" i="51"/>
  <c r="BA27" i="51"/>
  <c r="BB27" i="51"/>
  <c r="BC27" i="51"/>
  <c r="BD27" i="51"/>
  <c r="BE27" i="51"/>
  <c r="BF27" i="51"/>
  <c r="BG27" i="51"/>
  <c r="BH27" i="51"/>
  <c r="BI27" i="51"/>
  <c r="BJ27" i="51"/>
  <c r="BK27" i="51"/>
  <c r="BL27" i="51"/>
  <c r="BM27" i="51"/>
  <c r="BN27" i="51"/>
  <c r="BO27" i="51"/>
  <c r="BP27" i="51"/>
  <c r="BQ27" i="51"/>
  <c r="BR27" i="51"/>
  <c r="BS27" i="51"/>
  <c r="BT27" i="51"/>
  <c r="BU27" i="51"/>
  <c r="BV27" i="51"/>
  <c r="BW27" i="51"/>
  <c r="BX27" i="51"/>
  <c r="BY27" i="51"/>
  <c r="BZ27" i="51"/>
  <c r="CA27" i="51"/>
  <c r="CB27" i="51"/>
  <c r="CC27" i="51"/>
  <c r="CD27" i="51"/>
  <c r="CE27" i="51"/>
  <c r="CF27" i="51"/>
  <c r="CG27" i="51"/>
  <c r="CH27" i="51"/>
  <c r="CI27" i="51"/>
  <c r="CJ27" i="51"/>
  <c r="CK27" i="51"/>
  <c r="CL27" i="51"/>
  <c r="CM27" i="51"/>
  <c r="CN27" i="51"/>
  <c r="CO27" i="51"/>
  <c r="CP27" i="51"/>
  <c r="CQ27" i="51"/>
  <c r="CR27" i="51"/>
  <c r="CS27" i="51"/>
  <c r="CT27" i="51"/>
  <c r="CU27" i="51"/>
  <c r="CV27" i="51"/>
  <c r="CW27" i="51"/>
  <c r="CX27" i="51"/>
  <c r="CY27" i="51"/>
  <c r="CZ27" i="51"/>
  <c r="DA27" i="51"/>
  <c r="J28" i="51"/>
  <c r="K28" i="51"/>
  <c r="L28" i="51"/>
  <c r="M28" i="51"/>
  <c r="N28" i="51"/>
  <c r="O28" i="51"/>
  <c r="P28" i="51"/>
  <c r="Q28" i="51"/>
  <c r="R28" i="51"/>
  <c r="S28" i="51"/>
  <c r="T28" i="51"/>
  <c r="U28" i="51"/>
  <c r="V28" i="51"/>
  <c r="W28" i="51"/>
  <c r="X28" i="51"/>
  <c r="Y28" i="51"/>
  <c r="Z28" i="51"/>
  <c r="AA28" i="51"/>
  <c r="AB28" i="51"/>
  <c r="AC28" i="51"/>
  <c r="AD28" i="51"/>
  <c r="AE28" i="51"/>
  <c r="AF28" i="51"/>
  <c r="AG28" i="51"/>
  <c r="AH28" i="51"/>
  <c r="AI28" i="51"/>
  <c r="AJ28" i="51"/>
  <c r="AK28" i="51"/>
  <c r="AL28" i="51"/>
  <c r="AM28" i="51"/>
  <c r="AN28" i="51"/>
  <c r="AO28" i="51"/>
  <c r="AP28" i="51"/>
  <c r="AQ28" i="51"/>
  <c r="AR28" i="51"/>
  <c r="AS28" i="51"/>
  <c r="AT28" i="51"/>
  <c r="AU28" i="51"/>
  <c r="AV28" i="51"/>
  <c r="AW28" i="51"/>
  <c r="AX28" i="51"/>
  <c r="AY28" i="51"/>
  <c r="AZ28" i="51"/>
  <c r="BA28" i="51"/>
  <c r="BB28" i="51"/>
  <c r="BC28" i="51"/>
  <c r="BD28" i="51"/>
  <c r="BE28" i="51"/>
  <c r="BF28" i="51"/>
  <c r="BG28" i="51"/>
  <c r="BH28" i="51"/>
  <c r="BI28" i="51"/>
  <c r="BJ28" i="51"/>
  <c r="BK28" i="51"/>
  <c r="BL28" i="51"/>
  <c r="BM28" i="51"/>
  <c r="BN28" i="51"/>
  <c r="BO28" i="51"/>
  <c r="BP28" i="51"/>
  <c r="BQ28" i="51"/>
  <c r="BR28" i="51"/>
  <c r="BS28" i="51"/>
  <c r="BT28" i="51"/>
  <c r="BU28" i="51"/>
  <c r="BV28" i="51"/>
  <c r="BW28" i="51"/>
  <c r="BX28" i="51"/>
  <c r="BY28" i="51"/>
  <c r="BZ28" i="51"/>
  <c r="CA28" i="51"/>
  <c r="CB28" i="51"/>
  <c r="CC28" i="51"/>
  <c r="CD28" i="51"/>
  <c r="CE28" i="51"/>
  <c r="CF28" i="51"/>
  <c r="CG28" i="51"/>
  <c r="CH28" i="51"/>
  <c r="CI28" i="51"/>
  <c r="CJ28" i="51"/>
  <c r="CK28" i="51"/>
  <c r="CL28" i="51"/>
  <c r="CM28" i="51"/>
  <c r="CN28" i="51"/>
  <c r="CO28" i="51"/>
  <c r="CP28" i="51"/>
  <c r="CQ28" i="51"/>
  <c r="CR28" i="51"/>
  <c r="CS28" i="51"/>
  <c r="CT28" i="51"/>
  <c r="CU28" i="51"/>
  <c r="CV28" i="51"/>
  <c r="CW28" i="51"/>
  <c r="CX28" i="51"/>
  <c r="CY28" i="51"/>
  <c r="CZ28" i="51"/>
  <c r="DA28" i="51"/>
  <c r="J29" i="51"/>
  <c r="K29" i="51"/>
  <c r="L29" i="51"/>
  <c r="M29" i="51"/>
  <c r="N29" i="51"/>
  <c r="O29" i="51"/>
  <c r="P29" i="51"/>
  <c r="Q29" i="51"/>
  <c r="R29" i="51"/>
  <c r="S29" i="51"/>
  <c r="T29" i="51"/>
  <c r="U29" i="51"/>
  <c r="V29" i="51"/>
  <c r="W29" i="51"/>
  <c r="X29" i="51"/>
  <c r="Y29" i="51"/>
  <c r="Z29" i="51"/>
  <c r="AA29" i="51"/>
  <c r="AB29" i="51"/>
  <c r="AC29" i="51"/>
  <c r="AD29" i="51"/>
  <c r="AE29" i="51"/>
  <c r="AF29" i="51"/>
  <c r="AG29" i="51"/>
  <c r="AH29" i="51"/>
  <c r="AI29" i="51"/>
  <c r="AJ29" i="51"/>
  <c r="AK29" i="51"/>
  <c r="AL29" i="51"/>
  <c r="AM29" i="51"/>
  <c r="AN29" i="51"/>
  <c r="AO29" i="51"/>
  <c r="AP29" i="51"/>
  <c r="AQ29" i="51"/>
  <c r="AR29" i="51"/>
  <c r="AS29" i="51"/>
  <c r="AT29" i="51"/>
  <c r="AU29" i="51"/>
  <c r="AV29" i="51"/>
  <c r="AW29" i="51"/>
  <c r="AX29" i="51"/>
  <c r="AY29" i="51"/>
  <c r="AZ29" i="51"/>
  <c r="BA29" i="51"/>
  <c r="BB29" i="51"/>
  <c r="BC29" i="51"/>
  <c r="BD29" i="51"/>
  <c r="BE29" i="51"/>
  <c r="BF29" i="51"/>
  <c r="BG29" i="51"/>
  <c r="BH29" i="51"/>
  <c r="BI29" i="51"/>
  <c r="BJ29" i="51"/>
  <c r="BK29" i="51"/>
  <c r="BL29" i="51"/>
  <c r="BM29" i="51"/>
  <c r="BN29" i="51"/>
  <c r="BO29" i="51"/>
  <c r="BP29" i="51"/>
  <c r="BQ29" i="51"/>
  <c r="BR29" i="51"/>
  <c r="BS29" i="51"/>
  <c r="BT29" i="51"/>
  <c r="BU29" i="51"/>
  <c r="BV29" i="51"/>
  <c r="BW29" i="51"/>
  <c r="BX29" i="51"/>
  <c r="BY29" i="51"/>
  <c r="BZ29" i="51"/>
  <c r="CA29" i="51"/>
  <c r="CB29" i="51"/>
  <c r="CC29" i="51"/>
  <c r="CD29" i="51"/>
  <c r="CE29" i="51"/>
  <c r="CF29" i="51"/>
  <c r="CG29" i="51"/>
  <c r="CH29" i="51"/>
  <c r="CI29" i="51"/>
  <c r="CJ29" i="51"/>
  <c r="CK29" i="51"/>
  <c r="CL29" i="51"/>
  <c r="CM29" i="51"/>
  <c r="CN29" i="51"/>
  <c r="CO29" i="51"/>
  <c r="CP29" i="51"/>
  <c r="CQ29" i="51"/>
  <c r="CR29" i="51"/>
  <c r="CS29" i="51"/>
  <c r="CT29" i="51"/>
  <c r="CU29" i="51"/>
  <c r="CV29" i="51"/>
  <c r="CW29" i="51"/>
  <c r="CX29" i="51"/>
  <c r="CY29" i="51"/>
  <c r="CZ29" i="51"/>
  <c r="DA29" i="51"/>
  <c r="J30" i="51"/>
  <c r="K30" i="51"/>
  <c r="L30" i="51"/>
  <c r="M30" i="51"/>
  <c r="N30" i="51"/>
  <c r="O30" i="51"/>
  <c r="P30" i="51"/>
  <c r="Q30" i="51"/>
  <c r="R30" i="51"/>
  <c r="S30" i="51"/>
  <c r="T30" i="51"/>
  <c r="U30" i="51"/>
  <c r="V30" i="51"/>
  <c r="W30" i="51"/>
  <c r="X30" i="51"/>
  <c r="Y30" i="51"/>
  <c r="Z30" i="51"/>
  <c r="AA30" i="51"/>
  <c r="AB30" i="51"/>
  <c r="AC30" i="51"/>
  <c r="AD30" i="51"/>
  <c r="AE30" i="51"/>
  <c r="AF30" i="51"/>
  <c r="AG30" i="51"/>
  <c r="AH30" i="51"/>
  <c r="AI30" i="51"/>
  <c r="AJ30" i="51"/>
  <c r="AK30" i="51"/>
  <c r="AL30" i="51"/>
  <c r="AM30" i="51"/>
  <c r="AN30" i="51"/>
  <c r="AO30" i="51"/>
  <c r="AP30" i="51"/>
  <c r="AQ30" i="51"/>
  <c r="AR30" i="51"/>
  <c r="AS30" i="51"/>
  <c r="AT30" i="51"/>
  <c r="AU30" i="51"/>
  <c r="AV30" i="51"/>
  <c r="AW30" i="51"/>
  <c r="AX30" i="51"/>
  <c r="AY30" i="51"/>
  <c r="AZ30" i="51"/>
  <c r="BA30" i="51"/>
  <c r="BB30" i="51"/>
  <c r="BC30" i="51"/>
  <c r="BD30" i="51"/>
  <c r="BE30" i="51"/>
  <c r="BF30" i="51"/>
  <c r="BG30" i="51"/>
  <c r="BH30" i="51"/>
  <c r="BI30" i="51"/>
  <c r="BJ30" i="51"/>
  <c r="BK30" i="51"/>
  <c r="BL30" i="51"/>
  <c r="BM30" i="51"/>
  <c r="BN30" i="51"/>
  <c r="BO30" i="51"/>
  <c r="BP30" i="51"/>
  <c r="BQ30" i="51"/>
  <c r="BR30" i="51"/>
  <c r="BS30" i="51"/>
  <c r="BT30" i="51"/>
  <c r="BU30" i="51"/>
  <c r="BV30" i="51"/>
  <c r="BW30" i="51"/>
  <c r="BX30" i="51"/>
  <c r="BY30" i="51"/>
  <c r="BZ30" i="51"/>
  <c r="CA30" i="51"/>
  <c r="CB30" i="51"/>
  <c r="CC30" i="51"/>
  <c r="CD30" i="51"/>
  <c r="CE30" i="51"/>
  <c r="CF30" i="51"/>
  <c r="CG30" i="51"/>
  <c r="CH30" i="51"/>
  <c r="CI30" i="51"/>
  <c r="CJ30" i="51"/>
  <c r="CK30" i="51"/>
  <c r="CL30" i="51"/>
  <c r="CM30" i="51"/>
  <c r="CN30" i="51"/>
  <c r="CO30" i="51"/>
  <c r="CP30" i="51"/>
  <c r="CQ30" i="51"/>
  <c r="CR30" i="51"/>
  <c r="CS30" i="51"/>
  <c r="CT30" i="51"/>
  <c r="CU30" i="51"/>
  <c r="CV30" i="51"/>
  <c r="CW30" i="51"/>
  <c r="CX30" i="51"/>
  <c r="CY30" i="51"/>
  <c r="CZ30" i="51"/>
  <c r="DA30" i="51"/>
  <c r="J31" i="51"/>
  <c r="K31" i="51"/>
  <c r="L31" i="51"/>
  <c r="M31" i="51"/>
  <c r="N31" i="51"/>
  <c r="O31" i="51"/>
  <c r="P31" i="51"/>
  <c r="Q31" i="51"/>
  <c r="R31" i="51"/>
  <c r="S31" i="51"/>
  <c r="T31" i="51"/>
  <c r="U31" i="51"/>
  <c r="V31" i="51"/>
  <c r="W31" i="51"/>
  <c r="X31" i="51"/>
  <c r="Y31" i="51"/>
  <c r="Z31" i="51"/>
  <c r="AA31" i="51"/>
  <c r="AB31" i="51"/>
  <c r="AC31" i="51"/>
  <c r="AD31" i="51"/>
  <c r="AE31" i="51"/>
  <c r="AF31" i="51"/>
  <c r="AG31" i="51"/>
  <c r="AH31" i="51"/>
  <c r="AI31" i="51"/>
  <c r="AJ31" i="51"/>
  <c r="AK31" i="51"/>
  <c r="AL31" i="51"/>
  <c r="AM31" i="51"/>
  <c r="AN31" i="51"/>
  <c r="AO31" i="51"/>
  <c r="AP31" i="51"/>
  <c r="AQ31" i="51"/>
  <c r="AR31" i="51"/>
  <c r="AS31" i="51"/>
  <c r="AT31" i="51"/>
  <c r="AU31" i="51"/>
  <c r="AV31" i="51"/>
  <c r="AW31" i="51"/>
  <c r="AX31" i="51"/>
  <c r="AY31" i="51"/>
  <c r="AZ31" i="51"/>
  <c r="BA31" i="51"/>
  <c r="BB31" i="51"/>
  <c r="BC31" i="51"/>
  <c r="BD31" i="51"/>
  <c r="BE31" i="51"/>
  <c r="BF31" i="51"/>
  <c r="BG31" i="51"/>
  <c r="BH31" i="51"/>
  <c r="BI31" i="51"/>
  <c r="BJ31" i="51"/>
  <c r="BK31" i="51"/>
  <c r="BL31" i="51"/>
  <c r="BM31" i="51"/>
  <c r="BN31" i="51"/>
  <c r="BO31" i="51"/>
  <c r="BP31" i="51"/>
  <c r="BQ31" i="51"/>
  <c r="BR31" i="51"/>
  <c r="BS31" i="51"/>
  <c r="BT31" i="51"/>
  <c r="BU31" i="51"/>
  <c r="BV31" i="51"/>
  <c r="BW31" i="51"/>
  <c r="BX31" i="51"/>
  <c r="BY31" i="51"/>
  <c r="BZ31" i="51"/>
  <c r="CA31" i="51"/>
  <c r="CB31" i="51"/>
  <c r="CC31" i="51"/>
  <c r="CD31" i="51"/>
  <c r="CE31" i="51"/>
  <c r="CF31" i="51"/>
  <c r="CG31" i="51"/>
  <c r="CH31" i="51"/>
  <c r="CI31" i="51"/>
  <c r="CJ31" i="51"/>
  <c r="CK31" i="51"/>
  <c r="CL31" i="51"/>
  <c r="CM31" i="51"/>
  <c r="CN31" i="51"/>
  <c r="CO31" i="51"/>
  <c r="CP31" i="51"/>
  <c r="CQ31" i="51"/>
  <c r="CR31" i="51"/>
  <c r="CS31" i="51"/>
  <c r="CT31" i="51"/>
  <c r="CU31" i="51"/>
  <c r="CV31" i="51"/>
  <c r="CW31" i="51"/>
  <c r="CX31" i="51"/>
  <c r="CY31" i="51"/>
  <c r="CZ31" i="51"/>
  <c r="DA31" i="51"/>
  <c r="J32" i="51"/>
  <c r="K32" i="51"/>
  <c r="L32" i="51"/>
  <c r="M32" i="51"/>
  <c r="N32" i="51"/>
  <c r="O32" i="51"/>
  <c r="P32" i="51"/>
  <c r="Q32" i="51"/>
  <c r="R32" i="51"/>
  <c r="S32" i="51"/>
  <c r="T32" i="51"/>
  <c r="U32" i="51"/>
  <c r="V32" i="51"/>
  <c r="W32" i="51"/>
  <c r="X32" i="51"/>
  <c r="Y32" i="51"/>
  <c r="Z32" i="51"/>
  <c r="AA32" i="51"/>
  <c r="AB32" i="51"/>
  <c r="AC32" i="51"/>
  <c r="AD32" i="51"/>
  <c r="AE32" i="51"/>
  <c r="AF32" i="51"/>
  <c r="AG32" i="51"/>
  <c r="AH32" i="51"/>
  <c r="AI32" i="51"/>
  <c r="AJ32" i="51"/>
  <c r="AK32" i="51"/>
  <c r="AL32" i="51"/>
  <c r="AM32" i="51"/>
  <c r="AN32" i="51"/>
  <c r="AO32" i="51"/>
  <c r="AP32" i="51"/>
  <c r="AQ32" i="51"/>
  <c r="AR32" i="51"/>
  <c r="AS32" i="51"/>
  <c r="AT32" i="51"/>
  <c r="AU32" i="51"/>
  <c r="AV32" i="51"/>
  <c r="AW32" i="51"/>
  <c r="AX32" i="51"/>
  <c r="AY32" i="51"/>
  <c r="AZ32" i="51"/>
  <c r="BA32" i="51"/>
  <c r="BB32" i="51"/>
  <c r="BC32" i="51"/>
  <c r="BD32" i="51"/>
  <c r="BE32" i="51"/>
  <c r="BF32" i="51"/>
  <c r="BG32" i="51"/>
  <c r="BH32" i="51"/>
  <c r="BI32" i="51"/>
  <c r="BJ32" i="51"/>
  <c r="BK32" i="51"/>
  <c r="BL32" i="51"/>
  <c r="BM32" i="51"/>
  <c r="BN32" i="51"/>
  <c r="BO32" i="51"/>
  <c r="BP32" i="51"/>
  <c r="BQ32" i="51"/>
  <c r="BR32" i="51"/>
  <c r="BS32" i="51"/>
  <c r="BT32" i="51"/>
  <c r="BU32" i="51"/>
  <c r="BV32" i="51"/>
  <c r="BW32" i="51"/>
  <c r="BX32" i="51"/>
  <c r="BY32" i="51"/>
  <c r="BZ32" i="51"/>
  <c r="CA32" i="51"/>
  <c r="CB32" i="51"/>
  <c r="CC32" i="51"/>
  <c r="CD32" i="51"/>
  <c r="CE32" i="51"/>
  <c r="CF32" i="51"/>
  <c r="CG32" i="51"/>
  <c r="CH32" i="51"/>
  <c r="CI32" i="51"/>
  <c r="CJ32" i="51"/>
  <c r="CK32" i="51"/>
  <c r="CL32" i="51"/>
  <c r="CM32" i="51"/>
  <c r="CN32" i="51"/>
  <c r="CO32" i="51"/>
  <c r="CP32" i="51"/>
  <c r="CQ32" i="51"/>
  <c r="CR32" i="51"/>
  <c r="CS32" i="51"/>
  <c r="CT32" i="51"/>
  <c r="CU32" i="51"/>
  <c r="CV32" i="51"/>
  <c r="CW32" i="51"/>
  <c r="CX32" i="51"/>
  <c r="CY32" i="51"/>
  <c r="CZ32" i="51"/>
  <c r="DA32" i="51"/>
  <c r="J33" i="51"/>
  <c r="K33" i="51"/>
  <c r="L33" i="51"/>
  <c r="M33" i="51"/>
  <c r="N33" i="51"/>
  <c r="O33" i="51"/>
  <c r="P33" i="51"/>
  <c r="Q33" i="51"/>
  <c r="R33" i="51"/>
  <c r="S33" i="51"/>
  <c r="T33" i="51"/>
  <c r="U33" i="51"/>
  <c r="V33" i="51"/>
  <c r="W33" i="51"/>
  <c r="X33" i="51"/>
  <c r="Y33" i="51"/>
  <c r="Z33" i="51"/>
  <c r="AA33" i="51"/>
  <c r="AB33" i="51"/>
  <c r="AC33" i="51"/>
  <c r="AD33" i="51"/>
  <c r="AE33" i="51"/>
  <c r="AF33" i="51"/>
  <c r="AG33" i="51"/>
  <c r="AH33" i="51"/>
  <c r="AI33" i="51"/>
  <c r="AJ33" i="51"/>
  <c r="AK33" i="51"/>
  <c r="AL33" i="51"/>
  <c r="AM33" i="51"/>
  <c r="AN33" i="51"/>
  <c r="AO33" i="51"/>
  <c r="AP33" i="51"/>
  <c r="AQ33" i="51"/>
  <c r="AR33" i="51"/>
  <c r="AS33" i="51"/>
  <c r="AT33" i="51"/>
  <c r="AU33" i="51"/>
  <c r="AV33" i="51"/>
  <c r="AW33" i="51"/>
  <c r="AX33" i="51"/>
  <c r="AY33" i="51"/>
  <c r="AZ33" i="51"/>
  <c r="BA33" i="51"/>
  <c r="BB33" i="51"/>
  <c r="BC33" i="51"/>
  <c r="BD33" i="51"/>
  <c r="BE33" i="51"/>
  <c r="BF33" i="51"/>
  <c r="BG33" i="51"/>
  <c r="BH33" i="51"/>
  <c r="BI33" i="51"/>
  <c r="BJ33" i="51"/>
  <c r="BK33" i="51"/>
  <c r="BL33" i="51"/>
  <c r="BM33" i="51"/>
  <c r="BN33" i="51"/>
  <c r="BO33" i="51"/>
  <c r="BP33" i="51"/>
  <c r="BQ33" i="51"/>
  <c r="BR33" i="51"/>
  <c r="BS33" i="51"/>
  <c r="BT33" i="51"/>
  <c r="BU33" i="51"/>
  <c r="BV33" i="51"/>
  <c r="BW33" i="51"/>
  <c r="BX33" i="51"/>
  <c r="BY33" i="51"/>
  <c r="BZ33" i="51"/>
  <c r="CA33" i="51"/>
  <c r="CB33" i="51"/>
  <c r="CC33" i="51"/>
  <c r="CD33" i="51"/>
  <c r="CE33" i="51"/>
  <c r="CF33" i="51"/>
  <c r="CG33" i="51"/>
  <c r="CH33" i="51"/>
  <c r="CI33" i="51"/>
  <c r="CJ33" i="51"/>
  <c r="CK33" i="51"/>
  <c r="CL33" i="51"/>
  <c r="CM33" i="51"/>
  <c r="CN33" i="51"/>
  <c r="CO33" i="51"/>
  <c r="CP33" i="51"/>
  <c r="CQ33" i="51"/>
  <c r="CR33" i="51"/>
  <c r="CS33" i="51"/>
  <c r="CT33" i="51"/>
  <c r="CU33" i="51"/>
  <c r="CV33" i="51"/>
  <c r="CW33" i="51"/>
  <c r="CX33" i="51"/>
  <c r="CY33" i="51"/>
  <c r="CZ33" i="51"/>
  <c r="DA33" i="51"/>
  <c r="J34" i="51"/>
  <c r="K34" i="51"/>
  <c r="L34" i="51"/>
  <c r="M34" i="51"/>
  <c r="N34" i="51"/>
  <c r="O34" i="51"/>
  <c r="P34" i="51"/>
  <c r="Q34" i="51"/>
  <c r="R34" i="51"/>
  <c r="S34" i="51"/>
  <c r="T34" i="51"/>
  <c r="U34" i="51"/>
  <c r="V34" i="51"/>
  <c r="W34" i="51"/>
  <c r="X34" i="51"/>
  <c r="Y34" i="51"/>
  <c r="Z34" i="51"/>
  <c r="AA34" i="51"/>
  <c r="AB34" i="51"/>
  <c r="AC34" i="51"/>
  <c r="AD34" i="51"/>
  <c r="AE34" i="51"/>
  <c r="AF34" i="51"/>
  <c r="AG34" i="51"/>
  <c r="AH34" i="51"/>
  <c r="AI34" i="51"/>
  <c r="AJ34" i="51"/>
  <c r="AK34" i="51"/>
  <c r="AL34" i="51"/>
  <c r="AM34" i="51"/>
  <c r="AN34" i="51"/>
  <c r="AO34" i="51"/>
  <c r="AP34" i="51"/>
  <c r="AQ34" i="51"/>
  <c r="AR34" i="51"/>
  <c r="AS34" i="51"/>
  <c r="AT34" i="51"/>
  <c r="AU34" i="51"/>
  <c r="AV34" i="51"/>
  <c r="AW34" i="51"/>
  <c r="AX34" i="51"/>
  <c r="AY34" i="51"/>
  <c r="AZ34" i="51"/>
  <c r="BA34" i="51"/>
  <c r="BB34" i="51"/>
  <c r="BC34" i="51"/>
  <c r="BD34" i="51"/>
  <c r="BE34" i="51"/>
  <c r="BF34" i="51"/>
  <c r="BG34" i="51"/>
  <c r="BH34" i="51"/>
  <c r="BI34" i="51"/>
  <c r="BJ34" i="51"/>
  <c r="BK34" i="51"/>
  <c r="BL34" i="51"/>
  <c r="BM34" i="51"/>
  <c r="BN34" i="51"/>
  <c r="BO34" i="51"/>
  <c r="BP34" i="51"/>
  <c r="BQ34" i="51"/>
  <c r="BR34" i="51"/>
  <c r="BS34" i="51"/>
  <c r="BT34" i="51"/>
  <c r="BU34" i="51"/>
  <c r="BV34" i="51"/>
  <c r="BW34" i="51"/>
  <c r="BX34" i="51"/>
  <c r="BY34" i="51"/>
  <c r="BZ34" i="51"/>
  <c r="CA34" i="51"/>
  <c r="CB34" i="51"/>
  <c r="CC34" i="51"/>
  <c r="CD34" i="51"/>
  <c r="CE34" i="51"/>
  <c r="CF34" i="51"/>
  <c r="CG34" i="51"/>
  <c r="CH34" i="51"/>
  <c r="CI34" i="51"/>
  <c r="CJ34" i="51"/>
  <c r="CK34" i="51"/>
  <c r="CL34" i="51"/>
  <c r="CM34" i="51"/>
  <c r="CN34" i="51"/>
  <c r="CO34" i="51"/>
  <c r="CP34" i="51"/>
  <c r="CQ34" i="51"/>
  <c r="CR34" i="51"/>
  <c r="CS34" i="51"/>
  <c r="CT34" i="51"/>
  <c r="CU34" i="51"/>
  <c r="CV34" i="51"/>
  <c r="CW34" i="51"/>
  <c r="CX34" i="51"/>
  <c r="CY34" i="51"/>
  <c r="CZ34" i="51"/>
  <c r="DA34" i="51"/>
  <c r="J35" i="51"/>
  <c r="K35" i="51"/>
  <c r="L35" i="51"/>
  <c r="M35" i="51"/>
  <c r="N35" i="51"/>
  <c r="O35" i="51"/>
  <c r="P35" i="51"/>
  <c r="Q35" i="51"/>
  <c r="R35" i="51"/>
  <c r="S35" i="51"/>
  <c r="T35" i="51"/>
  <c r="U35" i="51"/>
  <c r="V35" i="51"/>
  <c r="W35" i="51"/>
  <c r="X35" i="51"/>
  <c r="Y35" i="51"/>
  <c r="Z35" i="51"/>
  <c r="AA35" i="51"/>
  <c r="AB35" i="51"/>
  <c r="AC35" i="51"/>
  <c r="AD35" i="51"/>
  <c r="AE35" i="51"/>
  <c r="AF35" i="51"/>
  <c r="AG35" i="51"/>
  <c r="AH35" i="51"/>
  <c r="AI35" i="51"/>
  <c r="AJ35" i="51"/>
  <c r="AK35" i="51"/>
  <c r="AL35" i="51"/>
  <c r="AM35" i="51"/>
  <c r="AN35" i="51"/>
  <c r="AO35" i="51"/>
  <c r="AP35" i="51"/>
  <c r="AQ35" i="51"/>
  <c r="AR35" i="51"/>
  <c r="AS35" i="51"/>
  <c r="AT35" i="51"/>
  <c r="AU35" i="51"/>
  <c r="AV35" i="51"/>
  <c r="AW35" i="51"/>
  <c r="AX35" i="51"/>
  <c r="AY35" i="51"/>
  <c r="AZ35" i="51"/>
  <c r="BA35" i="51"/>
  <c r="BB35" i="51"/>
  <c r="BC35" i="51"/>
  <c r="BD35" i="51"/>
  <c r="BE35" i="51"/>
  <c r="BF35" i="51"/>
  <c r="BG35" i="51"/>
  <c r="BH35" i="51"/>
  <c r="BI35" i="51"/>
  <c r="BJ35" i="51"/>
  <c r="BK35" i="51"/>
  <c r="BL35" i="51"/>
  <c r="BM35" i="51"/>
  <c r="BN35" i="51"/>
  <c r="BO35" i="51"/>
  <c r="BP35" i="51"/>
  <c r="BQ35" i="51"/>
  <c r="BR35" i="51"/>
  <c r="BS35" i="51"/>
  <c r="BT35" i="51"/>
  <c r="BU35" i="51"/>
  <c r="BV35" i="51"/>
  <c r="BW35" i="51"/>
  <c r="BX35" i="51"/>
  <c r="BY35" i="51"/>
  <c r="BZ35" i="51"/>
  <c r="CA35" i="51"/>
  <c r="CB35" i="51"/>
  <c r="CC35" i="51"/>
  <c r="CD35" i="51"/>
  <c r="CE35" i="51"/>
  <c r="CF35" i="51"/>
  <c r="CG35" i="51"/>
  <c r="CH35" i="51"/>
  <c r="CI35" i="51"/>
  <c r="CJ35" i="51"/>
  <c r="CK35" i="51"/>
  <c r="CL35" i="51"/>
  <c r="CM35" i="51"/>
  <c r="CN35" i="51"/>
  <c r="CO35" i="51"/>
  <c r="CP35" i="51"/>
  <c r="CQ35" i="51"/>
  <c r="CR35" i="51"/>
  <c r="CS35" i="51"/>
  <c r="CT35" i="51"/>
  <c r="CU35" i="51"/>
  <c r="CV35" i="51"/>
  <c r="CW35" i="51"/>
  <c r="CX35" i="51"/>
  <c r="CY35" i="51"/>
  <c r="CZ35" i="51"/>
  <c r="DA35" i="51"/>
  <c r="J36" i="51"/>
  <c r="K36" i="51"/>
  <c r="L36" i="51"/>
  <c r="M36" i="51"/>
  <c r="N36" i="51"/>
  <c r="O36" i="51"/>
  <c r="P36" i="51"/>
  <c r="Q36" i="51"/>
  <c r="R36" i="51"/>
  <c r="S36" i="51"/>
  <c r="T36" i="51"/>
  <c r="U36" i="51"/>
  <c r="V36" i="51"/>
  <c r="W36" i="51"/>
  <c r="X36" i="51"/>
  <c r="Y36" i="51"/>
  <c r="Z36" i="51"/>
  <c r="AA36" i="51"/>
  <c r="AB36" i="51"/>
  <c r="AC36" i="51"/>
  <c r="AD36" i="51"/>
  <c r="AE36" i="51"/>
  <c r="AF36" i="51"/>
  <c r="AG36" i="51"/>
  <c r="AH36" i="51"/>
  <c r="AI36" i="51"/>
  <c r="AJ36" i="51"/>
  <c r="AK36" i="51"/>
  <c r="AL36" i="51"/>
  <c r="AM36" i="51"/>
  <c r="AN36" i="51"/>
  <c r="AO36" i="51"/>
  <c r="AP36" i="51"/>
  <c r="AQ36" i="51"/>
  <c r="AR36" i="51"/>
  <c r="AS36" i="51"/>
  <c r="AT36" i="51"/>
  <c r="AU36" i="51"/>
  <c r="AV36" i="51"/>
  <c r="AW36" i="51"/>
  <c r="AX36" i="51"/>
  <c r="AY36" i="51"/>
  <c r="AZ36" i="51"/>
  <c r="BA36" i="51"/>
  <c r="BB36" i="51"/>
  <c r="BC36" i="51"/>
  <c r="BD36" i="51"/>
  <c r="BE36" i="51"/>
  <c r="BF36" i="51"/>
  <c r="BG36" i="51"/>
  <c r="BH36" i="51"/>
  <c r="BI36" i="51"/>
  <c r="BJ36" i="51"/>
  <c r="BK36" i="51"/>
  <c r="BL36" i="51"/>
  <c r="BM36" i="51"/>
  <c r="BN36" i="51"/>
  <c r="BO36" i="51"/>
  <c r="BP36" i="51"/>
  <c r="BQ36" i="51"/>
  <c r="BR36" i="51"/>
  <c r="BS36" i="51"/>
  <c r="BT36" i="51"/>
  <c r="BU36" i="51"/>
  <c r="BV36" i="51"/>
  <c r="BW36" i="51"/>
  <c r="BX36" i="51"/>
  <c r="BY36" i="51"/>
  <c r="BZ36" i="51"/>
  <c r="CA36" i="51"/>
  <c r="CB36" i="51"/>
  <c r="CC36" i="51"/>
  <c r="CD36" i="51"/>
  <c r="CE36" i="51"/>
  <c r="CF36" i="51"/>
  <c r="CG36" i="51"/>
  <c r="CH36" i="51"/>
  <c r="CI36" i="51"/>
  <c r="CJ36" i="51"/>
  <c r="CK36" i="51"/>
  <c r="CL36" i="51"/>
  <c r="CM36" i="51"/>
  <c r="CN36" i="51"/>
  <c r="CO36" i="51"/>
  <c r="CP36" i="51"/>
  <c r="CQ36" i="51"/>
  <c r="CR36" i="51"/>
  <c r="CS36" i="51"/>
  <c r="CT36" i="51"/>
  <c r="CU36" i="51"/>
  <c r="CV36" i="51"/>
  <c r="CW36" i="51"/>
  <c r="CX36" i="51"/>
  <c r="CY36" i="51"/>
  <c r="CZ36" i="51"/>
  <c r="DA36" i="51"/>
  <c r="J37" i="51"/>
  <c r="K37" i="51"/>
  <c r="L37" i="51"/>
  <c r="M37" i="51"/>
  <c r="N37" i="51"/>
  <c r="O37" i="51"/>
  <c r="P37" i="51"/>
  <c r="Q37" i="51"/>
  <c r="R37" i="51"/>
  <c r="S37" i="51"/>
  <c r="T37" i="51"/>
  <c r="U37" i="51"/>
  <c r="V37" i="51"/>
  <c r="W37" i="51"/>
  <c r="X37" i="51"/>
  <c r="Y37" i="51"/>
  <c r="Z37" i="51"/>
  <c r="AA37" i="51"/>
  <c r="AB37" i="51"/>
  <c r="AC37" i="51"/>
  <c r="AD37" i="51"/>
  <c r="AE37" i="51"/>
  <c r="AF37" i="51"/>
  <c r="AG37" i="51"/>
  <c r="AH37" i="51"/>
  <c r="AI37" i="51"/>
  <c r="AJ37" i="51"/>
  <c r="AK37" i="51"/>
  <c r="AL37" i="51"/>
  <c r="AM37" i="51"/>
  <c r="AN37" i="51"/>
  <c r="AO37" i="51"/>
  <c r="AP37" i="51"/>
  <c r="AQ37" i="51"/>
  <c r="AR37" i="51"/>
  <c r="AS37" i="51"/>
  <c r="AT37" i="51"/>
  <c r="AU37" i="51"/>
  <c r="AV37" i="51"/>
  <c r="AW37" i="51"/>
  <c r="AX37" i="51"/>
  <c r="AY37" i="51"/>
  <c r="AZ37" i="51"/>
  <c r="BA37" i="51"/>
  <c r="BB37" i="51"/>
  <c r="BC37" i="51"/>
  <c r="BD37" i="51"/>
  <c r="BE37" i="51"/>
  <c r="BF37" i="51"/>
  <c r="BG37" i="51"/>
  <c r="BH37" i="51"/>
  <c r="BI37" i="51"/>
  <c r="BJ37" i="51"/>
  <c r="BK37" i="51"/>
  <c r="BL37" i="51"/>
  <c r="BM37" i="51"/>
  <c r="BN37" i="51"/>
  <c r="BO37" i="51"/>
  <c r="BP37" i="51"/>
  <c r="BQ37" i="51"/>
  <c r="BR37" i="51"/>
  <c r="BS37" i="51"/>
  <c r="BT37" i="51"/>
  <c r="BU37" i="51"/>
  <c r="BV37" i="51"/>
  <c r="BW37" i="51"/>
  <c r="BX37" i="51"/>
  <c r="BY37" i="51"/>
  <c r="BZ37" i="51"/>
  <c r="CA37" i="51"/>
  <c r="CB37" i="51"/>
  <c r="CC37" i="51"/>
  <c r="CD37" i="51"/>
  <c r="CE37" i="51"/>
  <c r="CF37" i="51"/>
  <c r="CG37" i="51"/>
  <c r="CH37" i="51"/>
  <c r="CI37" i="51"/>
  <c r="CJ37" i="51"/>
  <c r="CK37" i="51"/>
  <c r="CL37" i="51"/>
  <c r="CM37" i="51"/>
  <c r="CN37" i="51"/>
  <c r="CO37" i="51"/>
  <c r="CP37" i="51"/>
  <c r="CQ37" i="51"/>
  <c r="CR37" i="51"/>
  <c r="CS37" i="51"/>
  <c r="CT37" i="51"/>
  <c r="CU37" i="51"/>
  <c r="CV37" i="51"/>
  <c r="CW37" i="51"/>
  <c r="CX37" i="51"/>
  <c r="CY37" i="51"/>
  <c r="CZ37" i="51"/>
  <c r="DA37" i="51"/>
  <c r="J38" i="51"/>
  <c r="K38" i="51"/>
  <c r="L38" i="51"/>
  <c r="M38" i="51"/>
  <c r="N38" i="51"/>
  <c r="O38" i="51"/>
  <c r="P38" i="51"/>
  <c r="Q38" i="51"/>
  <c r="R38" i="51"/>
  <c r="S38" i="51"/>
  <c r="T38" i="51"/>
  <c r="U38" i="51"/>
  <c r="V38" i="51"/>
  <c r="W38" i="51"/>
  <c r="X38" i="51"/>
  <c r="Y38" i="51"/>
  <c r="Z38" i="51"/>
  <c r="AA38" i="51"/>
  <c r="AB38" i="51"/>
  <c r="AC38" i="51"/>
  <c r="AD38" i="51"/>
  <c r="AE38" i="51"/>
  <c r="AF38" i="51"/>
  <c r="AG38" i="51"/>
  <c r="AH38" i="51"/>
  <c r="AI38" i="51"/>
  <c r="AJ38" i="51"/>
  <c r="AK38" i="51"/>
  <c r="AL38" i="51"/>
  <c r="AM38" i="51"/>
  <c r="AN38" i="51"/>
  <c r="AO38" i="51"/>
  <c r="AP38" i="51"/>
  <c r="AQ38" i="51"/>
  <c r="AR38" i="51"/>
  <c r="AS38" i="51"/>
  <c r="AT38" i="51"/>
  <c r="AU38" i="51"/>
  <c r="AV38" i="51"/>
  <c r="AW38" i="51"/>
  <c r="AX38" i="51"/>
  <c r="AY38" i="51"/>
  <c r="AZ38" i="51"/>
  <c r="BA38" i="51"/>
  <c r="BB38" i="51"/>
  <c r="BC38" i="51"/>
  <c r="BD38" i="51"/>
  <c r="BE38" i="51"/>
  <c r="BF38" i="51"/>
  <c r="BG38" i="51"/>
  <c r="BH38" i="51"/>
  <c r="BI38" i="51"/>
  <c r="BJ38" i="51"/>
  <c r="BK38" i="51"/>
  <c r="BL38" i="51"/>
  <c r="BM38" i="51"/>
  <c r="BN38" i="51"/>
  <c r="BO38" i="51"/>
  <c r="BP38" i="51"/>
  <c r="BQ38" i="51"/>
  <c r="BR38" i="51"/>
  <c r="BS38" i="51"/>
  <c r="BT38" i="51"/>
  <c r="BU38" i="51"/>
  <c r="BV38" i="51"/>
  <c r="BW38" i="51"/>
  <c r="BX38" i="51"/>
  <c r="BY38" i="51"/>
  <c r="BZ38" i="51"/>
  <c r="CA38" i="51"/>
  <c r="CB38" i="51"/>
  <c r="CC38" i="51"/>
  <c r="CD38" i="51"/>
  <c r="CE38" i="51"/>
  <c r="CF38" i="51"/>
  <c r="CG38" i="51"/>
  <c r="CH38" i="51"/>
  <c r="CI38" i="51"/>
  <c r="CJ38" i="51"/>
  <c r="CK38" i="51"/>
  <c r="CL38" i="51"/>
  <c r="CM38" i="51"/>
  <c r="CN38" i="51"/>
  <c r="CO38" i="51"/>
  <c r="CP38" i="51"/>
  <c r="CQ38" i="51"/>
  <c r="CR38" i="51"/>
  <c r="CS38" i="51"/>
  <c r="CT38" i="51"/>
  <c r="CU38" i="51"/>
  <c r="CV38" i="51"/>
  <c r="CW38" i="51"/>
  <c r="CX38" i="51"/>
  <c r="CY38" i="51"/>
  <c r="CZ38" i="51"/>
  <c r="DA38" i="51"/>
  <c r="J39" i="51"/>
  <c r="K39" i="51"/>
  <c r="L39" i="51"/>
  <c r="M39" i="51"/>
  <c r="N39" i="51"/>
  <c r="O39" i="51"/>
  <c r="P39" i="51"/>
  <c r="Q39" i="51"/>
  <c r="R39" i="51"/>
  <c r="S39" i="51"/>
  <c r="T39" i="51"/>
  <c r="U39" i="51"/>
  <c r="V39" i="51"/>
  <c r="W39" i="51"/>
  <c r="X39" i="51"/>
  <c r="Y39" i="51"/>
  <c r="Z39" i="51"/>
  <c r="AA39" i="51"/>
  <c r="AB39" i="51"/>
  <c r="AC39" i="51"/>
  <c r="AD39" i="51"/>
  <c r="AE39" i="51"/>
  <c r="AF39" i="51"/>
  <c r="AG39" i="51"/>
  <c r="AH39" i="51"/>
  <c r="AI39" i="51"/>
  <c r="AJ39" i="51"/>
  <c r="AK39" i="51"/>
  <c r="AL39" i="51"/>
  <c r="AM39" i="51"/>
  <c r="AN39" i="51"/>
  <c r="AO39" i="51"/>
  <c r="AP39" i="51"/>
  <c r="AQ39" i="51"/>
  <c r="AR39" i="51"/>
  <c r="AS39" i="51"/>
  <c r="AT39" i="51"/>
  <c r="AU39" i="51"/>
  <c r="AV39" i="51"/>
  <c r="AW39" i="51"/>
  <c r="AX39" i="51"/>
  <c r="AY39" i="51"/>
  <c r="AZ39" i="51"/>
  <c r="BA39" i="51"/>
  <c r="BB39" i="51"/>
  <c r="BC39" i="51"/>
  <c r="BD39" i="51"/>
  <c r="BE39" i="51"/>
  <c r="BF39" i="51"/>
  <c r="BG39" i="51"/>
  <c r="BH39" i="51"/>
  <c r="BI39" i="51"/>
  <c r="BJ39" i="51"/>
  <c r="BK39" i="51"/>
  <c r="BL39" i="51"/>
  <c r="BM39" i="51"/>
  <c r="BN39" i="51"/>
  <c r="BO39" i="51"/>
  <c r="BP39" i="51"/>
  <c r="BQ39" i="51"/>
  <c r="BR39" i="51"/>
  <c r="BS39" i="51"/>
  <c r="BT39" i="51"/>
  <c r="BU39" i="51"/>
  <c r="BV39" i="51"/>
  <c r="BW39" i="51"/>
  <c r="BX39" i="51"/>
  <c r="BY39" i="51"/>
  <c r="BZ39" i="51"/>
  <c r="CA39" i="51"/>
  <c r="CB39" i="51"/>
  <c r="CC39" i="51"/>
  <c r="CD39" i="51"/>
  <c r="CE39" i="51"/>
  <c r="CF39" i="51"/>
  <c r="CG39" i="51"/>
  <c r="CH39" i="51"/>
  <c r="CI39" i="51"/>
  <c r="CJ39" i="51"/>
  <c r="CK39" i="51"/>
  <c r="CL39" i="51"/>
  <c r="CM39" i="51"/>
  <c r="CN39" i="51"/>
  <c r="CO39" i="51"/>
  <c r="CP39" i="51"/>
  <c r="CQ39" i="51"/>
  <c r="CR39" i="51"/>
  <c r="CS39" i="51"/>
  <c r="CT39" i="51"/>
  <c r="CU39" i="51"/>
  <c r="CV39" i="51"/>
  <c r="CW39" i="51"/>
  <c r="CX39" i="51"/>
  <c r="CY39" i="51"/>
  <c r="CZ39" i="51"/>
  <c r="DA39" i="51"/>
  <c r="J40" i="51"/>
  <c r="K40" i="51"/>
  <c r="L40" i="51"/>
  <c r="M40" i="51"/>
  <c r="N40" i="51"/>
  <c r="O40" i="51"/>
  <c r="P40" i="51"/>
  <c r="Q40" i="51"/>
  <c r="R40" i="51"/>
  <c r="T40" i="51"/>
  <c r="U40" i="51"/>
  <c r="V40" i="51"/>
  <c r="W40" i="51"/>
  <c r="X40" i="51"/>
  <c r="Y40" i="51"/>
  <c r="Z40" i="51"/>
  <c r="AA40" i="51"/>
  <c r="AB40" i="51"/>
  <c r="AC40" i="51"/>
  <c r="AD40" i="51"/>
  <c r="AE40" i="51"/>
  <c r="AF40" i="51"/>
  <c r="AG40" i="51"/>
  <c r="AH40" i="51"/>
  <c r="AI40" i="51"/>
  <c r="AJ40" i="51"/>
  <c r="AK40" i="51"/>
  <c r="AL40" i="51"/>
  <c r="AM40" i="51"/>
  <c r="AN40" i="51"/>
  <c r="AO40" i="51"/>
  <c r="AP40" i="51"/>
  <c r="AQ40" i="51"/>
  <c r="AR40" i="51"/>
  <c r="AS40" i="51"/>
  <c r="AT40" i="51"/>
  <c r="AU40" i="51"/>
  <c r="AV40" i="51"/>
  <c r="AW40" i="51"/>
  <c r="AY40" i="51"/>
  <c r="AZ40" i="51"/>
  <c r="BA40" i="51"/>
  <c r="BB40" i="51"/>
  <c r="BC40" i="51"/>
  <c r="BD40" i="51"/>
  <c r="BE40" i="51"/>
  <c r="BF40" i="51"/>
  <c r="BG40" i="51"/>
  <c r="BH40" i="51"/>
  <c r="BI40" i="51"/>
  <c r="BJ40" i="51"/>
  <c r="BK40" i="51"/>
  <c r="BL40" i="51"/>
  <c r="BM40" i="51"/>
  <c r="BN40" i="51"/>
  <c r="BO40" i="51"/>
  <c r="BP40" i="51"/>
  <c r="BQ40" i="51"/>
  <c r="BR40" i="51"/>
  <c r="BS40" i="51"/>
  <c r="BT40" i="51"/>
  <c r="BU40" i="51"/>
  <c r="BV40" i="51"/>
  <c r="BW40" i="51"/>
  <c r="BX40" i="51"/>
  <c r="BY40" i="51"/>
  <c r="BZ40" i="51"/>
  <c r="CA40" i="51"/>
  <c r="CB40" i="51"/>
  <c r="CC40" i="51"/>
  <c r="CD40" i="51"/>
  <c r="CE40" i="51"/>
  <c r="CF40" i="51"/>
  <c r="CG40" i="51"/>
  <c r="CH40" i="51"/>
  <c r="CI40" i="51"/>
  <c r="CJ40" i="51"/>
  <c r="CK40" i="51"/>
  <c r="CL40" i="51"/>
  <c r="CM40" i="51"/>
  <c r="CN40" i="51"/>
  <c r="CO40" i="51"/>
  <c r="CP40" i="51"/>
  <c r="CQ40" i="51"/>
  <c r="CR40" i="51"/>
  <c r="CS40" i="51"/>
  <c r="CT40" i="51"/>
  <c r="CU40" i="51"/>
  <c r="CV40" i="51"/>
  <c r="CW40" i="51"/>
  <c r="CX40" i="51"/>
  <c r="CY40" i="51"/>
  <c r="CZ40" i="51"/>
  <c r="DA40" i="51"/>
  <c r="J41" i="51"/>
  <c r="K41" i="51"/>
  <c r="L41" i="51"/>
  <c r="M41" i="51"/>
  <c r="N41" i="51"/>
  <c r="O41" i="51"/>
  <c r="P41" i="51"/>
  <c r="Q41" i="51"/>
  <c r="R41" i="51"/>
  <c r="S41" i="51"/>
  <c r="T41" i="51"/>
  <c r="U41" i="51"/>
  <c r="V41" i="51"/>
  <c r="W41" i="51"/>
  <c r="X41" i="51"/>
  <c r="Y41" i="51"/>
  <c r="Z41" i="51"/>
  <c r="AA41" i="51"/>
  <c r="AB41" i="51"/>
  <c r="AC41" i="51"/>
  <c r="AD41" i="51"/>
  <c r="AE41" i="51"/>
  <c r="AF41" i="51"/>
  <c r="AG41" i="51"/>
  <c r="AH41" i="51"/>
  <c r="AI41" i="51"/>
  <c r="AJ41" i="51"/>
  <c r="AK41" i="51"/>
  <c r="AL41" i="51"/>
  <c r="AM41" i="51"/>
  <c r="AN41" i="51"/>
  <c r="AO41" i="51"/>
  <c r="AP41" i="51"/>
  <c r="AQ41" i="51"/>
  <c r="AR41" i="51"/>
  <c r="AS41" i="51"/>
  <c r="AT41" i="51"/>
  <c r="AU41" i="51"/>
  <c r="AV41" i="51"/>
  <c r="AW41" i="51"/>
  <c r="AX41" i="51"/>
  <c r="AY41" i="51"/>
  <c r="AZ41" i="51"/>
  <c r="BA41" i="51"/>
  <c r="BB41" i="51"/>
  <c r="BC41" i="51"/>
  <c r="BD41" i="51"/>
  <c r="BE41" i="51"/>
  <c r="BF41" i="51"/>
  <c r="BG41" i="51"/>
  <c r="BH41" i="51"/>
  <c r="BI41" i="51"/>
  <c r="BJ41" i="51"/>
  <c r="BK41" i="51"/>
  <c r="BL41" i="51"/>
  <c r="BM41" i="51"/>
  <c r="BN41" i="51"/>
  <c r="BO41" i="51"/>
  <c r="BP41" i="51"/>
  <c r="BQ41" i="51"/>
  <c r="BR41" i="51"/>
  <c r="BS41" i="51"/>
  <c r="BT41" i="51"/>
  <c r="BU41" i="51"/>
  <c r="BV41" i="51"/>
  <c r="BW41" i="51"/>
  <c r="BX41" i="51"/>
  <c r="BY41" i="51"/>
  <c r="BZ41" i="51"/>
  <c r="CA41" i="51"/>
  <c r="CB41" i="51"/>
  <c r="CC41" i="51"/>
  <c r="CD41" i="51"/>
  <c r="CE41" i="51"/>
  <c r="CF41" i="51"/>
  <c r="CG41" i="51"/>
  <c r="CH41" i="51"/>
  <c r="CI41" i="51"/>
  <c r="CJ41" i="51"/>
  <c r="CK41" i="51"/>
  <c r="CL41" i="51"/>
  <c r="CN41" i="51"/>
  <c r="CO41" i="51"/>
  <c r="CP41" i="51"/>
  <c r="CQ41" i="51"/>
  <c r="CR41" i="51"/>
  <c r="CS41" i="51"/>
  <c r="CT41" i="51"/>
  <c r="CU41" i="51"/>
  <c r="CV41" i="51"/>
  <c r="CW41" i="51"/>
  <c r="CX41" i="51"/>
  <c r="CY41" i="51"/>
  <c r="DA41" i="51"/>
  <c r="J42" i="51"/>
  <c r="K42" i="51"/>
  <c r="L42" i="51"/>
  <c r="M42" i="51"/>
  <c r="N42" i="51"/>
  <c r="O42" i="51"/>
  <c r="P42" i="51"/>
  <c r="Q42" i="51"/>
  <c r="R42" i="51"/>
  <c r="S42" i="51"/>
  <c r="T42" i="51"/>
  <c r="U42" i="51"/>
  <c r="V42" i="51"/>
  <c r="W42" i="51"/>
  <c r="X42" i="51"/>
  <c r="Y42" i="51"/>
  <c r="Z42" i="51"/>
  <c r="AA42" i="51"/>
  <c r="AB42" i="51"/>
  <c r="AC42" i="51"/>
  <c r="AD42" i="51"/>
  <c r="AE42" i="51"/>
  <c r="AF42" i="51"/>
  <c r="AG42" i="51"/>
  <c r="AH42" i="51"/>
  <c r="AI42" i="51"/>
  <c r="AJ42" i="51"/>
  <c r="AK42" i="51"/>
  <c r="AL42" i="51"/>
  <c r="AM42" i="51"/>
  <c r="AN42" i="51"/>
  <c r="AO42" i="51"/>
  <c r="AP42" i="51"/>
  <c r="AQ42" i="51"/>
  <c r="AR42" i="51"/>
  <c r="AS42" i="51"/>
  <c r="AT42" i="51"/>
  <c r="AU42" i="51"/>
  <c r="AV42" i="51"/>
  <c r="AW42" i="51"/>
  <c r="AX42" i="51"/>
  <c r="AY42" i="51"/>
  <c r="AZ42" i="51"/>
  <c r="BA42" i="51"/>
  <c r="BB42" i="51"/>
  <c r="BC42" i="51"/>
  <c r="BD42" i="51"/>
  <c r="BE42" i="51"/>
  <c r="BF42" i="51"/>
  <c r="BG42" i="51"/>
  <c r="BH42" i="51"/>
  <c r="BI42" i="51"/>
  <c r="BJ42" i="51"/>
  <c r="BK42" i="51"/>
  <c r="BL42" i="51"/>
  <c r="BM42" i="51"/>
  <c r="BN42" i="51"/>
  <c r="BO42" i="51"/>
  <c r="BP42" i="51"/>
  <c r="BQ42" i="51"/>
  <c r="BR42" i="51"/>
  <c r="BS42" i="51"/>
  <c r="BT42" i="51"/>
  <c r="BU42" i="51"/>
  <c r="BV42" i="51"/>
  <c r="BW42" i="51"/>
  <c r="BX42" i="51"/>
  <c r="BY42" i="51"/>
  <c r="BZ42" i="51"/>
  <c r="CA42" i="51"/>
  <c r="CB42" i="51"/>
  <c r="CC42" i="51"/>
  <c r="CD42" i="51"/>
  <c r="CE42" i="51"/>
  <c r="CF42" i="51"/>
  <c r="CG42" i="51"/>
  <c r="CH42" i="51"/>
  <c r="CI42" i="51"/>
  <c r="CJ42" i="51"/>
  <c r="CK42" i="51"/>
  <c r="CL42" i="51"/>
  <c r="CM42" i="51"/>
  <c r="CN42" i="51"/>
  <c r="CP42" i="51"/>
  <c r="CQ42" i="51"/>
  <c r="CR42" i="51"/>
  <c r="CS42" i="51"/>
  <c r="CT42" i="51"/>
  <c r="CU42" i="51"/>
  <c r="CV42" i="51"/>
  <c r="CW42" i="51"/>
  <c r="CX42" i="51"/>
  <c r="CY42" i="51"/>
  <c r="DA42" i="51"/>
  <c r="J43" i="51"/>
  <c r="K43" i="51"/>
  <c r="L43" i="51"/>
  <c r="M43" i="51"/>
  <c r="N43" i="51"/>
  <c r="O43" i="51"/>
  <c r="P43" i="51"/>
  <c r="Q43" i="51"/>
  <c r="R43" i="51"/>
  <c r="S43" i="51"/>
  <c r="T43" i="51"/>
  <c r="U43" i="51"/>
  <c r="V43" i="51"/>
  <c r="W43" i="51"/>
  <c r="X43" i="51"/>
  <c r="Y43" i="51"/>
  <c r="Z43" i="51"/>
  <c r="AA43" i="51"/>
  <c r="AB43" i="51"/>
  <c r="AC43" i="51"/>
  <c r="AD43" i="51"/>
  <c r="AE43" i="51"/>
  <c r="AF43" i="51"/>
  <c r="AG43" i="51"/>
  <c r="AH43" i="51"/>
  <c r="AI43" i="51"/>
  <c r="AJ43" i="51"/>
  <c r="AK43" i="51"/>
  <c r="AL43" i="51"/>
  <c r="AM43" i="51"/>
  <c r="AN43" i="51"/>
  <c r="AO43" i="51"/>
  <c r="AP43" i="51"/>
  <c r="AQ43" i="51"/>
  <c r="AR43" i="51"/>
  <c r="AS43" i="51"/>
  <c r="AT43" i="51"/>
  <c r="AU43" i="51"/>
  <c r="AV43" i="51"/>
  <c r="AW43" i="51"/>
  <c r="AX43" i="51"/>
  <c r="AY43" i="51"/>
  <c r="AZ43" i="51"/>
  <c r="BA43" i="51"/>
  <c r="BB43" i="51"/>
  <c r="BC43" i="51"/>
  <c r="BD43" i="51"/>
  <c r="BE43" i="51"/>
  <c r="BF43" i="51"/>
  <c r="BG43" i="51"/>
  <c r="BH43" i="51"/>
  <c r="BI43" i="51"/>
  <c r="BJ43" i="51"/>
  <c r="BK43" i="51"/>
  <c r="BL43" i="51"/>
  <c r="BM43" i="51"/>
  <c r="BN43" i="51"/>
  <c r="BO43" i="51"/>
  <c r="BP43" i="51"/>
  <c r="BQ43" i="51"/>
  <c r="BR43" i="51"/>
  <c r="BS43" i="51"/>
  <c r="BT43" i="51"/>
  <c r="BU43" i="51"/>
  <c r="BV43" i="51"/>
  <c r="BW43" i="51"/>
  <c r="BX43" i="51"/>
  <c r="BY43" i="51"/>
  <c r="BZ43" i="51"/>
  <c r="CA43" i="51"/>
  <c r="CB43" i="51"/>
  <c r="CC43" i="51"/>
  <c r="CD43" i="51"/>
  <c r="CE43" i="51"/>
  <c r="CF43" i="51"/>
  <c r="CG43" i="51"/>
  <c r="CH43" i="51"/>
  <c r="CI43" i="51"/>
  <c r="CJ43" i="51"/>
  <c r="CK43" i="51"/>
  <c r="CL43" i="51"/>
  <c r="CM43" i="51"/>
  <c r="CN43" i="51"/>
  <c r="CO43" i="51"/>
  <c r="CP43" i="51"/>
  <c r="CR43" i="51"/>
  <c r="CS43" i="51"/>
  <c r="CT43" i="51"/>
  <c r="CU43" i="51"/>
  <c r="CV43" i="51"/>
  <c r="CW43" i="51"/>
  <c r="CX43" i="51"/>
  <c r="CY43" i="51"/>
  <c r="DA43" i="51"/>
  <c r="J44" i="51"/>
  <c r="K44" i="51"/>
  <c r="L44" i="51"/>
  <c r="M44" i="51"/>
  <c r="N44" i="51"/>
  <c r="O44" i="51"/>
  <c r="P44" i="51"/>
  <c r="Q44" i="51"/>
  <c r="R44" i="51"/>
  <c r="S44" i="51"/>
  <c r="T44" i="51"/>
  <c r="U44" i="51"/>
  <c r="V44" i="51"/>
  <c r="W44" i="51"/>
  <c r="X44" i="51"/>
  <c r="Y44" i="51"/>
  <c r="Z44" i="51"/>
  <c r="AA44" i="51"/>
  <c r="AB44" i="51"/>
  <c r="AC44" i="51"/>
  <c r="AD44" i="51"/>
  <c r="AE44" i="51"/>
  <c r="AF44" i="51"/>
  <c r="AG44" i="51"/>
  <c r="AH44" i="51"/>
  <c r="AI44" i="51"/>
  <c r="AJ44" i="51"/>
  <c r="AK44" i="51"/>
  <c r="AL44" i="51"/>
  <c r="AM44" i="51"/>
  <c r="AN44" i="51"/>
  <c r="AO44" i="51"/>
  <c r="AP44" i="51"/>
  <c r="AQ44" i="51"/>
  <c r="AR44" i="51"/>
  <c r="AS44" i="51"/>
  <c r="AT44" i="51"/>
  <c r="AU44" i="51"/>
  <c r="AV44" i="51"/>
  <c r="AW44" i="51"/>
  <c r="AX44" i="51"/>
  <c r="AY44" i="51"/>
  <c r="AZ44" i="51"/>
  <c r="BA44" i="51"/>
  <c r="BB44" i="51"/>
  <c r="BC44" i="51"/>
  <c r="BD44" i="51"/>
  <c r="BE44" i="51"/>
  <c r="BF44" i="51"/>
  <c r="BG44" i="51"/>
  <c r="BH44" i="51"/>
  <c r="BI44" i="51"/>
  <c r="BJ44" i="51"/>
  <c r="BK44" i="51"/>
  <c r="BL44" i="51"/>
  <c r="BM44" i="51"/>
  <c r="BN44" i="51"/>
  <c r="BO44" i="51"/>
  <c r="BP44" i="51"/>
  <c r="BQ44" i="51"/>
  <c r="BR44" i="51"/>
  <c r="BS44" i="51"/>
  <c r="BT44" i="51"/>
  <c r="BU44" i="51"/>
  <c r="BV44" i="51"/>
  <c r="BW44" i="51"/>
  <c r="BX44" i="51"/>
  <c r="BY44" i="51"/>
  <c r="BZ44" i="51"/>
  <c r="CA44" i="51"/>
  <c r="CB44" i="51"/>
  <c r="CC44" i="51"/>
  <c r="CD44" i="51"/>
  <c r="CE44" i="51"/>
  <c r="CF44" i="51"/>
  <c r="CG44" i="51"/>
  <c r="CH44" i="51"/>
  <c r="CI44" i="51"/>
  <c r="CJ44" i="51"/>
  <c r="CK44" i="51"/>
  <c r="CL44" i="51"/>
  <c r="CM44" i="51"/>
  <c r="CN44" i="51"/>
  <c r="CO44" i="51"/>
  <c r="CP44" i="51"/>
  <c r="CQ44" i="51"/>
  <c r="CR44" i="51"/>
  <c r="CT44" i="51"/>
  <c r="CU44" i="51"/>
  <c r="CV44" i="51"/>
  <c r="CW44" i="51"/>
  <c r="CX44" i="51"/>
  <c r="CY44" i="51"/>
  <c r="DA44" i="51"/>
  <c r="J45" i="51"/>
  <c r="K45" i="51"/>
  <c r="L45" i="51"/>
  <c r="M45" i="51"/>
  <c r="N45" i="51"/>
  <c r="O45" i="51"/>
  <c r="P45" i="51"/>
  <c r="Q45" i="51"/>
  <c r="R45" i="51"/>
  <c r="S45" i="51"/>
  <c r="T45" i="51"/>
  <c r="U45" i="51"/>
  <c r="V45" i="51"/>
  <c r="W45" i="51"/>
  <c r="X45" i="51"/>
  <c r="Y45" i="51"/>
  <c r="Z45" i="51"/>
  <c r="AA45" i="51"/>
  <c r="AB45" i="51"/>
  <c r="AC45" i="51"/>
  <c r="AD45" i="51"/>
  <c r="AE45" i="51"/>
  <c r="AF45" i="51"/>
  <c r="AG45" i="51"/>
  <c r="AH45" i="51"/>
  <c r="AI45" i="51"/>
  <c r="AJ45" i="51"/>
  <c r="AK45" i="51"/>
  <c r="AL45" i="51"/>
  <c r="AM45" i="51"/>
  <c r="AN45" i="51"/>
  <c r="AO45" i="51"/>
  <c r="AP45" i="51"/>
  <c r="AQ45" i="51"/>
  <c r="AR45" i="51"/>
  <c r="AS45" i="51"/>
  <c r="AT45" i="51"/>
  <c r="AU45" i="51"/>
  <c r="AV45" i="51"/>
  <c r="AW45" i="51"/>
  <c r="AX45" i="51"/>
  <c r="AY45" i="51"/>
  <c r="AZ45" i="51"/>
  <c r="BA45" i="51"/>
  <c r="BB45" i="51"/>
  <c r="BC45" i="51"/>
  <c r="BD45" i="51"/>
  <c r="BE45" i="51"/>
  <c r="BF45" i="51"/>
  <c r="BG45" i="51"/>
  <c r="BH45" i="51"/>
  <c r="BI45" i="51"/>
  <c r="BJ45" i="51"/>
  <c r="BK45" i="51"/>
  <c r="BL45" i="51"/>
  <c r="BM45" i="51"/>
  <c r="BN45" i="51"/>
  <c r="BO45" i="51"/>
  <c r="BP45" i="51"/>
  <c r="BQ45" i="51"/>
  <c r="BR45" i="51"/>
  <c r="BS45" i="51"/>
  <c r="BT45" i="51"/>
  <c r="BU45" i="51"/>
  <c r="BV45" i="51"/>
  <c r="BW45" i="51"/>
  <c r="BX45" i="51"/>
  <c r="BY45" i="51"/>
  <c r="BZ45" i="51"/>
  <c r="CA45" i="51"/>
  <c r="CB45" i="51"/>
  <c r="CC45" i="51"/>
  <c r="CD45" i="51"/>
  <c r="CE45" i="51"/>
  <c r="CF45" i="51"/>
  <c r="CG45" i="51"/>
  <c r="CH45" i="51"/>
  <c r="CI45" i="51"/>
  <c r="CJ45" i="51"/>
  <c r="CK45" i="51"/>
  <c r="CL45" i="51"/>
  <c r="CM45" i="51"/>
  <c r="CN45" i="51"/>
  <c r="CO45" i="51"/>
  <c r="CP45" i="51"/>
  <c r="CQ45" i="51"/>
  <c r="CR45" i="51"/>
  <c r="CS45" i="51"/>
  <c r="CT45" i="51"/>
  <c r="CU45" i="51"/>
  <c r="CV45" i="51"/>
  <c r="CW45" i="51"/>
  <c r="CX45" i="51"/>
  <c r="CY45" i="51"/>
  <c r="CZ45" i="51"/>
  <c r="DA45" i="51"/>
  <c r="J46" i="51"/>
  <c r="K46" i="51"/>
  <c r="L46" i="51"/>
  <c r="M46" i="51"/>
  <c r="N46" i="51"/>
  <c r="O46" i="51"/>
  <c r="P46" i="51"/>
  <c r="Q46" i="51"/>
  <c r="R46" i="51"/>
  <c r="S46" i="51"/>
  <c r="T46" i="51"/>
  <c r="U46" i="51"/>
  <c r="V46" i="51"/>
  <c r="W46" i="51"/>
  <c r="X46" i="51"/>
  <c r="Y46" i="51"/>
  <c r="Z46" i="51"/>
  <c r="AA46" i="51"/>
  <c r="AB46" i="51"/>
  <c r="AC46" i="51"/>
  <c r="AD46" i="51"/>
  <c r="AE46" i="51"/>
  <c r="AF46" i="51"/>
  <c r="AG46" i="51"/>
  <c r="AH46" i="51"/>
  <c r="AI46" i="51"/>
  <c r="AJ46" i="51"/>
  <c r="AK46" i="51"/>
  <c r="AL46" i="51"/>
  <c r="AM46" i="51"/>
  <c r="AN46" i="51"/>
  <c r="AO46" i="51"/>
  <c r="AP46" i="51"/>
  <c r="AQ46" i="51"/>
  <c r="AR46" i="51"/>
  <c r="AS46" i="51"/>
  <c r="AT46" i="51"/>
  <c r="AU46" i="51"/>
  <c r="AV46" i="51"/>
  <c r="AW46" i="51"/>
  <c r="AX46" i="51"/>
  <c r="AY46" i="51"/>
  <c r="AZ46" i="51"/>
  <c r="BA46" i="51"/>
  <c r="BB46" i="51"/>
  <c r="BC46" i="51"/>
  <c r="BD46" i="51"/>
  <c r="BE46" i="51"/>
  <c r="BF46" i="51"/>
  <c r="BG46" i="51"/>
  <c r="BH46" i="51"/>
  <c r="BI46" i="51"/>
  <c r="BJ46" i="51"/>
  <c r="BK46" i="51"/>
  <c r="BL46" i="51"/>
  <c r="BM46" i="51"/>
  <c r="BN46" i="51"/>
  <c r="BO46" i="51"/>
  <c r="BP46" i="51"/>
  <c r="BQ46" i="51"/>
  <c r="BR46" i="51"/>
  <c r="BS46" i="51"/>
  <c r="BT46" i="51"/>
  <c r="BU46" i="51"/>
  <c r="BV46" i="51"/>
  <c r="BW46" i="51"/>
  <c r="BX46" i="51"/>
  <c r="BY46" i="51"/>
  <c r="BZ46" i="51"/>
  <c r="CA46" i="51"/>
  <c r="CB46" i="51"/>
  <c r="CC46" i="51"/>
  <c r="CD46" i="51"/>
  <c r="CE46" i="51"/>
  <c r="CF46" i="51"/>
  <c r="CG46" i="51"/>
  <c r="CI46" i="51"/>
  <c r="CJ46" i="51"/>
  <c r="CK46" i="51"/>
  <c r="CL46" i="51"/>
  <c r="CM46" i="51"/>
  <c r="CN46" i="51"/>
  <c r="CO46" i="51"/>
  <c r="CP46" i="51"/>
  <c r="CQ46" i="51"/>
  <c r="CR46" i="51"/>
  <c r="CS46" i="51"/>
  <c r="CT46" i="51"/>
  <c r="CU46" i="51"/>
  <c r="CV46" i="51"/>
  <c r="CW46" i="51"/>
  <c r="CX46" i="51"/>
  <c r="CY46" i="51"/>
  <c r="CZ46" i="51"/>
  <c r="J47" i="51"/>
  <c r="K47" i="51"/>
  <c r="L47" i="51"/>
  <c r="M47" i="51"/>
  <c r="N47" i="51"/>
  <c r="O47" i="51"/>
  <c r="P47" i="51"/>
  <c r="Q47" i="51"/>
  <c r="R47" i="51"/>
  <c r="S47" i="51"/>
  <c r="T47" i="51"/>
  <c r="U47" i="51"/>
  <c r="V47" i="51"/>
  <c r="W47" i="51"/>
  <c r="X47" i="51"/>
  <c r="Y47" i="51"/>
  <c r="Z47" i="51"/>
  <c r="AA47" i="51"/>
  <c r="AB47" i="51"/>
  <c r="AC47" i="51"/>
  <c r="AD47" i="51"/>
  <c r="AE47" i="51"/>
  <c r="AF47" i="51"/>
  <c r="AG47" i="51"/>
  <c r="AH47" i="51"/>
  <c r="AI47" i="51"/>
  <c r="AJ47" i="51"/>
  <c r="AK47" i="51"/>
  <c r="AL47" i="51"/>
  <c r="AM47" i="51"/>
  <c r="AN47" i="51"/>
  <c r="AO47" i="51"/>
  <c r="AP47" i="51"/>
  <c r="AQ47" i="51"/>
  <c r="AR47" i="51"/>
  <c r="AS47" i="51"/>
  <c r="AT47" i="51"/>
  <c r="AU47" i="51"/>
  <c r="AV47" i="51"/>
  <c r="AW47" i="51"/>
  <c r="AX47" i="51"/>
  <c r="AY47" i="51"/>
  <c r="AZ47" i="51"/>
  <c r="BA47" i="51"/>
  <c r="BB47" i="51"/>
  <c r="BC47" i="51"/>
  <c r="BD47" i="51"/>
  <c r="BE47" i="51"/>
  <c r="BF47" i="51"/>
  <c r="BG47" i="51"/>
  <c r="BH47" i="51"/>
  <c r="BI47" i="51"/>
  <c r="BJ47" i="51"/>
  <c r="BK47" i="51"/>
  <c r="BL47" i="51"/>
  <c r="BM47" i="51"/>
  <c r="BN47" i="51"/>
  <c r="BO47" i="51"/>
  <c r="BP47" i="51"/>
  <c r="BQ47" i="51"/>
  <c r="BR47" i="51"/>
  <c r="BS47" i="51"/>
  <c r="BT47" i="51"/>
  <c r="BU47" i="51"/>
  <c r="BV47" i="51"/>
  <c r="BW47" i="51"/>
  <c r="BX47" i="51"/>
  <c r="BY47" i="51"/>
  <c r="BZ47" i="51"/>
  <c r="CA47" i="51"/>
  <c r="CB47" i="51"/>
  <c r="CC47" i="51"/>
  <c r="CE47" i="51"/>
  <c r="CF47" i="51"/>
  <c r="CG47" i="51"/>
  <c r="CH47" i="51"/>
  <c r="CI47" i="51"/>
  <c r="CJ47" i="51"/>
  <c r="CK47" i="51"/>
  <c r="CL47" i="51"/>
  <c r="CM47" i="51"/>
  <c r="CN47" i="51"/>
  <c r="CO47" i="51"/>
  <c r="CP47" i="51"/>
  <c r="CQ47" i="51"/>
  <c r="CR47" i="51"/>
  <c r="CS47" i="51"/>
  <c r="CT47" i="51"/>
  <c r="CU47" i="51"/>
  <c r="CV47" i="51"/>
  <c r="CW47" i="51"/>
  <c r="CX47" i="51"/>
  <c r="CY47" i="51"/>
  <c r="CZ47" i="51"/>
  <c r="J48" i="51"/>
  <c r="K48" i="51"/>
  <c r="L48" i="51"/>
  <c r="M48" i="51"/>
  <c r="N48" i="51"/>
  <c r="O48" i="51"/>
  <c r="P48" i="51"/>
  <c r="Q48" i="51"/>
  <c r="R48" i="51"/>
  <c r="S48" i="51"/>
  <c r="T48" i="51"/>
  <c r="U48" i="51"/>
  <c r="V48" i="51"/>
  <c r="W48" i="51"/>
  <c r="X48" i="51"/>
  <c r="Y48" i="51"/>
  <c r="Z48" i="51"/>
  <c r="AA48" i="51"/>
  <c r="AB48" i="51"/>
  <c r="AC48" i="51"/>
  <c r="AD48" i="51"/>
  <c r="AE48" i="51"/>
  <c r="AF48" i="51"/>
  <c r="AG48" i="51"/>
  <c r="AH48" i="51"/>
  <c r="AI48" i="51"/>
  <c r="AJ48" i="51"/>
  <c r="AK48" i="51"/>
  <c r="AL48" i="51"/>
  <c r="AM48" i="51"/>
  <c r="AN48" i="51"/>
  <c r="AO48" i="51"/>
  <c r="AP48" i="51"/>
  <c r="AQ48" i="51"/>
  <c r="AR48" i="51"/>
  <c r="AS48" i="51"/>
  <c r="AT48" i="51"/>
  <c r="AU48" i="51"/>
  <c r="AV48" i="51"/>
  <c r="AW48" i="51"/>
  <c r="AX48" i="51"/>
  <c r="AY48" i="51"/>
  <c r="AZ48" i="51"/>
  <c r="BA48" i="51"/>
  <c r="BB48" i="51"/>
  <c r="BC48" i="51"/>
  <c r="BD48" i="51"/>
  <c r="BE48" i="51"/>
  <c r="BF48" i="51"/>
  <c r="BG48" i="51"/>
  <c r="BH48" i="51"/>
  <c r="BI48" i="51"/>
  <c r="BJ48" i="51"/>
  <c r="BK48" i="51"/>
  <c r="BL48" i="51"/>
  <c r="BM48" i="51"/>
  <c r="BN48" i="51"/>
  <c r="BO48" i="51"/>
  <c r="BP48" i="51"/>
  <c r="BQ48" i="51"/>
  <c r="BR48" i="51"/>
  <c r="BS48" i="51"/>
  <c r="BT48" i="51"/>
  <c r="BU48" i="51"/>
  <c r="BV48" i="51"/>
  <c r="BW48" i="51"/>
  <c r="BX48" i="51"/>
  <c r="BY48" i="51"/>
  <c r="BZ48" i="51"/>
  <c r="CA48" i="51"/>
  <c r="CB48" i="51"/>
  <c r="CC48" i="51"/>
  <c r="CD48" i="51"/>
  <c r="CE48" i="51"/>
  <c r="CG48" i="51"/>
  <c r="CH48" i="51"/>
  <c r="CI48" i="51"/>
  <c r="CJ48" i="51"/>
  <c r="CK48" i="51"/>
  <c r="CL48" i="51"/>
  <c r="CM48" i="51"/>
  <c r="CN48" i="51"/>
  <c r="CO48" i="51"/>
  <c r="CP48" i="51"/>
  <c r="CQ48" i="51"/>
  <c r="CR48" i="51"/>
  <c r="CS48" i="51"/>
  <c r="CT48" i="51"/>
  <c r="CU48" i="51"/>
  <c r="CV48" i="51"/>
  <c r="CW48" i="51"/>
  <c r="CX48" i="51"/>
  <c r="CY48" i="51"/>
  <c r="CZ48" i="51"/>
  <c r="J49" i="51"/>
  <c r="K49" i="51"/>
  <c r="L49" i="51"/>
  <c r="M49" i="51"/>
  <c r="N49" i="51"/>
  <c r="O49" i="51"/>
  <c r="P49" i="51"/>
  <c r="Q49" i="51"/>
  <c r="R49" i="51"/>
  <c r="S49" i="51"/>
  <c r="T49" i="51"/>
  <c r="U49" i="51"/>
  <c r="V49" i="51"/>
  <c r="W49" i="51"/>
  <c r="X49" i="51"/>
  <c r="Y49" i="51"/>
  <c r="Z49" i="51"/>
  <c r="AA49" i="51"/>
  <c r="AB49" i="51"/>
  <c r="AC49" i="51"/>
  <c r="AD49" i="51"/>
  <c r="AE49" i="51"/>
  <c r="AF49" i="51"/>
  <c r="AG49" i="51"/>
  <c r="AH49" i="51"/>
  <c r="AI49" i="51"/>
  <c r="AJ49" i="51"/>
  <c r="AK49" i="51"/>
  <c r="AL49" i="51"/>
  <c r="AM49" i="51"/>
  <c r="AN49" i="51"/>
  <c r="AO49" i="51"/>
  <c r="AP49" i="51"/>
  <c r="AQ49" i="51"/>
  <c r="AR49" i="51"/>
  <c r="AS49" i="51"/>
  <c r="AT49" i="51"/>
  <c r="AU49" i="51"/>
  <c r="AV49" i="51"/>
  <c r="AW49" i="51"/>
  <c r="AX49" i="51"/>
  <c r="AY49" i="51"/>
  <c r="AZ49" i="51"/>
  <c r="BA49" i="51"/>
  <c r="BB49" i="51"/>
  <c r="BC49" i="51"/>
  <c r="BD49" i="51"/>
  <c r="BE49" i="51"/>
  <c r="BF49" i="51"/>
  <c r="BG49" i="51"/>
  <c r="BH49" i="51"/>
  <c r="BI49" i="51"/>
  <c r="BJ49" i="51"/>
  <c r="BK49" i="51"/>
  <c r="BL49" i="51"/>
  <c r="BM49" i="51"/>
  <c r="BN49" i="51"/>
  <c r="BO49" i="51"/>
  <c r="BP49" i="51"/>
  <c r="BQ49" i="51"/>
  <c r="BR49" i="51"/>
  <c r="BS49" i="51"/>
  <c r="BT49" i="51"/>
  <c r="BU49" i="51"/>
  <c r="BV49" i="51"/>
  <c r="BW49" i="51"/>
  <c r="BX49" i="51"/>
  <c r="BY49" i="51"/>
  <c r="BZ49" i="51"/>
  <c r="CA49" i="51"/>
  <c r="CB49" i="51"/>
  <c r="CC49" i="51"/>
  <c r="CD49" i="51"/>
  <c r="CE49" i="51"/>
  <c r="CF49" i="51"/>
  <c r="CG49" i="51"/>
  <c r="CH49" i="51"/>
  <c r="CI49" i="51"/>
  <c r="CJ49" i="51"/>
  <c r="CK49" i="51"/>
  <c r="CL49" i="51"/>
  <c r="CM49" i="51"/>
  <c r="CN49" i="51"/>
  <c r="CO49" i="51"/>
  <c r="CP49" i="51"/>
  <c r="CQ49" i="51"/>
  <c r="CR49" i="51"/>
  <c r="CS49" i="51"/>
  <c r="CU49" i="51"/>
  <c r="CV49" i="51"/>
  <c r="CW49" i="51"/>
  <c r="CX49" i="51"/>
  <c r="CY49" i="51"/>
  <c r="CZ49" i="51"/>
  <c r="J50" i="51"/>
  <c r="K50" i="51"/>
  <c r="L50" i="51"/>
  <c r="M50" i="51"/>
  <c r="N50" i="51"/>
  <c r="O50" i="51"/>
  <c r="P50" i="51"/>
  <c r="Q50" i="51"/>
  <c r="R50" i="51"/>
  <c r="S50" i="51"/>
  <c r="T50" i="51"/>
  <c r="U50" i="51"/>
  <c r="V50" i="51"/>
  <c r="W50" i="51"/>
  <c r="X50" i="51"/>
  <c r="Y50" i="51"/>
  <c r="Z50" i="51"/>
  <c r="AA50" i="51"/>
  <c r="AB50" i="51"/>
  <c r="AC50" i="51"/>
  <c r="AD50" i="51"/>
  <c r="AE50" i="51"/>
  <c r="AF50" i="51"/>
  <c r="AG50" i="51"/>
  <c r="AH50" i="51"/>
  <c r="AI50" i="51"/>
  <c r="AJ50" i="51"/>
  <c r="AK50" i="51"/>
  <c r="AL50" i="51"/>
  <c r="AM50" i="51"/>
  <c r="AN50" i="51"/>
  <c r="AO50" i="51"/>
  <c r="AP50" i="51"/>
  <c r="AQ50" i="51"/>
  <c r="AR50" i="51"/>
  <c r="AS50" i="51"/>
  <c r="AT50" i="51"/>
  <c r="AU50" i="51"/>
  <c r="AV50" i="51"/>
  <c r="AW50" i="51"/>
  <c r="AX50" i="51"/>
  <c r="AY50" i="51"/>
  <c r="AZ50" i="51"/>
  <c r="BA50" i="51"/>
  <c r="BB50" i="51"/>
  <c r="BC50" i="51"/>
  <c r="BD50" i="51"/>
  <c r="BE50" i="51"/>
  <c r="BF50" i="51"/>
  <c r="BG50" i="51"/>
  <c r="BH50" i="51"/>
  <c r="BI50" i="51"/>
  <c r="BJ50" i="51"/>
  <c r="BK50" i="51"/>
  <c r="BL50" i="51"/>
  <c r="BM50" i="51"/>
  <c r="BN50" i="51"/>
  <c r="BO50" i="51"/>
  <c r="BP50" i="51"/>
  <c r="BQ50" i="51"/>
  <c r="BR50" i="51"/>
  <c r="BS50" i="51"/>
  <c r="BT50" i="51"/>
  <c r="BU50" i="51"/>
  <c r="BV50" i="51"/>
  <c r="BW50" i="51"/>
  <c r="BX50" i="51"/>
  <c r="BY50" i="51"/>
  <c r="BZ50" i="51"/>
  <c r="CA50" i="51"/>
  <c r="CB50" i="51"/>
  <c r="CC50" i="51"/>
  <c r="CD50" i="51"/>
  <c r="CE50" i="51"/>
  <c r="CF50" i="51"/>
  <c r="CG50" i="51"/>
  <c r="CH50" i="51"/>
  <c r="CI50" i="51"/>
  <c r="CJ50" i="51"/>
  <c r="CK50" i="51"/>
  <c r="CL50" i="51"/>
  <c r="CM50" i="51"/>
  <c r="CN50" i="51"/>
  <c r="CO50" i="51"/>
  <c r="CP50" i="51"/>
  <c r="CQ50" i="51"/>
  <c r="CR50" i="51"/>
  <c r="CS50" i="51"/>
  <c r="CT50" i="51"/>
  <c r="CU50" i="51"/>
  <c r="CV50" i="51"/>
  <c r="CX50" i="51"/>
  <c r="CY50" i="51"/>
  <c r="DA50" i="51"/>
  <c r="J51" i="51"/>
  <c r="K51" i="51"/>
  <c r="L51" i="51"/>
  <c r="M51" i="51"/>
  <c r="N51" i="51"/>
  <c r="O51" i="51"/>
  <c r="P51" i="51"/>
  <c r="Q51" i="51"/>
  <c r="R51" i="51"/>
  <c r="S51" i="51"/>
  <c r="T51" i="51"/>
  <c r="U51" i="51"/>
  <c r="V51" i="51"/>
  <c r="W51" i="51"/>
  <c r="X51" i="51"/>
  <c r="Y51" i="51"/>
  <c r="Z51" i="51"/>
  <c r="AA51" i="51"/>
  <c r="AB51" i="51"/>
  <c r="AC51" i="51"/>
  <c r="AD51" i="51"/>
  <c r="AE51" i="51"/>
  <c r="AF51" i="51"/>
  <c r="AG51" i="51"/>
  <c r="AH51" i="51"/>
  <c r="AI51" i="51"/>
  <c r="AJ51" i="51"/>
  <c r="AK51" i="51"/>
  <c r="AL51" i="51"/>
  <c r="AM51" i="51"/>
  <c r="AN51" i="51"/>
  <c r="AO51" i="51"/>
  <c r="AP51" i="51"/>
  <c r="AQ51" i="51"/>
  <c r="AR51" i="51"/>
  <c r="AS51" i="51"/>
  <c r="AT51" i="51"/>
  <c r="AU51" i="51"/>
  <c r="AV51" i="51"/>
  <c r="AW51" i="51"/>
  <c r="AX51" i="51"/>
  <c r="AY51" i="51"/>
  <c r="AZ51" i="51"/>
  <c r="BA51" i="51"/>
  <c r="BB51" i="51"/>
  <c r="BC51" i="51"/>
  <c r="BD51" i="51"/>
  <c r="BE51" i="51"/>
  <c r="BF51" i="51"/>
  <c r="BG51" i="51"/>
  <c r="BH51" i="51"/>
  <c r="BI51" i="51"/>
  <c r="BJ51" i="51"/>
  <c r="BK51" i="51"/>
  <c r="BL51" i="51"/>
  <c r="BM51" i="51"/>
  <c r="BN51" i="51"/>
  <c r="BO51" i="51"/>
  <c r="BP51" i="51"/>
  <c r="BQ51" i="51"/>
  <c r="BR51" i="51"/>
  <c r="BS51" i="51"/>
  <c r="BT51" i="51"/>
  <c r="BU51" i="51"/>
  <c r="BV51" i="51"/>
  <c r="BW51" i="51"/>
  <c r="BX51" i="51"/>
  <c r="BY51" i="51"/>
  <c r="BZ51" i="51"/>
  <c r="CA51" i="51"/>
  <c r="CB51" i="51"/>
  <c r="CC51" i="51"/>
  <c r="CD51" i="51"/>
  <c r="CE51" i="51"/>
  <c r="CF51" i="51"/>
  <c r="CG51" i="51"/>
  <c r="CH51" i="51"/>
  <c r="CI51" i="51"/>
  <c r="CJ51" i="51"/>
  <c r="CK51" i="51"/>
  <c r="CL51" i="51"/>
  <c r="CM51" i="51"/>
  <c r="CN51" i="51"/>
  <c r="CO51" i="51"/>
  <c r="CP51" i="51"/>
  <c r="CQ51" i="51"/>
  <c r="CR51" i="51"/>
  <c r="CS51" i="51"/>
  <c r="CT51" i="51"/>
  <c r="CU51" i="51"/>
  <c r="CV51" i="51"/>
  <c r="CW51" i="51"/>
  <c r="CX51" i="51"/>
  <c r="CY51" i="51"/>
  <c r="CZ51" i="51"/>
  <c r="DA51" i="51"/>
  <c r="A10" i="51" a="1"/>
  <c r="A10" i="51" s="1"/>
  <c r="J12" i="50"/>
  <c r="K12" i="50"/>
  <c r="L12" i="50"/>
  <c r="M12" i="50"/>
  <c r="N12" i="50"/>
  <c r="O12" i="50"/>
  <c r="P12" i="50"/>
  <c r="Q12" i="50"/>
  <c r="R12" i="50"/>
  <c r="S12" i="50"/>
  <c r="T12" i="50"/>
  <c r="U12" i="50"/>
  <c r="V12" i="50"/>
  <c r="W12" i="50"/>
  <c r="X12" i="50"/>
  <c r="Y12" i="50"/>
  <c r="Z12" i="50"/>
  <c r="AA12" i="50"/>
  <c r="AB12" i="50"/>
  <c r="AC12" i="50"/>
  <c r="AD12" i="50"/>
  <c r="AE12" i="50"/>
  <c r="AF12" i="50"/>
  <c r="AG12" i="50"/>
  <c r="AH12" i="50"/>
  <c r="AI12" i="50"/>
  <c r="AJ12" i="50"/>
  <c r="AK12" i="50"/>
  <c r="AL12" i="50"/>
  <c r="AM12" i="50"/>
  <c r="AN12" i="50"/>
  <c r="AO12" i="50"/>
  <c r="AP12" i="50"/>
  <c r="AQ12" i="50"/>
  <c r="AR12" i="50"/>
  <c r="AS12" i="50"/>
  <c r="AT12" i="50"/>
  <c r="AU12" i="50"/>
  <c r="AV12" i="50"/>
  <c r="AW12" i="50"/>
  <c r="AX12" i="50"/>
  <c r="AY12" i="50"/>
  <c r="AZ12" i="50"/>
  <c r="BA12" i="50"/>
  <c r="BB12" i="50"/>
  <c r="BC12" i="50"/>
  <c r="BD12" i="50"/>
  <c r="BE12" i="50"/>
  <c r="BF12" i="50"/>
  <c r="BG12" i="50"/>
  <c r="BH12" i="50"/>
  <c r="BI12" i="50"/>
  <c r="BJ12" i="50"/>
  <c r="BK12" i="50"/>
  <c r="BL12" i="50"/>
  <c r="BM12" i="50"/>
  <c r="BN12" i="50"/>
  <c r="BO12" i="50"/>
  <c r="BP12" i="50"/>
  <c r="BQ12" i="50"/>
  <c r="BR12" i="50"/>
  <c r="BS12" i="50"/>
  <c r="BT12" i="50"/>
  <c r="BU12" i="50"/>
  <c r="BV12" i="50"/>
  <c r="BW12" i="50"/>
  <c r="BX12" i="50"/>
  <c r="BY12" i="50"/>
  <c r="BZ12" i="50"/>
  <c r="CA12" i="50"/>
  <c r="CB12" i="50"/>
  <c r="CC12" i="50"/>
  <c r="CD12" i="50"/>
  <c r="CE12" i="50"/>
  <c r="CF12" i="50"/>
  <c r="CG12" i="50"/>
  <c r="CH12" i="50"/>
  <c r="CI12" i="50"/>
  <c r="CJ12" i="50"/>
  <c r="CK12" i="50"/>
  <c r="CL12" i="50"/>
  <c r="CM12" i="50"/>
  <c r="CN12" i="50"/>
  <c r="CO12" i="50"/>
  <c r="CP12" i="50"/>
  <c r="CQ12" i="50"/>
  <c r="CR12" i="50"/>
  <c r="CS12" i="50"/>
  <c r="CT12" i="50"/>
  <c r="CU12" i="50"/>
  <c r="CV12" i="50"/>
  <c r="CW12" i="50"/>
  <c r="CX12" i="50"/>
  <c r="CY12" i="50"/>
  <c r="CZ12" i="50"/>
  <c r="DA12" i="50"/>
  <c r="J13" i="50"/>
  <c r="K13" i="50"/>
  <c r="L13" i="50"/>
  <c r="M13" i="50"/>
  <c r="N13" i="50"/>
  <c r="O13" i="50"/>
  <c r="P13" i="50"/>
  <c r="Q13" i="50"/>
  <c r="R13" i="50"/>
  <c r="S13" i="50"/>
  <c r="T13" i="50"/>
  <c r="U13" i="50"/>
  <c r="V13" i="50"/>
  <c r="W13" i="50"/>
  <c r="X13" i="50"/>
  <c r="Y13" i="50"/>
  <c r="Z13" i="50"/>
  <c r="AA13" i="50"/>
  <c r="AB13" i="50"/>
  <c r="AC13" i="50"/>
  <c r="AD13" i="50"/>
  <c r="AE13" i="50"/>
  <c r="AF13" i="50"/>
  <c r="AG13" i="50"/>
  <c r="AH13" i="50"/>
  <c r="AI13" i="50"/>
  <c r="AJ13" i="50"/>
  <c r="AK13" i="50"/>
  <c r="AL13" i="50"/>
  <c r="AM13" i="50"/>
  <c r="AN13" i="50"/>
  <c r="AO13" i="50"/>
  <c r="AP13" i="50"/>
  <c r="AQ13" i="50"/>
  <c r="AR13" i="50"/>
  <c r="AS13" i="50"/>
  <c r="AT13" i="50"/>
  <c r="AU13" i="50"/>
  <c r="AV13" i="50"/>
  <c r="AW13" i="50"/>
  <c r="AX13" i="50"/>
  <c r="AY13" i="50"/>
  <c r="AZ13" i="50"/>
  <c r="BA13" i="50"/>
  <c r="BB13" i="50"/>
  <c r="BC13" i="50"/>
  <c r="BD13" i="50"/>
  <c r="BE13" i="50"/>
  <c r="BF13" i="50"/>
  <c r="BG13" i="50"/>
  <c r="BH13" i="50"/>
  <c r="BI13" i="50"/>
  <c r="BJ13" i="50"/>
  <c r="BK13" i="50"/>
  <c r="BL13" i="50"/>
  <c r="BM13" i="50"/>
  <c r="BN13" i="50"/>
  <c r="BO13" i="50"/>
  <c r="BP13" i="50"/>
  <c r="BQ13" i="50"/>
  <c r="BR13" i="50"/>
  <c r="BS13" i="50"/>
  <c r="BT13" i="50"/>
  <c r="BU13" i="50"/>
  <c r="BV13" i="50"/>
  <c r="BW13" i="50"/>
  <c r="BX13" i="50"/>
  <c r="BY13" i="50"/>
  <c r="BZ13" i="50"/>
  <c r="CA13" i="50"/>
  <c r="CB13" i="50"/>
  <c r="CC13" i="50"/>
  <c r="CD13" i="50"/>
  <c r="CE13" i="50"/>
  <c r="CF13" i="50"/>
  <c r="CG13" i="50"/>
  <c r="CH13" i="50"/>
  <c r="CI13" i="50"/>
  <c r="CJ13" i="50"/>
  <c r="CK13" i="50"/>
  <c r="CL13" i="50"/>
  <c r="CM13" i="50"/>
  <c r="CN13" i="50"/>
  <c r="CO13" i="50"/>
  <c r="CP13" i="50"/>
  <c r="CQ13" i="50"/>
  <c r="CR13" i="50"/>
  <c r="CS13" i="50"/>
  <c r="CT13" i="50"/>
  <c r="CU13" i="50"/>
  <c r="CV13" i="50"/>
  <c r="CW13" i="50"/>
  <c r="CX13" i="50"/>
  <c r="CY13" i="50"/>
  <c r="CZ13" i="50"/>
  <c r="DA13" i="50"/>
  <c r="J14" i="50"/>
  <c r="K14" i="50"/>
  <c r="L14" i="50"/>
  <c r="M14" i="50"/>
  <c r="N14" i="50"/>
  <c r="O14" i="50"/>
  <c r="P14" i="50"/>
  <c r="Q14" i="50"/>
  <c r="R14" i="50"/>
  <c r="S14" i="50"/>
  <c r="T14" i="50"/>
  <c r="U14" i="50"/>
  <c r="V14" i="50"/>
  <c r="W14" i="50"/>
  <c r="X14" i="50"/>
  <c r="Y14" i="50"/>
  <c r="Z14" i="50"/>
  <c r="AA14" i="50"/>
  <c r="AB14" i="50"/>
  <c r="AC14" i="50"/>
  <c r="AD14" i="50"/>
  <c r="AE14" i="50"/>
  <c r="AF14" i="50"/>
  <c r="AG14" i="50"/>
  <c r="AH14" i="50"/>
  <c r="AI14" i="50"/>
  <c r="AJ14" i="50"/>
  <c r="AK14" i="50"/>
  <c r="AL14" i="50"/>
  <c r="AM14" i="50"/>
  <c r="AN14" i="50"/>
  <c r="AO14" i="50"/>
  <c r="AP14" i="50"/>
  <c r="AQ14" i="50"/>
  <c r="AR14" i="50"/>
  <c r="AS14" i="50"/>
  <c r="AT14" i="50"/>
  <c r="AU14" i="50"/>
  <c r="AV14" i="50"/>
  <c r="AW14" i="50"/>
  <c r="AX14" i="50"/>
  <c r="AY14" i="50"/>
  <c r="AZ14" i="50"/>
  <c r="BA14" i="50"/>
  <c r="BB14" i="50"/>
  <c r="BC14" i="50"/>
  <c r="BD14" i="50"/>
  <c r="BE14" i="50"/>
  <c r="BF14" i="50"/>
  <c r="BG14" i="50"/>
  <c r="BH14" i="50"/>
  <c r="BI14" i="50"/>
  <c r="BJ14" i="50"/>
  <c r="BK14" i="50"/>
  <c r="BL14" i="50"/>
  <c r="BM14" i="50"/>
  <c r="BN14" i="50"/>
  <c r="BO14" i="50"/>
  <c r="BP14" i="50"/>
  <c r="BQ14" i="50"/>
  <c r="BR14" i="50"/>
  <c r="BS14" i="50"/>
  <c r="BT14" i="50"/>
  <c r="BU14" i="50"/>
  <c r="BV14" i="50"/>
  <c r="BW14" i="50"/>
  <c r="BX14" i="50"/>
  <c r="BY14" i="50"/>
  <c r="BZ14" i="50"/>
  <c r="CA14" i="50"/>
  <c r="CB14" i="50"/>
  <c r="CC14" i="50"/>
  <c r="CD14" i="50"/>
  <c r="CE14" i="50"/>
  <c r="CF14" i="50"/>
  <c r="CG14" i="50"/>
  <c r="CH14" i="50"/>
  <c r="CI14" i="50"/>
  <c r="CJ14" i="50"/>
  <c r="CK14" i="50"/>
  <c r="CL14" i="50"/>
  <c r="CM14" i="50"/>
  <c r="CN14" i="50"/>
  <c r="CO14" i="50"/>
  <c r="CP14" i="50"/>
  <c r="CQ14" i="50"/>
  <c r="CR14" i="50"/>
  <c r="CS14" i="50"/>
  <c r="CT14" i="50"/>
  <c r="CU14" i="50"/>
  <c r="CV14" i="50"/>
  <c r="CW14" i="50"/>
  <c r="CX14" i="50"/>
  <c r="CY14" i="50"/>
  <c r="CZ14" i="50"/>
  <c r="DA14" i="50"/>
  <c r="J15" i="50"/>
  <c r="K15" i="50"/>
  <c r="L15" i="50"/>
  <c r="M15" i="50"/>
  <c r="N15" i="50"/>
  <c r="O15" i="50"/>
  <c r="P15" i="50"/>
  <c r="Q15" i="50"/>
  <c r="R15" i="50"/>
  <c r="S15" i="50"/>
  <c r="T15" i="50"/>
  <c r="U15" i="50"/>
  <c r="V15" i="50"/>
  <c r="W15" i="50"/>
  <c r="X15" i="50"/>
  <c r="Y15" i="50"/>
  <c r="Z15" i="50"/>
  <c r="AA15" i="50"/>
  <c r="AB15" i="50"/>
  <c r="AC15" i="50"/>
  <c r="AD15" i="50"/>
  <c r="AE15" i="50"/>
  <c r="AF15" i="50"/>
  <c r="AG15" i="50"/>
  <c r="AH15" i="50"/>
  <c r="AI15" i="50"/>
  <c r="AJ15" i="50"/>
  <c r="AK15" i="50"/>
  <c r="AL15" i="50"/>
  <c r="AM15" i="50"/>
  <c r="AN15" i="50"/>
  <c r="AO15" i="50"/>
  <c r="AP15" i="50"/>
  <c r="AQ15" i="50"/>
  <c r="AR15" i="50"/>
  <c r="AS15" i="50"/>
  <c r="AT15" i="50"/>
  <c r="AU15" i="50"/>
  <c r="AV15" i="50"/>
  <c r="AW15" i="50"/>
  <c r="AX15" i="50"/>
  <c r="AY15" i="50"/>
  <c r="AZ15" i="50"/>
  <c r="BA15" i="50"/>
  <c r="BB15" i="50"/>
  <c r="BC15" i="50"/>
  <c r="BD15" i="50"/>
  <c r="BE15" i="50"/>
  <c r="BF15" i="50"/>
  <c r="BG15" i="50"/>
  <c r="BH15" i="50"/>
  <c r="BI15" i="50"/>
  <c r="BJ15" i="50"/>
  <c r="BK15" i="50"/>
  <c r="BL15" i="50"/>
  <c r="BM15" i="50"/>
  <c r="BN15" i="50"/>
  <c r="BO15" i="50"/>
  <c r="BP15" i="50"/>
  <c r="BQ15" i="50"/>
  <c r="BR15" i="50"/>
  <c r="BS15" i="50"/>
  <c r="BT15" i="50"/>
  <c r="BU15" i="50"/>
  <c r="BV15" i="50"/>
  <c r="BW15" i="50"/>
  <c r="BX15" i="50"/>
  <c r="BY15" i="50"/>
  <c r="BZ15" i="50"/>
  <c r="CA15" i="50"/>
  <c r="CB15" i="50"/>
  <c r="CC15" i="50"/>
  <c r="CD15" i="50"/>
  <c r="CE15" i="50"/>
  <c r="CF15" i="50"/>
  <c r="CG15" i="50"/>
  <c r="CH15" i="50"/>
  <c r="CI15" i="50"/>
  <c r="CJ15" i="50"/>
  <c r="CK15" i="50"/>
  <c r="CL15" i="50"/>
  <c r="CM15" i="50"/>
  <c r="CN15" i="50"/>
  <c r="CO15" i="50"/>
  <c r="CP15" i="50"/>
  <c r="CQ15" i="50"/>
  <c r="CR15" i="50"/>
  <c r="CS15" i="50"/>
  <c r="CT15" i="50"/>
  <c r="CU15" i="50"/>
  <c r="CV15" i="50"/>
  <c r="CW15" i="50"/>
  <c r="CX15" i="50"/>
  <c r="CY15" i="50"/>
  <c r="CZ15" i="50"/>
  <c r="DA15" i="50"/>
  <c r="J16" i="50"/>
  <c r="K16" i="50"/>
  <c r="L16" i="50"/>
  <c r="M16" i="50"/>
  <c r="N16" i="50"/>
  <c r="O16" i="50"/>
  <c r="P16" i="50"/>
  <c r="Q16" i="50"/>
  <c r="R16" i="50"/>
  <c r="S16" i="50"/>
  <c r="T16" i="50"/>
  <c r="U16" i="50"/>
  <c r="V16" i="50"/>
  <c r="W16" i="50"/>
  <c r="X16" i="50"/>
  <c r="Y16" i="50"/>
  <c r="Z16" i="50"/>
  <c r="AA16" i="50"/>
  <c r="AB16" i="50"/>
  <c r="AC16" i="50"/>
  <c r="AD16" i="50"/>
  <c r="AE16" i="50"/>
  <c r="AF16" i="50"/>
  <c r="AG16" i="50"/>
  <c r="AH16" i="50"/>
  <c r="AI16" i="50"/>
  <c r="AJ16" i="50"/>
  <c r="AK16" i="50"/>
  <c r="AL16" i="50"/>
  <c r="AM16" i="50"/>
  <c r="AN16" i="50"/>
  <c r="AO16" i="50"/>
  <c r="AP16" i="50"/>
  <c r="AQ16" i="50"/>
  <c r="AR16" i="50"/>
  <c r="AS16" i="50"/>
  <c r="AT16" i="50"/>
  <c r="AU16" i="50"/>
  <c r="AV16" i="50"/>
  <c r="AW16" i="50"/>
  <c r="AX16" i="50"/>
  <c r="AY16" i="50"/>
  <c r="AZ16" i="50"/>
  <c r="BA16" i="50"/>
  <c r="BB16" i="50"/>
  <c r="BC16" i="50"/>
  <c r="BD16" i="50"/>
  <c r="BE16" i="50"/>
  <c r="BF16" i="50"/>
  <c r="BG16" i="50"/>
  <c r="BH16" i="50"/>
  <c r="BI16" i="50"/>
  <c r="BJ16" i="50"/>
  <c r="BK16" i="50"/>
  <c r="BL16" i="50"/>
  <c r="BM16" i="50"/>
  <c r="BN16" i="50"/>
  <c r="BO16" i="50"/>
  <c r="BP16" i="50"/>
  <c r="BQ16" i="50"/>
  <c r="BR16" i="50"/>
  <c r="BS16" i="50"/>
  <c r="BT16" i="50"/>
  <c r="BU16" i="50"/>
  <c r="BV16" i="50"/>
  <c r="BW16" i="50"/>
  <c r="BX16" i="50"/>
  <c r="BY16" i="50"/>
  <c r="BZ16" i="50"/>
  <c r="CA16" i="50"/>
  <c r="CB16" i="50"/>
  <c r="CC16" i="50"/>
  <c r="CD16" i="50"/>
  <c r="CE16" i="50"/>
  <c r="CF16" i="50"/>
  <c r="CG16" i="50"/>
  <c r="CH16" i="50"/>
  <c r="CI16" i="50"/>
  <c r="CJ16" i="50"/>
  <c r="CK16" i="50"/>
  <c r="CL16" i="50"/>
  <c r="CM16" i="50"/>
  <c r="CN16" i="50"/>
  <c r="CO16" i="50"/>
  <c r="CP16" i="50"/>
  <c r="CQ16" i="50"/>
  <c r="CR16" i="50"/>
  <c r="CS16" i="50"/>
  <c r="CT16" i="50"/>
  <c r="CU16" i="50"/>
  <c r="CV16" i="50"/>
  <c r="CW16" i="50"/>
  <c r="CX16" i="50"/>
  <c r="CY16" i="50"/>
  <c r="CZ16" i="50"/>
  <c r="DA16" i="50"/>
  <c r="J17" i="50"/>
  <c r="K17" i="50"/>
  <c r="L17" i="50"/>
  <c r="M17" i="50"/>
  <c r="N17" i="50"/>
  <c r="O17" i="50"/>
  <c r="P17" i="50"/>
  <c r="Q17" i="50"/>
  <c r="R17" i="50"/>
  <c r="S17" i="50"/>
  <c r="T17" i="50"/>
  <c r="U17" i="50"/>
  <c r="V17" i="50"/>
  <c r="W17" i="50"/>
  <c r="X17" i="50"/>
  <c r="Y17" i="50"/>
  <c r="Z17" i="50"/>
  <c r="AA17" i="50"/>
  <c r="AB17" i="50"/>
  <c r="AC17" i="50"/>
  <c r="AD17" i="50"/>
  <c r="AE17" i="50"/>
  <c r="AF17" i="50"/>
  <c r="AG17" i="50"/>
  <c r="AH17" i="50"/>
  <c r="AI17" i="50"/>
  <c r="AJ17" i="50"/>
  <c r="AK17" i="50"/>
  <c r="AL17" i="50"/>
  <c r="AM17" i="50"/>
  <c r="AN17" i="50"/>
  <c r="AO17" i="50"/>
  <c r="AP17" i="50"/>
  <c r="AQ17" i="50"/>
  <c r="AR17" i="50"/>
  <c r="AS17" i="50"/>
  <c r="AT17" i="50"/>
  <c r="AU17" i="50"/>
  <c r="AV17" i="50"/>
  <c r="AW17" i="50"/>
  <c r="AX17" i="50"/>
  <c r="AY17" i="50"/>
  <c r="AZ17" i="50"/>
  <c r="BA17" i="50"/>
  <c r="BB17" i="50"/>
  <c r="BC17" i="50"/>
  <c r="BD17" i="50"/>
  <c r="BE17" i="50"/>
  <c r="BF17" i="50"/>
  <c r="BG17" i="50"/>
  <c r="BH17" i="50"/>
  <c r="BI17" i="50"/>
  <c r="BJ17" i="50"/>
  <c r="BK17" i="50"/>
  <c r="BL17" i="50"/>
  <c r="BM17" i="50"/>
  <c r="BN17" i="50"/>
  <c r="BO17" i="50"/>
  <c r="BP17" i="50"/>
  <c r="BQ17" i="50"/>
  <c r="BR17" i="50"/>
  <c r="BS17" i="50"/>
  <c r="BT17" i="50"/>
  <c r="BU17" i="50"/>
  <c r="BV17" i="50"/>
  <c r="BW17" i="50"/>
  <c r="BX17" i="50"/>
  <c r="BY17" i="50"/>
  <c r="BZ17" i="50"/>
  <c r="CA17" i="50"/>
  <c r="CB17" i="50"/>
  <c r="CC17" i="50"/>
  <c r="CD17" i="50"/>
  <c r="CE17" i="50"/>
  <c r="CF17" i="50"/>
  <c r="CG17" i="50"/>
  <c r="CH17" i="50"/>
  <c r="CI17" i="50"/>
  <c r="CJ17" i="50"/>
  <c r="CK17" i="50"/>
  <c r="CL17" i="50"/>
  <c r="CM17" i="50"/>
  <c r="CN17" i="50"/>
  <c r="CO17" i="50"/>
  <c r="CP17" i="50"/>
  <c r="CQ17" i="50"/>
  <c r="CR17" i="50"/>
  <c r="CS17" i="50"/>
  <c r="CT17" i="50"/>
  <c r="CU17" i="50"/>
  <c r="CV17" i="50"/>
  <c r="CW17" i="50"/>
  <c r="CX17" i="50"/>
  <c r="CY17" i="50"/>
  <c r="CZ17" i="50"/>
  <c r="DA17" i="50"/>
  <c r="J18" i="50"/>
  <c r="K18" i="50"/>
  <c r="L18" i="50"/>
  <c r="M18" i="50"/>
  <c r="N18" i="50"/>
  <c r="O18" i="50"/>
  <c r="P18" i="50"/>
  <c r="Q18" i="50"/>
  <c r="R18" i="50"/>
  <c r="S18" i="50"/>
  <c r="T18" i="50"/>
  <c r="U18" i="50"/>
  <c r="V18" i="50"/>
  <c r="W18" i="50"/>
  <c r="X18" i="50"/>
  <c r="Y18" i="50"/>
  <c r="Z18" i="50"/>
  <c r="AA18" i="50"/>
  <c r="AB18" i="50"/>
  <c r="AC18" i="50"/>
  <c r="AD18" i="50"/>
  <c r="AE18" i="50"/>
  <c r="AF18" i="50"/>
  <c r="AG18" i="50"/>
  <c r="AH18" i="50"/>
  <c r="AI18" i="50"/>
  <c r="AJ18" i="50"/>
  <c r="AK18" i="50"/>
  <c r="AL18" i="50"/>
  <c r="AM18" i="50"/>
  <c r="AN18" i="50"/>
  <c r="AO18" i="50"/>
  <c r="AP18" i="50"/>
  <c r="AQ18" i="50"/>
  <c r="AR18" i="50"/>
  <c r="AS18" i="50"/>
  <c r="AT18" i="50"/>
  <c r="AU18" i="50"/>
  <c r="AV18" i="50"/>
  <c r="AW18" i="50"/>
  <c r="AX18" i="50"/>
  <c r="AY18" i="50"/>
  <c r="AZ18" i="50"/>
  <c r="BA18" i="50"/>
  <c r="BB18" i="50"/>
  <c r="BC18" i="50"/>
  <c r="BD18" i="50"/>
  <c r="BE18" i="50"/>
  <c r="BF18" i="50"/>
  <c r="BG18" i="50"/>
  <c r="BH18" i="50"/>
  <c r="BI18" i="50"/>
  <c r="BJ18" i="50"/>
  <c r="BK18" i="50"/>
  <c r="BL18" i="50"/>
  <c r="BM18" i="50"/>
  <c r="BN18" i="50"/>
  <c r="BO18" i="50"/>
  <c r="BP18" i="50"/>
  <c r="BQ18" i="50"/>
  <c r="BR18" i="50"/>
  <c r="BS18" i="50"/>
  <c r="BT18" i="50"/>
  <c r="BU18" i="50"/>
  <c r="BV18" i="50"/>
  <c r="BW18" i="50"/>
  <c r="BX18" i="50"/>
  <c r="BY18" i="50"/>
  <c r="BZ18" i="50"/>
  <c r="CA18" i="50"/>
  <c r="CB18" i="50"/>
  <c r="CC18" i="50"/>
  <c r="CD18" i="50"/>
  <c r="CE18" i="50"/>
  <c r="CF18" i="50"/>
  <c r="CG18" i="50"/>
  <c r="CH18" i="50"/>
  <c r="CI18" i="50"/>
  <c r="CJ18" i="50"/>
  <c r="CK18" i="50"/>
  <c r="CL18" i="50"/>
  <c r="CM18" i="50"/>
  <c r="CN18" i="50"/>
  <c r="CO18" i="50"/>
  <c r="CP18" i="50"/>
  <c r="CQ18" i="50"/>
  <c r="CR18" i="50"/>
  <c r="CS18" i="50"/>
  <c r="CT18" i="50"/>
  <c r="CU18" i="50"/>
  <c r="CV18" i="50"/>
  <c r="CW18" i="50"/>
  <c r="CX18" i="50"/>
  <c r="CY18" i="50"/>
  <c r="CZ18" i="50"/>
  <c r="DA18" i="50"/>
  <c r="J19" i="50"/>
  <c r="K19" i="50"/>
  <c r="L19" i="50"/>
  <c r="M19" i="50"/>
  <c r="N19" i="50"/>
  <c r="O19" i="50"/>
  <c r="P19" i="50"/>
  <c r="Q19" i="50"/>
  <c r="R19" i="50"/>
  <c r="S19" i="50"/>
  <c r="T19" i="50"/>
  <c r="U19" i="50"/>
  <c r="V19" i="50"/>
  <c r="W19" i="50"/>
  <c r="X19" i="50"/>
  <c r="Y19" i="50"/>
  <c r="Z19" i="50"/>
  <c r="AA19" i="50"/>
  <c r="AB19" i="50"/>
  <c r="AC19" i="50"/>
  <c r="AD19" i="50"/>
  <c r="AE19" i="50"/>
  <c r="AF19" i="50"/>
  <c r="AG19" i="50"/>
  <c r="AH19" i="50"/>
  <c r="AI19" i="50"/>
  <c r="AJ19" i="50"/>
  <c r="AK19" i="50"/>
  <c r="AL19" i="50"/>
  <c r="AM19" i="50"/>
  <c r="AN19" i="50"/>
  <c r="AO19" i="50"/>
  <c r="AP19" i="50"/>
  <c r="AQ19" i="50"/>
  <c r="AR19" i="50"/>
  <c r="AS19" i="50"/>
  <c r="AT19" i="50"/>
  <c r="AU19" i="50"/>
  <c r="AV19" i="50"/>
  <c r="AW19" i="50"/>
  <c r="AX19" i="50"/>
  <c r="AY19" i="50"/>
  <c r="AZ19" i="50"/>
  <c r="BA19" i="50"/>
  <c r="BB19" i="50"/>
  <c r="BC19" i="50"/>
  <c r="BD19" i="50"/>
  <c r="BE19" i="50"/>
  <c r="BF19" i="50"/>
  <c r="BG19" i="50"/>
  <c r="BH19" i="50"/>
  <c r="BI19" i="50"/>
  <c r="BJ19" i="50"/>
  <c r="BK19" i="50"/>
  <c r="BL19" i="50"/>
  <c r="BM19" i="50"/>
  <c r="BN19" i="50"/>
  <c r="BO19" i="50"/>
  <c r="BP19" i="50"/>
  <c r="BQ19" i="50"/>
  <c r="BR19" i="50"/>
  <c r="BS19" i="50"/>
  <c r="BT19" i="50"/>
  <c r="BU19" i="50"/>
  <c r="BV19" i="50"/>
  <c r="BW19" i="50"/>
  <c r="BX19" i="50"/>
  <c r="BY19" i="50"/>
  <c r="BZ19" i="50"/>
  <c r="CA19" i="50"/>
  <c r="CB19" i="50"/>
  <c r="CC19" i="50"/>
  <c r="CD19" i="50"/>
  <c r="CE19" i="50"/>
  <c r="CF19" i="50"/>
  <c r="CG19" i="50"/>
  <c r="CH19" i="50"/>
  <c r="CI19" i="50"/>
  <c r="CJ19" i="50"/>
  <c r="CK19" i="50"/>
  <c r="CL19" i="50"/>
  <c r="CM19" i="50"/>
  <c r="CN19" i="50"/>
  <c r="CO19" i="50"/>
  <c r="CP19" i="50"/>
  <c r="CQ19" i="50"/>
  <c r="CR19" i="50"/>
  <c r="CS19" i="50"/>
  <c r="CT19" i="50"/>
  <c r="CU19" i="50"/>
  <c r="CV19" i="50"/>
  <c r="CW19" i="50"/>
  <c r="CX19" i="50"/>
  <c r="CY19" i="50"/>
  <c r="CZ19" i="50"/>
  <c r="DA19" i="50"/>
  <c r="J20" i="50"/>
  <c r="K20" i="50"/>
  <c r="L20" i="50"/>
  <c r="M20" i="50"/>
  <c r="N20" i="50"/>
  <c r="O20" i="50"/>
  <c r="P20" i="50"/>
  <c r="Q20" i="50"/>
  <c r="R20" i="50"/>
  <c r="S20" i="50"/>
  <c r="T20" i="50"/>
  <c r="U20" i="50"/>
  <c r="V20" i="50"/>
  <c r="W20" i="50"/>
  <c r="X20" i="50"/>
  <c r="Y20" i="50"/>
  <c r="Z20" i="50"/>
  <c r="AA20" i="50"/>
  <c r="AB20" i="50"/>
  <c r="AC20" i="50"/>
  <c r="AD20" i="50"/>
  <c r="AE20" i="50"/>
  <c r="AF20" i="50"/>
  <c r="AG20" i="50"/>
  <c r="AH20" i="50"/>
  <c r="AI20" i="50"/>
  <c r="AJ20" i="50"/>
  <c r="AK20" i="50"/>
  <c r="AL20" i="50"/>
  <c r="AM20" i="50"/>
  <c r="AN20" i="50"/>
  <c r="AO20" i="50"/>
  <c r="AP20" i="50"/>
  <c r="AQ20" i="50"/>
  <c r="AR20" i="50"/>
  <c r="AS20" i="50"/>
  <c r="AT20" i="50"/>
  <c r="AU20" i="50"/>
  <c r="AV20" i="50"/>
  <c r="AW20" i="50"/>
  <c r="AX20" i="50"/>
  <c r="AY20" i="50"/>
  <c r="AZ20" i="50"/>
  <c r="BA20" i="50"/>
  <c r="BB20" i="50"/>
  <c r="BC20" i="50"/>
  <c r="BD20" i="50"/>
  <c r="BE20" i="50"/>
  <c r="BF20" i="50"/>
  <c r="BG20" i="50"/>
  <c r="BH20" i="50"/>
  <c r="BI20" i="50"/>
  <c r="BJ20" i="50"/>
  <c r="BK20" i="50"/>
  <c r="BL20" i="50"/>
  <c r="BM20" i="50"/>
  <c r="BN20" i="50"/>
  <c r="BO20" i="50"/>
  <c r="BP20" i="50"/>
  <c r="BQ20" i="50"/>
  <c r="BR20" i="50"/>
  <c r="BS20" i="50"/>
  <c r="BT20" i="50"/>
  <c r="BU20" i="50"/>
  <c r="BV20" i="50"/>
  <c r="BW20" i="50"/>
  <c r="BX20" i="50"/>
  <c r="BY20" i="50"/>
  <c r="BZ20" i="50"/>
  <c r="CA20" i="50"/>
  <c r="CB20" i="50"/>
  <c r="CC20" i="50"/>
  <c r="CD20" i="50"/>
  <c r="CE20" i="50"/>
  <c r="CF20" i="50"/>
  <c r="CG20" i="50"/>
  <c r="CH20" i="50"/>
  <c r="CI20" i="50"/>
  <c r="CJ20" i="50"/>
  <c r="CK20" i="50"/>
  <c r="CL20" i="50"/>
  <c r="CM20" i="50"/>
  <c r="CN20" i="50"/>
  <c r="CO20" i="50"/>
  <c r="CP20" i="50"/>
  <c r="CQ20" i="50"/>
  <c r="CR20" i="50"/>
  <c r="CS20" i="50"/>
  <c r="CT20" i="50"/>
  <c r="CU20" i="50"/>
  <c r="CV20" i="50"/>
  <c r="CW20" i="50"/>
  <c r="CX20" i="50"/>
  <c r="CY20" i="50"/>
  <c r="CZ20" i="50"/>
  <c r="DA20" i="50"/>
  <c r="J21" i="50"/>
  <c r="K21" i="50"/>
  <c r="L21" i="50"/>
  <c r="M21" i="50"/>
  <c r="N21" i="50"/>
  <c r="O21" i="50"/>
  <c r="P21" i="50"/>
  <c r="Q21" i="50"/>
  <c r="R21" i="50"/>
  <c r="S21" i="50"/>
  <c r="T21" i="50"/>
  <c r="U21" i="50"/>
  <c r="V21" i="50"/>
  <c r="W21" i="50"/>
  <c r="X21" i="50"/>
  <c r="Y21" i="50"/>
  <c r="Z21" i="50"/>
  <c r="AA21" i="50"/>
  <c r="AB21" i="50"/>
  <c r="AC21" i="50"/>
  <c r="AD21" i="50"/>
  <c r="AE21" i="50"/>
  <c r="AF21" i="50"/>
  <c r="AG21" i="50"/>
  <c r="AH21" i="50"/>
  <c r="AI21" i="50"/>
  <c r="AJ21" i="50"/>
  <c r="AK21" i="50"/>
  <c r="AL21" i="50"/>
  <c r="AM21" i="50"/>
  <c r="AN21" i="50"/>
  <c r="AO21" i="50"/>
  <c r="AP21" i="50"/>
  <c r="AQ21" i="50"/>
  <c r="AR21" i="50"/>
  <c r="AS21" i="50"/>
  <c r="AT21" i="50"/>
  <c r="AU21" i="50"/>
  <c r="AV21" i="50"/>
  <c r="AW21" i="50"/>
  <c r="AX21" i="50"/>
  <c r="AY21" i="50"/>
  <c r="AZ21" i="50"/>
  <c r="BA21" i="50"/>
  <c r="BB21" i="50"/>
  <c r="BC21" i="50"/>
  <c r="BD21" i="50"/>
  <c r="BE21" i="50"/>
  <c r="BF21" i="50"/>
  <c r="BG21" i="50"/>
  <c r="BH21" i="50"/>
  <c r="BI21" i="50"/>
  <c r="BJ21" i="50"/>
  <c r="BK21" i="50"/>
  <c r="BL21" i="50"/>
  <c r="BM21" i="50"/>
  <c r="BN21" i="50"/>
  <c r="BO21" i="50"/>
  <c r="BP21" i="50"/>
  <c r="BQ21" i="50"/>
  <c r="BR21" i="50"/>
  <c r="BS21" i="50"/>
  <c r="BT21" i="50"/>
  <c r="BU21" i="50"/>
  <c r="BV21" i="50"/>
  <c r="BW21" i="50"/>
  <c r="BX21" i="50"/>
  <c r="BY21" i="50"/>
  <c r="BZ21" i="50"/>
  <c r="CA21" i="50"/>
  <c r="CB21" i="50"/>
  <c r="CC21" i="50"/>
  <c r="CD21" i="50"/>
  <c r="CE21" i="50"/>
  <c r="CF21" i="50"/>
  <c r="CG21" i="50"/>
  <c r="CH21" i="50"/>
  <c r="CI21" i="50"/>
  <c r="CJ21" i="50"/>
  <c r="CK21" i="50"/>
  <c r="CL21" i="50"/>
  <c r="CM21" i="50"/>
  <c r="CN21" i="50"/>
  <c r="CO21" i="50"/>
  <c r="CP21" i="50"/>
  <c r="CQ21" i="50"/>
  <c r="CR21" i="50"/>
  <c r="CS21" i="50"/>
  <c r="CT21" i="50"/>
  <c r="CU21" i="50"/>
  <c r="CV21" i="50"/>
  <c r="CW21" i="50"/>
  <c r="CX21" i="50"/>
  <c r="CY21" i="50"/>
  <c r="CZ21" i="50"/>
  <c r="DA21" i="50"/>
  <c r="J22" i="50"/>
  <c r="K22" i="50"/>
  <c r="L22" i="50"/>
  <c r="M22" i="50"/>
  <c r="N22" i="50"/>
  <c r="O22" i="50"/>
  <c r="P22" i="50"/>
  <c r="Q22" i="50"/>
  <c r="R22" i="50"/>
  <c r="S22" i="50"/>
  <c r="T22" i="50"/>
  <c r="U22" i="50"/>
  <c r="V22" i="50"/>
  <c r="W22" i="50"/>
  <c r="X22" i="50"/>
  <c r="Y22" i="50"/>
  <c r="Z22" i="50"/>
  <c r="AA22" i="50"/>
  <c r="AB22" i="50"/>
  <c r="AC22" i="50"/>
  <c r="AD22" i="50"/>
  <c r="AE22" i="50"/>
  <c r="AF22" i="50"/>
  <c r="AG22" i="50"/>
  <c r="AH22" i="50"/>
  <c r="AI22" i="50"/>
  <c r="AJ22" i="50"/>
  <c r="AK22" i="50"/>
  <c r="AL22" i="50"/>
  <c r="AM22" i="50"/>
  <c r="AN22" i="50"/>
  <c r="AO22" i="50"/>
  <c r="AP22" i="50"/>
  <c r="AQ22" i="50"/>
  <c r="AR22" i="50"/>
  <c r="AS22" i="50"/>
  <c r="AT22" i="50"/>
  <c r="AU22" i="50"/>
  <c r="AV22" i="50"/>
  <c r="AW22" i="50"/>
  <c r="AX22" i="50"/>
  <c r="AY22" i="50"/>
  <c r="AZ22" i="50"/>
  <c r="BA22" i="50"/>
  <c r="BB22" i="50"/>
  <c r="BC22" i="50"/>
  <c r="BD22" i="50"/>
  <c r="BE22" i="50"/>
  <c r="BF22" i="50"/>
  <c r="BG22" i="50"/>
  <c r="BH22" i="50"/>
  <c r="BI22" i="50"/>
  <c r="BJ22" i="50"/>
  <c r="BK22" i="50"/>
  <c r="BL22" i="50"/>
  <c r="BM22" i="50"/>
  <c r="BN22" i="50"/>
  <c r="BO22" i="50"/>
  <c r="BP22" i="50"/>
  <c r="BQ22" i="50"/>
  <c r="BR22" i="50"/>
  <c r="BS22" i="50"/>
  <c r="BT22" i="50"/>
  <c r="BU22" i="50"/>
  <c r="BV22" i="50"/>
  <c r="BW22" i="50"/>
  <c r="BX22" i="50"/>
  <c r="BY22" i="50"/>
  <c r="BZ22" i="50"/>
  <c r="CA22" i="50"/>
  <c r="CB22" i="50"/>
  <c r="CC22" i="50"/>
  <c r="CD22" i="50"/>
  <c r="CE22" i="50"/>
  <c r="CF22" i="50"/>
  <c r="CG22" i="50"/>
  <c r="CH22" i="50"/>
  <c r="CI22" i="50"/>
  <c r="CJ22" i="50"/>
  <c r="CK22" i="50"/>
  <c r="CL22" i="50"/>
  <c r="CM22" i="50"/>
  <c r="CN22" i="50"/>
  <c r="CO22" i="50"/>
  <c r="CP22" i="50"/>
  <c r="CQ22" i="50"/>
  <c r="CR22" i="50"/>
  <c r="CS22" i="50"/>
  <c r="CT22" i="50"/>
  <c r="CU22" i="50"/>
  <c r="CV22" i="50"/>
  <c r="CW22" i="50"/>
  <c r="CX22" i="50"/>
  <c r="CY22" i="50"/>
  <c r="CZ22" i="50"/>
  <c r="DA22" i="50"/>
  <c r="J23" i="50"/>
  <c r="K23" i="50"/>
  <c r="L23" i="50"/>
  <c r="M23" i="50"/>
  <c r="N23" i="50"/>
  <c r="O23" i="50"/>
  <c r="P23" i="50"/>
  <c r="Q23" i="50"/>
  <c r="R23" i="50"/>
  <c r="S23" i="50"/>
  <c r="T23" i="50"/>
  <c r="U23" i="50"/>
  <c r="V23" i="50"/>
  <c r="W23" i="50"/>
  <c r="X23" i="50"/>
  <c r="Y23" i="50"/>
  <c r="Z23" i="50"/>
  <c r="AA23" i="50"/>
  <c r="AB23" i="50"/>
  <c r="AC23" i="50"/>
  <c r="AD23" i="50"/>
  <c r="AE23" i="50"/>
  <c r="AF23" i="50"/>
  <c r="AG23" i="50"/>
  <c r="AH23" i="50"/>
  <c r="AI23" i="50"/>
  <c r="AJ23" i="50"/>
  <c r="AK23" i="50"/>
  <c r="AL23" i="50"/>
  <c r="AM23" i="50"/>
  <c r="AN23" i="50"/>
  <c r="AO23" i="50"/>
  <c r="AP23" i="50"/>
  <c r="AQ23" i="50"/>
  <c r="AR23" i="50"/>
  <c r="AS23" i="50"/>
  <c r="AT23" i="50"/>
  <c r="AU23" i="50"/>
  <c r="AV23" i="50"/>
  <c r="AW23" i="50"/>
  <c r="AX23" i="50"/>
  <c r="AY23" i="50"/>
  <c r="AZ23" i="50"/>
  <c r="BA23" i="50"/>
  <c r="BB23" i="50"/>
  <c r="BC23" i="50"/>
  <c r="BD23" i="50"/>
  <c r="BE23" i="50"/>
  <c r="BF23" i="50"/>
  <c r="BG23" i="50"/>
  <c r="BH23" i="50"/>
  <c r="BI23" i="50"/>
  <c r="BJ23" i="50"/>
  <c r="BK23" i="50"/>
  <c r="BL23" i="50"/>
  <c r="BM23" i="50"/>
  <c r="BN23" i="50"/>
  <c r="BO23" i="50"/>
  <c r="BP23" i="50"/>
  <c r="BQ23" i="50"/>
  <c r="BR23" i="50"/>
  <c r="BS23" i="50"/>
  <c r="BT23" i="50"/>
  <c r="BU23" i="50"/>
  <c r="BV23" i="50"/>
  <c r="BW23" i="50"/>
  <c r="BX23" i="50"/>
  <c r="BY23" i="50"/>
  <c r="BZ23" i="50"/>
  <c r="CA23" i="50"/>
  <c r="CB23" i="50"/>
  <c r="CC23" i="50"/>
  <c r="CD23" i="50"/>
  <c r="CE23" i="50"/>
  <c r="CF23" i="50"/>
  <c r="CG23" i="50"/>
  <c r="CH23" i="50"/>
  <c r="CI23" i="50"/>
  <c r="CJ23" i="50"/>
  <c r="CK23" i="50"/>
  <c r="CL23" i="50"/>
  <c r="CM23" i="50"/>
  <c r="CN23" i="50"/>
  <c r="CO23" i="50"/>
  <c r="CP23" i="50"/>
  <c r="CQ23" i="50"/>
  <c r="CR23" i="50"/>
  <c r="CS23" i="50"/>
  <c r="CT23" i="50"/>
  <c r="CU23" i="50"/>
  <c r="CV23" i="50"/>
  <c r="CW23" i="50"/>
  <c r="CX23" i="50"/>
  <c r="CY23" i="50"/>
  <c r="CZ23" i="50"/>
  <c r="DA23" i="50"/>
  <c r="J24" i="50"/>
  <c r="K24" i="50"/>
  <c r="L24" i="50"/>
  <c r="M24" i="50"/>
  <c r="N24" i="50"/>
  <c r="O24" i="50"/>
  <c r="P24" i="50"/>
  <c r="Q24" i="50"/>
  <c r="R24" i="50"/>
  <c r="S24" i="50"/>
  <c r="T24" i="50"/>
  <c r="U24" i="50"/>
  <c r="V24" i="50"/>
  <c r="W24" i="50"/>
  <c r="X24" i="50"/>
  <c r="Y24" i="50"/>
  <c r="Z24" i="50"/>
  <c r="AA24" i="50"/>
  <c r="AB24" i="50"/>
  <c r="AC24" i="50"/>
  <c r="AD24" i="50"/>
  <c r="AE24" i="50"/>
  <c r="AF24" i="50"/>
  <c r="AG24" i="50"/>
  <c r="AH24" i="50"/>
  <c r="AI24" i="50"/>
  <c r="AJ24" i="50"/>
  <c r="AK24" i="50"/>
  <c r="AL24" i="50"/>
  <c r="AM24" i="50"/>
  <c r="AN24" i="50"/>
  <c r="AO24" i="50"/>
  <c r="AP24" i="50"/>
  <c r="AQ24" i="50"/>
  <c r="AR24" i="50"/>
  <c r="AS24" i="50"/>
  <c r="AT24" i="50"/>
  <c r="AU24" i="50"/>
  <c r="AV24" i="50"/>
  <c r="AW24" i="50"/>
  <c r="AX24" i="50"/>
  <c r="AY24" i="50"/>
  <c r="AZ24" i="50"/>
  <c r="BA24" i="50"/>
  <c r="BB24" i="50"/>
  <c r="BC24" i="50"/>
  <c r="BD24" i="50"/>
  <c r="BE24" i="50"/>
  <c r="BF24" i="50"/>
  <c r="BG24" i="50"/>
  <c r="BH24" i="50"/>
  <c r="BI24" i="50"/>
  <c r="BJ24" i="50"/>
  <c r="BK24" i="50"/>
  <c r="BL24" i="50"/>
  <c r="BM24" i="50"/>
  <c r="BN24" i="50"/>
  <c r="BO24" i="50"/>
  <c r="BP24" i="50"/>
  <c r="BQ24" i="50"/>
  <c r="BR24" i="50"/>
  <c r="BS24" i="50"/>
  <c r="BT24" i="50"/>
  <c r="BU24" i="50"/>
  <c r="BV24" i="50"/>
  <c r="BW24" i="50"/>
  <c r="BX24" i="50"/>
  <c r="BY24" i="50"/>
  <c r="BZ24" i="50"/>
  <c r="CA24" i="50"/>
  <c r="CB24" i="50"/>
  <c r="CC24" i="50"/>
  <c r="CD24" i="50"/>
  <c r="CE24" i="50"/>
  <c r="CF24" i="50"/>
  <c r="CG24" i="50"/>
  <c r="CH24" i="50"/>
  <c r="CI24" i="50"/>
  <c r="CJ24" i="50"/>
  <c r="CK24" i="50"/>
  <c r="CL24" i="50"/>
  <c r="CM24" i="50"/>
  <c r="CN24" i="50"/>
  <c r="CO24" i="50"/>
  <c r="CP24" i="50"/>
  <c r="CQ24" i="50"/>
  <c r="CR24" i="50"/>
  <c r="CS24" i="50"/>
  <c r="CT24" i="50"/>
  <c r="CU24" i="50"/>
  <c r="CV24" i="50"/>
  <c r="CW24" i="50"/>
  <c r="CX24" i="50"/>
  <c r="CY24" i="50"/>
  <c r="CZ24" i="50"/>
  <c r="DA24" i="50"/>
  <c r="J25" i="50"/>
  <c r="K25" i="50"/>
  <c r="L25" i="50"/>
  <c r="M25" i="50"/>
  <c r="N25" i="50"/>
  <c r="O25" i="50"/>
  <c r="P25" i="50"/>
  <c r="Q25" i="50"/>
  <c r="R25" i="50"/>
  <c r="S25" i="50"/>
  <c r="T25" i="50"/>
  <c r="U25" i="50"/>
  <c r="V25" i="50"/>
  <c r="W25" i="50"/>
  <c r="X25" i="50"/>
  <c r="Y25" i="50"/>
  <c r="Z25" i="50"/>
  <c r="AA25" i="50"/>
  <c r="AB25" i="50"/>
  <c r="AC25" i="50"/>
  <c r="AD25" i="50"/>
  <c r="AE25" i="50"/>
  <c r="AF25" i="50"/>
  <c r="AG25" i="50"/>
  <c r="AH25" i="50"/>
  <c r="AI25" i="50"/>
  <c r="AJ25" i="50"/>
  <c r="AK25" i="50"/>
  <c r="AL25" i="50"/>
  <c r="AM25" i="50"/>
  <c r="AN25" i="50"/>
  <c r="AO25" i="50"/>
  <c r="AP25" i="50"/>
  <c r="AQ25" i="50"/>
  <c r="AR25" i="50"/>
  <c r="AS25" i="50"/>
  <c r="AT25" i="50"/>
  <c r="AU25" i="50"/>
  <c r="AV25" i="50"/>
  <c r="AW25" i="50"/>
  <c r="AX25" i="50"/>
  <c r="AY25" i="50"/>
  <c r="AZ25" i="50"/>
  <c r="BA25" i="50"/>
  <c r="BB25" i="50"/>
  <c r="BC25" i="50"/>
  <c r="BD25" i="50"/>
  <c r="BE25" i="50"/>
  <c r="BF25" i="50"/>
  <c r="BG25" i="50"/>
  <c r="BH25" i="50"/>
  <c r="BI25" i="50"/>
  <c r="BJ25" i="50"/>
  <c r="BK25" i="50"/>
  <c r="BL25" i="50"/>
  <c r="BM25" i="50"/>
  <c r="BN25" i="50"/>
  <c r="BO25" i="50"/>
  <c r="BP25" i="50"/>
  <c r="BQ25" i="50"/>
  <c r="BR25" i="50"/>
  <c r="BS25" i="50"/>
  <c r="BT25" i="50"/>
  <c r="BU25" i="50"/>
  <c r="BV25" i="50"/>
  <c r="BW25" i="50"/>
  <c r="BX25" i="50"/>
  <c r="BY25" i="50"/>
  <c r="BZ25" i="50"/>
  <c r="CA25" i="50"/>
  <c r="CB25" i="50"/>
  <c r="CC25" i="50"/>
  <c r="CD25" i="50"/>
  <c r="CE25" i="50"/>
  <c r="CF25" i="50"/>
  <c r="CG25" i="50"/>
  <c r="CH25" i="50"/>
  <c r="CI25" i="50"/>
  <c r="CJ25" i="50"/>
  <c r="CK25" i="50"/>
  <c r="CL25" i="50"/>
  <c r="CM25" i="50"/>
  <c r="CN25" i="50"/>
  <c r="CO25" i="50"/>
  <c r="CP25" i="50"/>
  <c r="CQ25" i="50"/>
  <c r="CR25" i="50"/>
  <c r="CS25" i="50"/>
  <c r="CT25" i="50"/>
  <c r="CU25" i="50"/>
  <c r="CV25" i="50"/>
  <c r="CW25" i="50"/>
  <c r="CX25" i="50"/>
  <c r="CY25" i="50"/>
  <c r="CZ25" i="50"/>
  <c r="DA25" i="50"/>
  <c r="J26" i="50"/>
  <c r="K26" i="50"/>
  <c r="L26" i="50"/>
  <c r="M26" i="50"/>
  <c r="N26" i="50"/>
  <c r="O26" i="50"/>
  <c r="P26" i="50"/>
  <c r="Q26" i="50"/>
  <c r="R26" i="50"/>
  <c r="S26" i="50"/>
  <c r="T26" i="50"/>
  <c r="U26" i="50"/>
  <c r="V26" i="50"/>
  <c r="W26" i="50"/>
  <c r="X26" i="50"/>
  <c r="Y26" i="50"/>
  <c r="Z26" i="50"/>
  <c r="AA26" i="50"/>
  <c r="AB26" i="50"/>
  <c r="AC26" i="50"/>
  <c r="AD26" i="50"/>
  <c r="AE26" i="50"/>
  <c r="AF26" i="50"/>
  <c r="AG26" i="50"/>
  <c r="AH26" i="50"/>
  <c r="AI26" i="50"/>
  <c r="AJ26" i="50"/>
  <c r="AK26" i="50"/>
  <c r="AL26" i="50"/>
  <c r="AM26" i="50"/>
  <c r="AN26" i="50"/>
  <c r="AO26" i="50"/>
  <c r="AP26" i="50"/>
  <c r="AQ26" i="50"/>
  <c r="AR26" i="50"/>
  <c r="AS26" i="50"/>
  <c r="AT26" i="50"/>
  <c r="AU26" i="50"/>
  <c r="AV26" i="50"/>
  <c r="AW26" i="50"/>
  <c r="AX26" i="50"/>
  <c r="AY26" i="50"/>
  <c r="AZ26" i="50"/>
  <c r="BA26" i="50"/>
  <c r="BB26" i="50"/>
  <c r="BC26" i="50"/>
  <c r="BD26" i="50"/>
  <c r="BE26" i="50"/>
  <c r="BF26" i="50"/>
  <c r="BG26" i="50"/>
  <c r="BH26" i="50"/>
  <c r="BI26" i="50"/>
  <c r="BJ26" i="50"/>
  <c r="BK26" i="50"/>
  <c r="BL26" i="50"/>
  <c r="BM26" i="50"/>
  <c r="BN26" i="50"/>
  <c r="BO26" i="50"/>
  <c r="BP26" i="50"/>
  <c r="BQ26" i="50"/>
  <c r="BR26" i="50"/>
  <c r="BS26" i="50"/>
  <c r="BT26" i="50"/>
  <c r="BU26" i="50"/>
  <c r="BV26" i="50"/>
  <c r="BW26" i="50"/>
  <c r="BX26" i="50"/>
  <c r="BY26" i="50"/>
  <c r="BZ26" i="50"/>
  <c r="CA26" i="50"/>
  <c r="CB26" i="50"/>
  <c r="CC26" i="50"/>
  <c r="CD26" i="50"/>
  <c r="CE26" i="50"/>
  <c r="CF26" i="50"/>
  <c r="CG26" i="50"/>
  <c r="CH26" i="50"/>
  <c r="CI26" i="50"/>
  <c r="CJ26" i="50"/>
  <c r="CK26" i="50"/>
  <c r="CL26" i="50"/>
  <c r="CM26" i="50"/>
  <c r="CN26" i="50"/>
  <c r="CO26" i="50"/>
  <c r="CP26" i="50"/>
  <c r="CQ26" i="50"/>
  <c r="CR26" i="50"/>
  <c r="CS26" i="50"/>
  <c r="CT26" i="50"/>
  <c r="CU26" i="50"/>
  <c r="CV26" i="50"/>
  <c r="CW26" i="50"/>
  <c r="CX26" i="50"/>
  <c r="CY26" i="50"/>
  <c r="CZ26" i="50"/>
  <c r="DA26" i="50"/>
  <c r="J27" i="50"/>
  <c r="K27" i="50"/>
  <c r="L27" i="50"/>
  <c r="M27" i="50"/>
  <c r="N27" i="50"/>
  <c r="O27" i="50"/>
  <c r="P27" i="50"/>
  <c r="Q27" i="50"/>
  <c r="R27" i="50"/>
  <c r="S27" i="50"/>
  <c r="T27" i="50"/>
  <c r="U27" i="50"/>
  <c r="V27" i="50"/>
  <c r="W27" i="50"/>
  <c r="X27" i="50"/>
  <c r="Y27" i="50"/>
  <c r="Z27" i="50"/>
  <c r="AA27" i="50"/>
  <c r="AB27" i="50"/>
  <c r="AC27" i="50"/>
  <c r="AD27" i="50"/>
  <c r="AE27" i="50"/>
  <c r="AF27" i="50"/>
  <c r="AG27" i="50"/>
  <c r="AH27" i="50"/>
  <c r="AI27" i="50"/>
  <c r="AJ27" i="50"/>
  <c r="AK27" i="50"/>
  <c r="AL27" i="50"/>
  <c r="AM27" i="50"/>
  <c r="AN27" i="50"/>
  <c r="AO27" i="50"/>
  <c r="AP27" i="50"/>
  <c r="AQ27" i="50"/>
  <c r="AR27" i="50"/>
  <c r="AS27" i="50"/>
  <c r="AT27" i="50"/>
  <c r="AU27" i="50"/>
  <c r="AV27" i="50"/>
  <c r="AW27" i="50"/>
  <c r="AX27" i="50"/>
  <c r="AY27" i="50"/>
  <c r="AZ27" i="50"/>
  <c r="BA27" i="50"/>
  <c r="BB27" i="50"/>
  <c r="BC27" i="50"/>
  <c r="BD27" i="50"/>
  <c r="BE27" i="50"/>
  <c r="BF27" i="50"/>
  <c r="BG27" i="50"/>
  <c r="BH27" i="50"/>
  <c r="BI27" i="50"/>
  <c r="BJ27" i="50"/>
  <c r="BK27" i="50"/>
  <c r="BL27" i="50"/>
  <c r="BM27" i="50"/>
  <c r="BN27" i="50"/>
  <c r="BO27" i="50"/>
  <c r="BP27" i="50"/>
  <c r="BQ27" i="50"/>
  <c r="BR27" i="50"/>
  <c r="BS27" i="50"/>
  <c r="BT27" i="50"/>
  <c r="BU27" i="50"/>
  <c r="BV27" i="50"/>
  <c r="BW27" i="50"/>
  <c r="BX27" i="50"/>
  <c r="BY27" i="50"/>
  <c r="BZ27" i="50"/>
  <c r="CA27" i="50"/>
  <c r="CB27" i="50"/>
  <c r="CC27" i="50"/>
  <c r="CD27" i="50"/>
  <c r="CE27" i="50"/>
  <c r="CF27" i="50"/>
  <c r="CG27" i="50"/>
  <c r="CH27" i="50"/>
  <c r="CI27" i="50"/>
  <c r="CJ27" i="50"/>
  <c r="CK27" i="50"/>
  <c r="CL27" i="50"/>
  <c r="CM27" i="50"/>
  <c r="CN27" i="50"/>
  <c r="CO27" i="50"/>
  <c r="CP27" i="50"/>
  <c r="CQ27" i="50"/>
  <c r="CR27" i="50"/>
  <c r="CS27" i="50"/>
  <c r="CT27" i="50"/>
  <c r="CU27" i="50"/>
  <c r="CV27" i="50"/>
  <c r="CW27" i="50"/>
  <c r="CX27" i="50"/>
  <c r="CY27" i="50"/>
  <c r="CZ27" i="50"/>
  <c r="DA27" i="50"/>
  <c r="J28" i="50"/>
  <c r="K28" i="50"/>
  <c r="L28" i="50"/>
  <c r="M28" i="50"/>
  <c r="N28" i="50"/>
  <c r="O28" i="50"/>
  <c r="P28" i="50"/>
  <c r="Q28" i="50"/>
  <c r="R28" i="50"/>
  <c r="S28" i="50"/>
  <c r="T28" i="50"/>
  <c r="U28" i="50"/>
  <c r="V28" i="50"/>
  <c r="W28" i="50"/>
  <c r="X28" i="50"/>
  <c r="Y28" i="50"/>
  <c r="Z28" i="50"/>
  <c r="AA28" i="50"/>
  <c r="AB28" i="50"/>
  <c r="AC28" i="50"/>
  <c r="AD28" i="50"/>
  <c r="AE28" i="50"/>
  <c r="AF28" i="50"/>
  <c r="AG28" i="50"/>
  <c r="AH28" i="50"/>
  <c r="AI28" i="50"/>
  <c r="AJ28" i="50"/>
  <c r="AK28" i="50"/>
  <c r="AL28" i="50"/>
  <c r="AM28" i="50"/>
  <c r="AN28" i="50"/>
  <c r="AO28" i="50"/>
  <c r="AP28" i="50"/>
  <c r="AQ28" i="50"/>
  <c r="AR28" i="50"/>
  <c r="AS28" i="50"/>
  <c r="AT28" i="50"/>
  <c r="AU28" i="50"/>
  <c r="AV28" i="50"/>
  <c r="AW28" i="50"/>
  <c r="AX28" i="50"/>
  <c r="AY28" i="50"/>
  <c r="AZ28" i="50"/>
  <c r="BA28" i="50"/>
  <c r="BB28" i="50"/>
  <c r="BC28" i="50"/>
  <c r="BD28" i="50"/>
  <c r="BE28" i="50"/>
  <c r="BF28" i="50"/>
  <c r="BG28" i="50"/>
  <c r="BH28" i="50"/>
  <c r="BI28" i="50"/>
  <c r="BJ28" i="50"/>
  <c r="BK28" i="50"/>
  <c r="BL28" i="50"/>
  <c r="BM28" i="50"/>
  <c r="BN28" i="50"/>
  <c r="BO28" i="50"/>
  <c r="BP28" i="50"/>
  <c r="BQ28" i="50"/>
  <c r="BR28" i="50"/>
  <c r="BS28" i="50"/>
  <c r="BT28" i="50"/>
  <c r="BU28" i="50"/>
  <c r="BV28" i="50"/>
  <c r="BW28" i="50"/>
  <c r="BX28" i="50"/>
  <c r="BY28" i="50"/>
  <c r="BZ28" i="50"/>
  <c r="CA28" i="50"/>
  <c r="CB28" i="50"/>
  <c r="CC28" i="50"/>
  <c r="CD28" i="50"/>
  <c r="CE28" i="50"/>
  <c r="CF28" i="50"/>
  <c r="CG28" i="50"/>
  <c r="CH28" i="50"/>
  <c r="CI28" i="50"/>
  <c r="CJ28" i="50"/>
  <c r="CK28" i="50"/>
  <c r="CL28" i="50"/>
  <c r="CM28" i="50"/>
  <c r="CN28" i="50"/>
  <c r="CO28" i="50"/>
  <c r="CP28" i="50"/>
  <c r="CQ28" i="50"/>
  <c r="CR28" i="50"/>
  <c r="CS28" i="50"/>
  <c r="CT28" i="50"/>
  <c r="CU28" i="50"/>
  <c r="CV28" i="50"/>
  <c r="CW28" i="50"/>
  <c r="CX28" i="50"/>
  <c r="CY28" i="50"/>
  <c r="CZ28" i="50"/>
  <c r="DA28" i="50"/>
  <c r="J29" i="50"/>
  <c r="K29" i="50"/>
  <c r="L29" i="50"/>
  <c r="M29" i="50"/>
  <c r="N29" i="50"/>
  <c r="O29" i="50"/>
  <c r="P29" i="50"/>
  <c r="Q29" i="50"/>
  <c r="R29" i="50"/>
  <c r="S29" i="50"/>
  <c r="T29" i="50"/>
  <c r="U29" i="50"/>
  <c r="V29" i="50"/>
  <c r="W29" i="50"/>
  <c r="X29" i="50"/>
  <c r="Y29" i="50"/>
  <c r="Z29" i="50"/>
  <c r="AA29" i="50"/>
  <c r="AB29" i="50"/>
  <c r="AC29" i="50"/>
  <c r="AD29" i="50"/>
  <c r="AE29" i="50"/>
  <c r="AF29" i="50"/>
  <c r="AG29" i="50"/>
  <c r="AH29" i="50"/>
  <c r="AI29" i="50"/>
  <c r="AJ29" i="50"/>
  <c r="AK29" i="50"/>
  <c r="AL29" i="50"/>
  <c r="AM29" i="50"/>
  <c r="AN29" i="50"/>
  <c r="AO29" i="50"/>
  <c r="AP29" i="50"/>
  <c r="AQ29" i="50"/>
  <c r="AR29" i="50"/>
  <c r="AS29" i="50"/>
  <c r="AT29" i="50"/>
  <c r="AU29" i="50"/>
  <c r="AV29" i="50"/>
  <c r="AW29" i="50"/>
  <c r="AX29" i="50"/>
  <c r="AY29" i="50"/>
  <c r="AZ29" i="50"/>
  <c r="BA29" i="50"/>
  <c r="BB29" i="50"/>
  <c r="BC29" i="50"/>
  <c r="BD29" i="50"/>
  <c r="BE29" i="50"/>
  <c r="BF29" i="50"/>
  <c r="BG29" i="50"/>
  <c r="BH29" i="50"/>
  <c r="BI29" i="50"/>
  <c r="BJ29" i="50"/>
  <c r="BK29" i="50"/>
  <c r="BL29" i="50"/>
  <c r="BM29" i="50"/>
  <c r="BN29" i="50"/>
  <c r="BO29" i="50"/>
  <c r="BP29" i="50"/>
  <c r="BQ29" i="50"/>
  <c r="BR29" i="50"/>
  <c r="BS29" i="50"/>
  <c r="BT29" i="50"/>
  <c r="BU29" i="50"/>
  <c r="BV29" i="50"/>
  <c r="BW29" i="50"/>
  <c r="BX29" i="50"/>
  <c r="BY29" i="50"/>
  <c r="BZ29" i="50"/>
  <c r="CA29" i="50"/>
  <c r="CB29" i="50"/>
  <c r="CC29" i="50"/>
  <c r="CD29" i="50"/>
  <c r="CE29" i="50"/>
  <c r="CF29" i="50"/>
  <c r="CG29" i="50"/>
  <c r="CH29" i="50"/>
  <c r="CI29" i="50"/>
  <c r="CJ29" i="50"/>
  <c r="CK29" i="50"/>
  <c r="CL29" i="50"/>
  <c r="CM29" i="50"/>
  <c r="CN29" i="50"/>
  <c r="CO29" i="50"/>
  <c r="CP29" i="50"/>
  <c r="CQ29" i="50"/>
  <c r="CR29" i="50"/>
  <c r="CS29" i="50"/>
  <c r="CT29" i="50"/>
  <c r="CU29" i="50"/>
  <c r="CV29" i="50"/>
  <c r="CW29" i="50"/>
  <c r="CX29" i="50"/>
  <c r="CY29" i="50"/>
  <c r="CZ29" i="50"/>
  <c r="DA29" i="50"/>
  <c r="J30" i="50"/>
  <c r="K30" i="50"/>
  <c r="L30" i="50"/>
  <c r="M30" i="50"/>
  <c r="N30" i="50"/>
  <c r="O30" i="50"/>
  <c r="P30" i="50"/>
  <c r="Q30" i="50"/>
  <c r="R30" i="50"/>
  <c r="S30" i="50"/>
  <c r="T30" i="50"/>
  <c r="U30" i="50"/>
  <c r="V30" i="50"/>
  <c r="W30" i="50"/>
  <c r="X30" i="50"/>
  <c r="Y30" i="50"/>
  <c r="Z30" i="50"/>
  <c r="AA30" i="50"/>
  <c r="AB30" i="50"/>
  <c r="AC30" i="50"/>
  <c r="AD30" i="50"/>
  <c r="AE30" i="50"/>
  <c r="AF30" i="50"/>
  <c r="AG30" i="50"/>
  <c r="AH30" i="50"/>
  <c r="AI30" i="50"/>
  <c r="AJ30" i="50"/>
  <c r="AK30" i="50"/>
  <c r="AL30" i="50"/>
  <c r="AM30" i="50"/>
  <c r="AN30" i="50"/>
  <c r="AO30" i="50"/>
  <c r="AP30" i="50"/>
  <c r="AQ30" i="50"/>
  <c r="AR30" i="50"/>
  <c r="AS30" i="50"/>
  <c r="AT30" i="50"/>
  <c r="AU30" i="50"/>
  <c r="AV30" i="50"/>
  <c r="AW30" i="50"/>
  <c r="AX30" i="50"/>
  <c r="AY30" i="50"/>
  <c r="AZ30" i="50"/>
  <c r="BA30" i="50"/>
  <c r="BB30" i="50"/>
  <c r="BC30" i="50"/>
  <c r="BD30" i="50"/>
  <c r="BE30" i="50"/>
  <c r="BF30" i="50"/>
  <c r="BG30" i="50"/>
  <c r="BH30" i="50"/>
  <c r="BI30" i="50"/>
  <c r="BJ30" i="50"/>
  <c r="BK30" i="50"/>
  <c r="BL30" i="50"/>
  <c r="BM30" i="50"/>
  <c r="BN30" i="50"/>
  <c r="BO30" i="50"/>
  <c r="BP30" i="50"/>
  <c r="BQ30" i="50"/>
  <c r="BR30" i="50"/>
  <c r="BS30" i="50"/>
  <c r="BT30" i="50"/>
  <c r="BU30" i="50"/>
  <c r="BV30" i="50"/>
  <c r="BW30" i="50"/>
  <c r="BX30" i="50"/>
  <c r="BY30" i="50"/>
  <c r="BZ30" i="50"/>
  <c r="CA30" i="50"/>
  <c r="CB30" i="50"/>
  <c r="CC30" i="50"/>
  <c r="CD30" i="50"/>
  <c r="CE30" i="50"/>
  <c r="CF30" i="50"/>
  <c r="CG30" i="50"/>
  <c r="CH30" i="50"/>
  <c r="CI30" i="50"/>
  <c r="CJ30" i="50"/>
  <c r="CK30" i="50"/>
  <c r="CL30" i="50"/>
  <c r="CM30" i="50"/>
  <c r="CN30" i="50"/>
  <c r="CO30" i="50"/>
  <c r="CP30" i="50"/>
  <c r="CQ30" i="50"/>
  <c r="CR30" i="50"/>
  <c r="CS30" i="50"/>
  <c r="CT30" i="50"/>
  <c r="CU30" i="50"/>
  <c r="CV30" i="50"/>
  <c r="CW30" i="50"/>
  <c r="CX30" i="50"/>
  <c r="CY30" i="50"/>
  <c r="CZ30" i="50"/>
  <c r="DA30" i="50"/>
  <c r="J31" i="50"/>
  <c r="K31" i="50"/>
  <c r="L31" i="50"/>
  <c r="M31" i="50"/>
  <c r="N31" i="50"/>
  <c r="O31" i="50"/>
  <c r="P31" i="50"/>
  <c r="Q31" i="50"/>
  <c r="R31" i="50"/>
  <c r="S31" i="50"/>
  <c r="T31" i="50"/>
  <c r="U31" i="50"/>
  <c r="V31" i="50"/>
  <c r="W31" i="50"/>
  <c r="X31" i="50"/>
  <c r="Y31" i="50"/>
  <c r="Z31" i="50"/>
  <c r="AA31" i="50"/>
  <c r="AB31" i="50"/>
  <c r="AC31" i="50"/>
  <c r="AD31" i="50"/>
  <c r="AE31" i="50"/>
  <c r="AF31" i="50"/>
  <c r="AG31" i="50"/>
  <c r="AH31" i="50"/>
  <c r="AI31" i="50"/>
  <c r="AJ31" i="50"/>
  <c r="AK31" i="50"/>
  <c r="AL31" i="50"/>
  <c r="AM31" i="50"/>
  <c r="AN31" i="50"/>
  <c r="AO31" i="50"/>
  <c r="AP31" i="50"/>
  <c r="AQ31" i="50"/>
  <c r="AR31" i="50"/>
  <c r="AS31" i="50"/>
  <c r="AT31" i="50"/>
  <c r="AU31" i="50"/>
  <c r="AV31" i="50"/>
  <c r="AW31" i="50"/>
  <c r="AX31" i="50"/>
  <c r="AY31" i="50"/>
  <c r="AZ31" i="50"/>
  <c r="BA31" i="50"/>
  <c r="BB31" i="50"/>
  <c r="BC31" i="50"/>
  <c r="BD31" i="50"/>
  <c r="BE31" i="50"/>
  <c r="BF31" i="50"/>
  <c r="BG31" i="50"/>
  <c r="BH31" i="50"/>
  <c r="BI31" i="50"/>
  <c r="BJ31" i="50"/>
  <c r="BK31" i="50"/>
  <c r="BL31" i="50"/>
  <c r="BM31" i="50"/>
  <c r="BN31" i="50"/>
  <c r="BO31" i="50"/>
  <c r="BP31" i="50"/>
  <c r="BQ31" i="50"/>
  <c r="BR31" i="50"/>
  <c r="BS31" i="50"/>
  <c r="BT31" i="50"/>
  <c r="BU31" i="50"/>
  <c r="BV31" i="50"/>
  <c r="BW31" i="50"/>
  <c r="BX31" i="50"/>
  <c r="BY31" i="50"/>
  <c r="BZ31" i="50"/>
  <c r="CA31" i="50"/>
  <c r="CB31" i="50"/>
  <c r="CC31" i="50"/>
  <c r="CD31" i="50"/>
  <c r="CE31" i="50"/>
  <c r="CF31" i="50"/>
  <c r="CG31" i="50"/>
  <c r="CH31" i="50"/>
  <c r="CI31" i="50"/>
  <c r="CJ31" i="50"/>
  <c r="CK31" i="50"/>
  <c r="CL31" i="50"/>
  <c r="CM31" i="50"/>
  <c r="CN31" i="50"/>
  <c r="CO31" i="50"/>
  <c r="CP31" i="50"/>
  <c r="CQ31" i="50"/>
  <c r="CR31" i="50"/>
  <c r="CS31" i="50"/>
  <c r="CT31" i="50"/>
  <c r="CU31" i="50"/>
  <c r="CV31" i="50"/>
  <c r="CW31" i="50"/>
  <c r="CX31" i="50"/>
  <c r="CY31" i="50"/>
  <c r="CZ31" i="50"/>
  <c r="DA31" i="50"/>
  <c r="J32" i="50"/>
  <c r="K32" i="50"/>
  <c r="L32" i="50"/>
  <c r="M32" i="50"/>
  <c r="N32" i="50"/>
  <c r="O32" i="50"/>
  <c r="P32" i="50"/>
  <c r="Q32" i="50"/>
  <c r="R32" i="50"/>
  <c r="S32" i="50"/>
  <c r="T32" i="50"/>
  <c r="U32" i="50"/>
  <c r="V32" i="50"/>
  <c r="W32" i="50"/>
  <c r="X32" i="50"/>
  <c r="Y32" i="50"/>
  <c r="Z32" i="50"/>
  <c r="AA32" i="50"/>
  <c r="AB32" i="50"/>
  <c r="AC32" i="50"/>
  <c r="AD32" i="50"/>
  <c r="AE32" i="50"/>
  <c r="AF32" i="50"/>
  <c r="AG32" i="50"/>
  <c r="AH32" i="50"/>
  <c r="AI32" i="50"/>
  <c r="AJ32" i="50"/>
  <c r="AK32" i="50"/>
  <c r="AL32" i="50"/>
  <c r="AM32" i="50"/>
  <c r="AN32" i="50"/>
  <c r="AO32" i="50"/>
  <c r="AP32" i="50"/>
  <c r="AQ32" i="50"/>
  <c r="AR32" i="50"/>
  <c r="AS32" i="50"/>
  <c r="AT32" i="50"/>
  <c r="AU32" i="50"/>
  <c r="AV32" i="50"/>
  <c r="AW32" i="50"/>
  <c r="AX32" i="50"/>
  <c r="AY32" i="50"/>
  <c r="AZ32" i="50"/>
  <c r="BA32" i="50"/>
  <c r="BB32" i="50"/>
  <c r="BC32" i="50"/>
  <c r="BD32" i="50"/>
  <c r="BE32" i="50"/>
  <c r="BF32" i="50"/>
  <c r="BG32" i="50"/>
  <c r="BH32" i="50"/>
  <c r="BI32" i="50"/>
  <c r="BJ32" i="50"/>
  <c r="BK32" i="50"/>
  <c r="BL32" i="50"/>
  <c r="BM32" i="50"/>
  <c r="BN32" i="50"/>
  <c r="BO32" i="50"/>
  <c r="BP32" i="50"/>
  <c r="BQ32" i="50"/>
  <c r="BR32" i="50"/>
  <c r="BS32" i="50"/>
  <c r="BT32" i="50"/>
  <c r="BU32" i="50"/>
  <c r="BV32" i="50"/>
  <c r="BW32" i="50"/>
  <c r="BX32" i="50"/>
  <c r="BY32" i="50"/>
  <c r="BZ32" i="50"/>
  <c r="CA32" i="50"/>
  <c r="CB32" i="50"/>
  <c r="CC32" i="50"/>
  <c r="CD32" i="50"/>
  <c r="CE32" i="50"/>
  <c r="CF32" i="50"/>
  <c r="CG32" i="50"/>
  <c r="CH32" i="50"/>
  <c r="CI32" i="50"/>
  <c r="CJ32" i="50"/>
  <c r="CK32" i="50"/>
  <c r="CL32" i="50"/>
  <c r="CM32" i="50"/>
  <c r="CN32" i="50"/>
  <c r="CO32" i="50"/>
  <c r="CP32" i="50"/>
  <c r="CQ32" i="50"/>
  <c r="CR32" i="50"/>
  <c r="CS32" i="50"/>
  <c r="CT32" i="50"/>
  <c r="CU32" i="50"/>
  <c r="CV32" i="50"/>
  <c r="CW32" i="50"/>
  <c r="CX32" i="50"/>
  <c r="CY32" i="50"/>
  <c r="CZ32" i="50"/>
  <c r="DA32" i="50"/>
  <c r="J33" i="50"/>
  <c r="K33" i="50"/>
  <c r="L33" i="50"/>
  <c r="M33" i="50"/>
  <c r="N33" i="50"/>
  <c r="O33" i="50"/>
  <c r="P33" i="50"/>
  <c r="Q33" i="50"/>
  <c r="R33" i="50"/>
  <c r="S33" i="50"/>
  <c r="T33" i="50"/>
  <c r="U33" i="50"/>
  <c r="V33" i="50"/>
  <c r="W33" i="50"/>
  <c r="X33" i="50"/>
  <c r="Y33" i="50"/>
  <c r="Z33" i="50"/>
  <c r="AA33" i="50"/>
  <c r="AB33" i="50"/>
  <c r="AC33" i="50"/>
  <c r="AD33" i="50"/>
  <c r="AE33" i="50"/>
  <c r="AF33" i="50"/>
  <c r="AG33" i="50"/>
  <c r="AH33" i="50"/>
  <c r="AI33" i="50"/>
  <c r="AJ33" i="50"/>
  <c r="AK33" i="50"/>
  <c r="AL33" i="50"/>
  <c r="AM33" i="50"/>
  <c r="AN33" i="50"/>
  <c r="AO33" i="50"/>
  <c r="AP33" i="50"/>
  <c r="AQ33" i="50"/>
  <c r="AR33" i="50"/>
  <c r="AS33" i="50"/>
  <c r="AT33" i="50"/>
  <c r="AU33" i="50"/>
  <c r="AV33" i="50"/>
  <c r="AW33" i="50"/>
  <c r="AX33" i="50"/>
  <c r="AY33" i="50"/>
  <c r="AZ33" i="50"/>
  <c r="BA33" i="50"/>
  <c r="BB33" i="50"/>
  <c r="BC33" i="50"/>
  <c r="BD33" i="50"/>
  <c r="BE33" i="50"/>
  <c r="BF33" i="50"/>
  <c r="BG33" i="50"/>
  <c r="BH33" i="50"/>
  <c r="BI33" i="50"/>
  <c r="BJ33" i="50"/>
  <c r="BK33" i="50"/>
  <c r="BL33" i="50"/>
  <c r="BM33" i="50"/>
  <c r="BN33" i="50"/>
  <c r="BO33" i="50"/>
  <c r="BP33" i="50"/>
  <c r="BQ33" i="50"/>
  <c r="BR33" i="50"/>
  <c r="BS33" i="50"/>
  <c r="BT33" i="50"/>
  <c r="BU33" i="50"/>
  <c r="BV33" i="50"/>
  <c r="BW33" i="50"/>
  <c r="BX33" i="50"/>
  <c r="BY33" i="50"/>
  <c r="BZ33" i="50"/>
  <c r="CA33" i="50"/>
  <c r="CB33" i="50"/>
  <c r="CC33" i="50"/>
  <c r="CD33" i="50"/>
  <c r="CE33" i="50"/>
  <c r="CF33" i="50"/>
  <c r="CG33" i="50"/>
  <c r="CH33" i="50"/>
  <c r="CI33" i="50"/>
  <c r="CJ33" i="50"/>
  <c r="CK33" i="50"/>
  <c r="CL33" i="50"/>
  <c r="CM33" i="50"/>
  <c r="CN33" i="50"/>
  <c r="CO33" i="50"/>
  <c r="CP33" i="50"/>
  <c r="CQ33" i="50"/>
  <c r="CR33" i="50"/>
  <c r="CS33" i="50"/>
  <c r="CT33" i="50"/>
  <c r="CU33" i="50"/>
  <c r="CV33" i="50"/>
  <c r="CW33" i="50"/>
  <c r="CX33" i="50"/>
  <c r="CY33" i="50"/>
  <c r="CZ33" i="50"/>
  <c r="DA33" i="50"/>
  <c r="J34" i="50"/>
  <c r="K34" i="50"/>
  <c r="L34" i="50"/>
  <c r="M34" i="50"/>
  <c r="N34" i="50"/>
  <c r="O34" i="50"/>
  <c r="P34" i="50"/>
  <c r="Q34" i="50"/>
  <c r="R34" i="50"/>
  <c r="S34" i="50"/>
  <c r="T34" i="50"/>
  <c r="U34" i="50"/>
  <c r="V34" i="50"/>
  <c r="W34" i="50"/>
  <c r="X34" i="50"/>
  <c r="Y34" i="50"/>
  <c r="Z34" i="50"/>
  <c r="AA34" i="50"/>
  <c r="AB34" i="50"/>
  <c r="AC34" i="50"/>
  <c r="AD34" i="50"/>
  <c r="AE34" i="50"/>
  <c r="AF34" i="50"/>
  <c r="AG34" i="50"/>
  <c r="AH34" i="50"/>
  <c r="AI34" i="50"/>
  <c r="AJ34" i="50"/>
  <c r="AK34" i="50"/>
  <c r="AL34" i="50"/>
  <c r="AM34" i="50"/>
  <c r="AN34" i="50"/>
  <c r="AO34" i="50"/>
  <c r="AP34" i="50"/>
  <c r="AQ34" i="50"/>
  <c r="AR34" i="50"/>
  <c r="AS34" i="50"/>
  <c r="AT34" i="50"/>
  <c r="AU34" i="50"/>
  <c r="AV34" i="50"/>
  <c r="AW34" i="50"/>
  <c r="AX34" i="50"/>
  <c r="AY34" i="50"/>
  <c r="AZ34" i="50"/>
  <c r="BA34" i="50"/>
  <c r="BB34" i="50"/>
  <c r="BC34" i="50"/>
  <c r="BD34" i="50"/>
  <c r="BE34" i="50"/>
  <c r="BF34" i="50"/>
  <c r="BG34" i="50"/>
  <c r="BH34" i="50"/>
  <c r="BI34" i="50"/>
  <c r="BJ34" i="50"/>
  <c r="BK34" i="50"/>
  <c r="BL34" i="50"/>
  <c r="BM34" i="50"/>
  <c r="BN34" i="50"/>
  <c r="BO34" i="50"/>
  <c r="BP34" i="50"/>
  <c r="BQ34" i="50"/>
  <c r="BR34" i="50"/>
  <c r="BS34" i="50"/>
  <c r="BT34" i="50"/>
  <c r="BU34" i="50"/>
  <c r="BV34" i="50"/>
  <c r="BW34" i="50"/>
  <c r="BX34" i="50"/>
  <c r="BY34" i="50"/>
  <c r="BZ34" i="50"/>
  <c r="CA34" i="50"/>
  <c r="CB34" i="50"/>
  <c r="CC34" i="50"/>
  <c r="CD34" i="50"/>
  <c r="CE34" i="50"/>
  <c r="CF34" i="50"/>
  <c r="CG34" i="50"/>
  <c r="CH34" i="50"/>
  <c r="CI34" i="50"/>
  <c r="CJ34" i="50"/>
  <c r="CK34" i="50"/>
  <c r="CL34" i="50"/>
  <c r="CM34" i="50"/>
  <c r="CN34" i="50"/>
  <c r="CO34" i="50"/>
  <c r="CP34" i="50"/>
  <c r="CQ34" i="50"/>
  <c r="CR34" i="50"/>
  <c r="CS34" i="50"/>
  <c r="CT34" i="50"/>
  <c r="CU34" i="50"/>
  <c r="CV34" i="50"/>
  <c r="CW34" i="50"/>
  <c r="CX34" i="50"/>
  <c r="CY34" i="50"/>
  <c r="CZ34" i="50"/>
  <c r="DA34" i="50"/>
  <c r="J35" i="50"/>
  <c r="K35" i="50"/>
  <c r="L35" i="50"/>
  <c r="M35" i="50"/>
  <c r="N35" i="50"/>
  <c r="O35" i="50"/>
  <c r="P35" i="50"/>
  <c r="Q35" i="50"/>
  <c r="R35" i="50"/>
  <c r="S35" i="50"/>
  <c r="T35" i="50"/>
  <c r="U35" i="50"/>
  <c r="V35" i="50"/>
  <c r="W35" i="50"/>
  <c r="X35" i="50"/>
  <c r="Y35" i="50"/>
  <c r="Z35" i="50"/>
  <c r="AA35" i="50"/>
  <c r="AB35" i="50"/>
  <c r="AC35" i="50"/>
  <c r="AD35" i="50"/>
  <c r="AE35" i="50"/>
  <c r="AF35" i="50"/>
  <c r="AG35" i="50"/>
  <c r="AH35" i="50"/>
  <c r="AI35" i="50"/>
  <c r="AJ35" i="50"/>
  <c r="AK35" i="50"/>
  <c r="AL35" i="50"/>
  <c r="AM35" i="50"/>
  <c r="AN35" i="50"/>
  <c r="AO35" i="50"/>
  <c r="AP35" i="50"/>
  <c r="AQ35" i="50"/>
  <c r="AR35" i="50"/>
  <c r="AS35" i="50"/>
  <c r="AT35" i="50"/>
  <c r="AU35" i="50"/>
  <c r="AV35" i="50"/>
  <c r="AW35" i="50"/>
  <c r="AX35" i="50"/>
  <c r="AY35" i="50"/>
  <c r="AZ35" i="50"/>
  <c r="BA35" i="50"/>
  <c r="BB35" i="50"/>
  <c r="BC35" i="50"/>
  <c r="BD35" i="50"/>
  <c r="BE35" i="50"/>
  <c r="BF35" i="50"/>
  <c r="BG35" i="50"/>
  <c r="BH35" i="50"/>
  <c r="BI35" i="50"/>
  <c r="BJ35" i="50"/>
  <c r="BK35" i="50"/>
  <c r="BL35" i="50"/>
  <c r="BM35" i="50"/>
  <c r="BN35" i="50"/>
  <c r="BO35" i="50"/>
  <c r="BP35" i="50"/>
  <c r="BQ35" i="50"/>
  <c r="BR35" i="50"/>
  <c r="BS35" i="50"/>
  <c r="BT35" i="50"/>
  <c r="BU35" i="50"/>
  <c r="BV35" i="50"/>
  <c r="BW35" i="50"/>
  <c r="BX35" i="50"/>
  <c r="BY35" i="50"/>
  <c r="BZ35" i="50"/>
  <c r="CA35" i="50"/>
  <c r="CB35" i="50"/>
  <c r="CC35" i="50"/>
  <c r="CD35" i="50"/>
  <c r="CE35" i="50"/>
  <c r="CF35" i="50"/>
  <c r="CG35" i="50"/>
  <c r="CH35" i="50"/>
  <c r="CI35" i="50"/>
  <c r="CJ35" i="50"/>
  <c r="CK35" i="50"/>
  <c r="CL35" i="50"/>
  <c r="CM35" i="50"/>
  <c r="CN35" i="50"/>
  <c r="CO35" i="50"/>
  <c r="CP35" i="50"/>
  <c r="CQ35" i="50"/>
  <c r="CR35" i="50"/>
  <c r="CS35" i="50"/>
  <c r="CT35" i="50"/>
  <c r="CU35" i="50"/>
  <c r="CV35" i="50"/>
  <c r="CW35" i="50"/>
  <c r="CX35" i="50"/>
  <c r="CY35" i="50"/>
  <c r="CZ35" i="50"/>
  <c r="DA35" i="50"/>
  <c r="J36" i="50"/>
  <c r="K36" i="50"/>
  <c r="L36" i="50"/>
  <c r="M36" i="50"/>
  <c r="N36" i="50"/>
  <c r="O36" i="50"/>
  <c r="P36" i="50"/>
  <c r="Q36" i="50"/>
  <c r="R36" i="50"/>
  <c r="S36" i="50"/>
  <c r="T36" i="50"/>
  <c r="U36" i="50"/>
  <c r="V36" i="50"/>
  <c r="W36" i="50"/>
  <c r="X36" i="50"/>
  <c r="Y36" i="50"/>
  <c r="Z36" i="50"/>
  <c r="AA36" i="50"/>
  <c r="AB36" i="50"/>
  <c r="AC36" i="50"/>
  <c r="AD36" i="50"/>
  <c r="AE36" i="50"/>
  <c r="AF36" i="50"/>
  <c r="AG36" i="50"/>
  <c r="AH36" i="50"/>
  <c r="AI36" i="50"/>
  <c r="AJ36" i="50"/>
  <c r="AK36" i="50"/>
  <c r="AL36" i="50"/>
  <c r="AM36" i="50"/>
  <c r="AN36" i="50"/>
  <c r="AO36" i="50"/>
  <c r="AP36" i="50"/>
  <c r="AQ36" i="50"/>
  <c r="AR36" i="50"/>
  <c r="AS36" i="50"/>
  <c r="AT36" i="50"/>
  <c r="AU36" i="50"/>
  <c r="AV36" i="50"/>
  <c r="AW36" i="50"/>
  <c r="AX36" i="50"/>
  <c r="AY36" i="50"/>
  <c r="AZ36" i="50"/>
  <c r="BA36" i="50"/>
  <c r="BB36" i="50"/>
  <c r="BC36" i="50"/>
  <c r="BD36" i="50"/>
  <c r="BE36" i="50"/>
  <c r="BF36" i="50"/>
  <c r="BG36" i="50"/>
  <c r="BH36" i="50"/>
  <c r="BI36" i="50"/>
  <c r="BJ36" i="50"/>
  <c r="BK36" i="50"/>
  <c r="BL36" i="50"/>
  <c r="BM36" i="50"/>
  <c r="BN36" i="50"/>
  <c r="BO36" i="50"/>
  <c r="BP36" i="50"/>
  <c r="BQ36" i="50"/>
  <c r="BR36" i="50"/>
  <c r="BS36" i="50"/>
  <c r="BT36" i="50"/>
  <c r="BU36" i="50"/>
  <c r="BV36" i="50"/>
  <c r="BW36" i="50"/>
  <c r="BX36" i="50"/>
  <c r="BY36" i="50"/>
  <c r="BZ36" i="50"/>
  <c r="CA36" i="50"/>
  <c r="CB36" i="50"/>
  <c r="CC36" i="50"/>
  <c r="CD36" i="50"/>
  <c r="CE36" i="50"/>
  <c r="CF36" i="50"/>
  <c r="CG36" i="50"/>
  <c r="CH36" i="50"/>
  <c r="CI36" i="50"/>
  <c r="CJ36" i="50"/>
  <c r="CK36" i="50"/>
  <c r="CL36" i="50"/>
  <c r="CM36" i="50"/>
  <c r="CN36" i="50"/>
  <c r="CO36" i="50"/>
  <c r="CP36" i="50"/>
  <c r="CQ36" i="50"/>
  <c r="CR36" i="50"/>
  <c r="CS36" i="50"/>
  <c r="CT36" i="50"/>
  <c r="CU36" i="50"/>
  <c r="CV36" i="50"/>
  <c r="CW36" i="50"/>
  <c r="CX36" i="50"/>
  <c r="CY36" i="50"/>
  <c r="CZ36" i="50"/>
  <c r="DA36" i="50"/>
  <c r="J37" i="50"/>
  <c r="K37" i="50"/>
  <c r="L37" i="50"/>
  <c r="M37" i="50"/>
  <c r="N37" i="50"/>
  <c r="O37" i="50"/>
  <c r="P37" i="50"/>
  <c r="Q37" i="50"/>
  <c r="R37" i="50"/>
  <c r="S37" i="50"/>
  <c r="T37" i="50"/>
  <c r="U37" i="50"/>
  <c r="V37" i="50"/>
  <c r="W37" i="50"/>
  <c r="X37" i="50"/>
  <c r="Y37" i="50"/>
  <c r="Z37" i="50"/>
  <c r="AA37" i="50"/>
  <c r="AB37" i="50"/>
  <c r="AC37" i="50"/>
  <c r="AD37" i="50"/>
  <c r="AE37" i="50"/>
  <c r="AF37" i="50"/>
  <c r="AG37" i="50"/>
  <c r="AH37" i="50"/>
  <c r="AI37" i="50"/>
  <c r="AJ37" i="50"/>
  <c r="AK37" i="50"/>
  <c r="AL37" i="50"/>
  <c r="AM37" i="50"/>
  <c r="AN37" i="50"/>
  <c r="AO37" i="50"/>
  <c r="AP37" i="50"/>
  <c r="AQ37" i="50"/>
  <c r="AR37" i="50"/>
  <c r="AS37" i="50"/>
  <c r="AT37" i="50"/>
  <c r="AU37" i="50"/>
  <c r="AV37" i="50"/>
  <c r="AW37" i="50"/>
  <c r="AX37" i="50"/>
  <c r="AY37" i="50"/>
  <c r="AZ37" i="50"/>
  <c r="BA37" i="50"/>
  <c r="BB37" i="50"/>
  <c r="BC37" i="50"/>
  <c r="BD37" i="50"/>
  <c r="BE37" i="50"/>
  <c r="BF37" i="50"/>
  <c r="BG37" i="50"/>
  <c r="BH37" i="50"/>
  <c r="BI37" i="50"/>
  <c r="BJ37" i="50"/>
  <c r="BK37" i="50"/>
  <c r="BL37" i="50"/>
  <c r="BM37" i="50"/>
  <c r="BN37" i="50"/>
  <c r="BO37" i="50"/>
  <c r="BP37" i="50"/>
  <c r="BQ37" i="50"/>
  <c r="BR37" i="50"/>
  <c r="BS37" i="50"/>
  <c r="BT37" i="50"/>
  <c r="BU37" i="50"/>
  <c r="BV37" i="50"/>
  <c r="BW37" i="50"/>
  <c r="BX37" i="50"/>
  <c r="BY37" i="50"/>
  <c r="BZ37" i="50"/>
  <c r="CA37" i="50"/>
  <c r="CB37" i="50"/>
  <c r="CC37" i="50"/>
  <c r="CD37" i="50"/>
  <c r="CE37" i="50"/>
  <c r="CF37" i="50"/>
  <c r="CG37" i="50"/>
  <c r="CH37" i="50"/>
  <c r="CI37" i="50"/>
  <c r="CJ37" i="50"/>
  <c r="CK37" i="50"/>
  <c r="CL37" i="50"/>
  <c r="CM37" i="50"/>
  <c r="CN37" i="50"/>
  <c r="CO37" i="50"/>
  <c r="CP37" i="50"/>
  <c r="CQ37" i="50"/>
  <c r="CR37" i="50"/>
  <c r="CS37" i="50"/>
  <c r="CT37" i="50"/>
  <c r="CU37" i="50"/>
  <c r="CV37" i="50"/>
  <c r="CW37" i="50"/>
  <c r="CX37" i="50"/>
  <c r="CY37" i="50"/>
  <c r="CZ37" i="50"/>
  <c r="DA37" i="50"/>
  <c r="J38" i="50"/>
  <c r="K38" i="50"/>
  <c r="L38" i="50"/>
  <c r="M38" i="50"/>
  <c r="N38" i="50"/>
  <c r="O38" i="50"/>
  <c r="P38" i="50"/>
  <c r="Q38" i="50"/>
  <c r="R38" i="50"/>
  <c r="S38" i="50"/>
  <c r="T38" i="50"/>
  <c r="U38" i="50"/>
  <c r="V38" i="50"/>
  <c r="W38" i="50"/>
  <c r="X38" i="50"/>
  <c r="Y38" i="50"/>
  <c r="Z38" i="50"/>
  <c r="AA38" i="50"/>
  <c r="AB38" i="50"/>
  <c r="AC38" i="50"/>
  <c r="AD38" i="50"/>
  <c r="AE38" i="50"/>
  <c r="AF38" i="50"/>
  <c r="AG38" i="50"/>
  <c r="AH38" i="50"/>
  <c r="AI38" i="50"/>
  <c r="AJ38" i="50"/>
  <c r="AK38" i="50"/>
  <c r="AL38" i="50"/>
  <c r="AM38" i="50"/>
  <c r="AN38" i="50"/>
  <c r="AO38" i="50"/>
  <c r="AP38" i="50"/>
  <c r="AQ38" i="50"/>
  <c r="AR38" i="50"/>
  <c r="AS38" i="50"/>
  <c r="AT38" i="50"/>
  <c r="AU38" i="50"/>
  <c r="AV38" i="50"/>
  <c r="AW38" i="50"/>
  <c r="AX38" i="50"/>
  <c r="AY38" i="50"/>
  <c r="AZ38" i="50"/>
  <c r="BA38" i="50"/>
  <c r="BB38" i="50"/>
  <c r="BC38" i="50"/>
  <c r="BD38" i="50"/>
  <c r="BE38" i="50"/>
  <c r="BF38" i="50"/>
  <c r="BG38" i="50"/>
  <c r="BH38" i="50"/>
  <c r="BI38" i="50"/>
  <c r="BJ38" i="50"/>
  <c r="BK38" i="50"/>
  <c r="BL38" i="50"/>
  <c r="BM38" i="50"/>
  <c r="BN38" i="50"/>
  <c r="BO38" i="50"/>
  <c r="BP38" i="50"/>
  <c r="BQ38" i="50"/>
  <c r="BR38" i="50"/>
  <c r="BS38" i="50"/>
  <c r="BT38" i="50"/>
  <c r="BU38" i="50"/>
  <c r="BV38" i="50"/>
  <c r="BW38" i="50"/>
  <c r="BX38" i="50"/>
  <c r="BY38" i="50"/>
  <c r="BZ38" i="50"/>
  <c r="CA38" i="50"/>
  <c r="CB38" i="50"/>
  <c r="CC38" i="50"/>
  <c r="CD38" i="50"/>
  <c r="CE38" i="50"/>
  <c r="CF38" i="50"/>
  <c r="CG38" i="50"/>
  <c r="CH38" i="50"/>
  <c r="CI38" i="50"/>
  <c r="CJ38" i="50"/>
  <c r="CK38" i="50"/>
  <c r="CL38" i="50"/>
  <c r="CM38" i="50"/>
  <c r="CN38" i="50"/>
  <c r="CO38" i="50"/>
  <c r="CP38" i="50"/>
  <c r="CQ38" i="50"/>
  <c r="CR38" i="50"/>
  <c r="CS38" i="50"/>
  <c r="CT38" i="50"/>
  <c r="CU38" i="50"/>
  <c r="CV38" i="50"/>
  <c r="CW38" i="50"/>
  <c r="CX38" i="50"/>
  <c r="CY38" i="50"/>
  <c r="CZ38" i="50"/>
  <c r="DA38" i="50"/>
  <c r="J39" i="50"/>
  <c r="K39" i="50"/>
  <c r="L39" i="50"/>
  <c r="M39" i="50"/>
  <c r="N39" i="50"/>
  <c r="O39" i="50"/>
  <c r="P39" i="50"/>
  <c r="Q39" i="50"/>
  <c r="R39" i="50"/>
  <c r="S39" i="50"/>
  <c r="T39" i="50"/>
  <c r="U39" i="50"/>
  <c r="V39" i="50"/>
  <c r="W39" i="50"/>
  <c r="X39" i="50"/>
  <c r="Y39" i="50"/>
  <c r="Z39" i="50"/>
  <c r="AA39" i="50"/>
  <c r="AB39" i="50"/>
  <c r="AC39" i="50"/>
  <c r="AD39" i="50"/>
  <c r="AE39" i="50"/>
  <c r="AF39" i="50"/>
  <c r="AG39" i="50"/>
  <c r="AH39" i="50"/>
  <c r="AI39" i="50"/>
  <c r="AJ39" i="50"/>
  <c r="AK39" i="50"/>
  <c r="AL39" i="50"/>
  <c r="AM39" i="50"/>
  <c r="AN39" i="50"/>
  <c r="AO39" i="50"/>
  <c r="AP39" i="50"/>
  <c r="AQ39" i="50"/>
  <c r="AR39" i="50"/>
  <c r="AS39" i="50"/>
  <c r="AT39" i="50"/>
  <c r="AU39" i="50"/>
  <c r="AV39" i="50"/>
  <c r="AW39" i="50"/>
  <c r="AX39" i="50"/>
  <c r="AY39" i="50"/>
  <c r="AZ39" i="50"/>
  <c r="BA39" i="50"/>
  <c r="BB39" i="50"/>
  <c r="BC39" i="50"/>
  <c r="BD39" i="50"/>
  <c r="BE39" i="50"/>
  <c r="BF39" i="50"/>
  <c r="BG39" i="50"/>
  <c r="BH39" i="50"/>
  <c r="BI39" i="50"/>
  <c r="BJ39" i="50"/>
  <c r="BK39" i="50"/>
  <c r="BL39" i="50"/>
  <c r="BM39" i="50"/>
  <c r="BN39" i="50"/>
  <c r="BO39" i="50"/>
  <c r="BP39" i="50"/>
  <c r="BQ39" i="50"/>
  <c r="BR39" i="50"/>
  <c r="BS39" i="50"/>
  <c r="BT39" i="50"/>
  <c r="BU39" i="50"/>
  <c r="BV39" i="50"/>
  <c r="BW39" i="50"/>
  <c r="BX39" i="50"/>
  <c r="BY39" i="50"/>
  <c r="BZ39" i="50"/>
  <c r="CA39" i="50"/>
  <c r="CB39" i="50"/>
  <c r="CC39" i="50"/>
  <c r="CD39" i="50"/>
  <c r="CE39" i="50"/>
  <c r="CF39" i="50"/>
  <c r="CG39" i="50"/>
  <c r="CH39" i="50"/>
  <c r="CI39" i="50"/>
  <c r="CJ39" i="50"/>
  <c r="CK39" i="50"/>
  <c r="CL39" i="50"/>
  <c r="CM39" i="50"/>
  <c r="CN39" i="50"/>
  <c r="CO39" i="50"/>
  <c r="CP39" i="50"/>
  <c r="CQ39" i="50"/>
  <c r="CR39" i="50"/>
  <c r="CS39" i="50"/>
  <c r="CT39" i="50"/>
  <c r="CU39" i="50"/>
  <c r="CV39" i="50"/>
  <c r="CW39" i="50"/>
  <c r="CX39" i="50"/>
  <c r="CY39" i="50"/>
  <c r="CZ39" i="50"/>
  <c r="DA39" i="50"/>
  <c r="J40" i="50"/>
  <c r="K40" i="50"/>
  <c r="L40" i="50"/>
  <c r="M40" i="50"/>
  <c r="N40" i="50"/>
  <c r="O40" i="50"/>
  <c r="P40" i="50"/>
  <c r="Q40" i="50"/>
  <c r="R40" i="50"/>
  <c r="T40" i="50"/>
  <c r="U40" i="50"/>
  <c r="V40" i="50"/>
  <c r="W40" i="50"/>
  <c r="X40" i="50"/>
  <c r="Y40" i="50"/>
  <c r="Z40" i="50"/>
  <c r="AA40" i="50"/>
  <c r="AB40" i="50"/>
  <c r="AC40" i="50"/>
  <c r="AD40" i="50"/>
  <c r="AE40" i="50"/>
  <c r="AF40" i="50"/>
  <c r="AG40" i="50"/>
  <c r="AH40" i="50"/>
  <c r="AI40" i="50"/>
  <c r="AJ40" i="50"/>
  <c r="AK40" i="50"/>
  <c r="AL40" i="50"/>
  <c r="AM40" i="50"/>
  <c r="AN40" i="50"/>
  <c r="AO40" i="50"/>
  <c r="AP40" i="50"/>
  <c r="AQ40" i="50"/>
  <c r="AR40" i="50"/>
  <c r="AS40" i="50"/>
  <c r="AT40" i="50"/>
  <c r="AU40" i="50"/>
  <c r="AV40" i="50"/>
  <c r="AW40" i="50"/>
  <c r="AY40" i="50"/>
  <c r="AZ40" i="50"/>
  <c r="BA40" i="50"/>
  <c r="BB40" i="50"/>
  <c r="BC40" i="50"/>
  <c r="BD40" i="50"/>
  <c r="BE40" i="50"/>
  <c r="BF40" i="50"/>
  <c r="BG40" i="50"/>
  <c r="BH40" i="50"/>
  <c r="BI40" i="50"/>
  <c r="BJ40" i="50"/>
  <c r="BK40" i="50"/>
  <c r="BL40" i="50"/>
  <c r="BM40" i="50"/>
  <c r="BN40" i="50"/>
  <c r="BO40" i="50"/>
  <c r="BP40" i="50"/>
  <c r="BQ40" i="50"/>
  <c r="BR40" i="50"/>
  <c r="BS40" i="50"/>
  <c r="BT40" i="50"/>
  <c r="BU40" i="50"/>
  <c r="BV40" i="50"/>
  <c r="BW40" i="50"/>
  <c r="BX40" i="50"/>
  <c r="BY40" i="50"/>
  <c r="BZ40" i="50"/>
  <c r="CA40" i="50"/>
  <c r="CB40" i="50"/>
  <c r="CC40" i="50"/>
  <c r="CD40" i="50"/>
  <c r="CE40" i="50"/>
  <c r="CF40" i="50"/>
  <c r="CG40" i="50"/>
  <c r="CH40" i="50"/>
  <c r="CI40" i="50"/>
  <c r="CJ40" i="50"/>
  <c r="CK40" i="50"/>
  <c r="CL40" i="50"/>
  <c r="CM40" i="50"/>
  <c r="CN40" i="50"/>
  <c r="CO40" i="50"/>
  <c r="CP40" i="50"/>
  <c r="CQ40" i="50"/>
  <c r="CR40" i="50"/>
  <c r="CS40" i="50"/>
  <c r="CT40" i="50"/>
  <c r="CU40" i="50"/>
  <c r="CV40" i="50"/>
  <c r="CW40" i="50"/>
  <c r="CX40" i="50"/>
  <c r="CY40" i="50"/>
  <c r="CZ40" i="50"/>
  <c r="DA40" i="50"/>
  <c r="J41" i="50"/>
  <c r="K41" i="50"/>
  <c r="L41" i="50"/>
  <c r="M41" i="50"/>
  <c r="N41" i="50"/>
  <c r="O41" i="50"/>
  <c r="P41" i="50"/>
  <c r="Q41" i="50"/>
  <c r="R41" i="50"/>
  <c r="S41" i="50"/>
  <c r="T41" i="50"/>
  <c r="U41" i="50"/>
  <c r="V41" i="50"/>
  <c r="W41" i="50"/>
  <c r="X41" i="50"/>
  <c r="Y41" i="50"/>
  <c r="Z41" i="50"/>
  <c r="AA41" i="50"/>
  <c r="AB41" i="50"/>
  <c r="AC41" i="50"/>
  <c r="AD41" i="50"/>
  <c r="AE41" i="50"/>
  <c r="AF41" i="50"/>
  <c r="AG41" i="50"/>
  <c r="AH41" i="50"/>
  <c r="AI41" i="50"/>
  <c r="AJ41" i="50"/>
  <c r="AK41" i="50"/>
  <c r="AL41" i="50"/>
  <c r="AM41" i="50"/>
  <c r="AN41" i="50"/>
  <c r="AO41" i="50"/>
  <c r="AP41" i="50"/>
  <c r="AQ41" i="50"/>
  <c r="AR41" i="50"/>
  <c r="AS41" i="50"/>
  <c r="AT41" i="50"/>
  <c r="AU41" i="50"/>
  <c r="AV41" i="50"/>
  <c r="AW41" i="50"/>
  <c r="AX41" i="50"/>
  <c r="AY41" i="50"/>
  <c r="AZ41" i="50"/>
  <c r="BA41" i="50"/>
  <c r="BB41" i="50"/>
  <c r="BC41" i="50"/>
  <c r="BD41" i="50"/>
  <c r="BE41" i="50"/>
  <c r="BF41" i="50"/>
  <c r="BG41" i="50"/>
  <c r="BH41" i="50"/>
  <c r="BI41" i="50"/>
  <c r="BJ41" i="50"/>
  <c r="BK41" i="50"/>
  <c r="BL41" i="50"/>
  <c r="BM41" i="50"/>
  <c r="BN41" i="50"/>
  <c r="BO41" i="50"/>
  <c r="BP41" i="50"/>
  <c r="BQ41" i="50"/>
  <c r="BR41" i="50"/>
  <c r="BS41" i="50"/>
  <c r="BT41" i="50"/>
  <c r="BU41" i="50"/>
  <c r="BV41" i="50"/>
  <c r="BW41" i="50"/>
  <c r="BX41" i="50"/>
  <c r="BY41" i="50"/>
  <c r="BZ41" i="50"/>
  <c r="CA41" i="50"/>
  <c r="CB41" i="50"/>
  <c r="CC41" i="50"/>
  <c r="CD41" i="50"/>
  <c r="CE41" i="50"/>
  <c r="CF41" i="50"/>
  <c r="CG41" i="50"/>
  <c r="CH41" i="50"/>
  <c r="CI41" i="50"/>
  <c r="CJ41" i="50"/>
  <c r="CK41" i="50"/>
  <c r="CL41" i="50"/>
  <c r="CN41" i="50"/>
  <c r="CO41" i="50"/>
  <c r="CP41" i="50"/>
  <c r="CQ41" i="50"/>
  <c r="CR41" i="50"/>
  <c r="CS41" i="50"/>
  <c r="CT41" i="50"/>
  <c r="CU41" i="50"/>
  <c r="CV41" i="50"/>
  <c r="CW41" i="50"/>
  <c r="CX41" i="50"/>
  <c r="CY41" i="50"/>
  <c r="DA41" i="50"/>
  <c r="J42" i="50"/>
  <c r="K42" i="50"/>
  <c r="L42" i="50"/>
  <c r="M42" i="50"/>
  <c r="N42" i="50"/>
  <c r="O42" i="50"/>
  <c r="P42" i="50"/>
  <c r="Q42" i="50"/>
  <c r="R42" i="50"/>
  <c r="S42" i="50"/>
  <c r="T42" i="50"/>
  <c r="U42" i="50"/>
  <c r="V42" i="50"/>
  <c r="W42" i="50"/>
  <c r="X42" i="50"/>
  <c r="Y42" i="50"/>
  <c r="Z42" i="50"/>
  <c r="AA42" i="50"/>
  <c r="AB42" i="50"/>
  <c r="AC42" i="50"/>
  <c r="AD42" i="50"/>
  <c r="AE42" i="50"/>
  <c r="AF42" i="50"/>
  <c r="AG42" i="50"/>
  <c r="AH42" i="50"/>
  <c r="AI42" i="50"/>
  <c r="AJ42" i="50"/>
  <c r="AK42" i="50"/>
  <c r="AL42" i="50"/>
  <c r="AM42" i="50"/>
  <c r="AN42" i="50"/>
  <c r="AO42" i="50"/>
  <c r="AP42" i="50"/>
  <c r="AQ42" i="50"/>
  <c r="AR42" i="50"/>
  <c r="AS42" i="50"/>
  <c r="AT42" i="50"/>
  <c r="AU42" i="50"/>
  <c r="AV42" i="50"/>
  <c r="AW42" i="50"/>
  <c r="AX42" i="50"/>
  <c r="AY42" i="50"/>
  <c r="AZ42" i="50"/>
  <c r="BA42" i="50"/>
  <c r="BB42" i="50"/>
  <c r="BC42" i="50"/>
  <c r="BD42" i="50"/>
  <c r="BE42" i="50"/>
  <c r="BF42" i="50"/>
  <c r="BG42" i="50"/>
  <c r="BH42" i="50"/>
  <c r="BI42" i="50"/>
  <c r="BJ42" i="50"/>
  <c r="BK42" i="50"/>
  <c r="BL42" i="50"/>
  <c r="BM42" i="50"/>
  <c r="BN42" i="50"/>
  <c r="BO42" i="50"/>
  <c r="BP42" i="50"/>
  <c r="BQ42" i="50"/>
  <c r="BR42" i="50"/>
  <c r="BS42" i="50"/>
  <c r="BT42" i="50"/>
  <c r="BU42" i="50"/>
  <c r="BV42" i="50"/>
  <c r="BW42" i="50"/>
  <c r="BX42" i="50"/>
  <c r="BY42" i="50"/>
  <c r="BZ42" i="50"/>
  <c r="CA42" i="50"/>
  <c r="CB42" i="50"/>
  <c r="CC42" i="50"/>
  <c r="CD42" i="50"/>
  <c r="CE42" i="50"/>
  <c r="CF42" i="50"/>
  <c r="CG42" i="50"/>
  <c r="CH42" i="50"/>
  <c r="CI42" i="50"/>
  <c r="CJ42" i="50"/>
  <c r="CK42" i="50"/>
  <c r="CL42" i="50"/>
  <c r="CM42" i="50"/>
  <c r="CN42" i="50"/>
  <c r="CP42" i="50"/>
  <c r="CQ42" i="50"/>
  <c r="CR42" i="50"/>
  <c r="CS42" i="50"/>
  <c r="CT42" i="50"/>
  <c r="CU42" i="50"/>
  <c r="CV42" i="50"/>
  <c r="CW42" i="50"/>
  <c r="CX42" i="50"/>
  <c r="CY42" i="50"/>
  <c r="DA42" i="50"/>
  <c r="J43" i="50"/>
  <c r="K43" i="50"/>
  <c r="L43" i="50"/>
  <c r="M43" i="50"/>
  <c r="N43" i="50"/>
  <c r="O43" i="50"/>
  <c r="P43" i="50"/>
  <c r="Q43" i="50"/>
  <c r="R43" i="50"/>
  <c r="S43" i="50"/>
  <c r="T43" i="50"/>
  <c r="U43" i="50"/>
  <c r="V43" i="50"/>
  <c r="W43" i="50"/>
  <c r="X43" i="50"/>
  <c r="Y43" i="50"/>
  <c r="Z43" i="50"/>
  <c r="AA43" i="50"/>
  <c r="AB43" i="50"/>
  <c r="AC43" i="50"/>
  <c r="AD43" i="50"/>
  <c r="AE43" i="50"/>
  <c r="AF43" i="50"/>
  <c r="AG43" i="50"/>
  <c r="AH43" i="50"/>
  <c r="AI43" i="50"/>
  <c r="AJ43" i="50"/>
  <c r="AK43" i="50"/>
  <c r="AL43" i="50"/>
  <c r="AM43" i="50"/>
  <c r="AN43" i="50"/>
  <c r="AO43" i="50"/>
  <c r="AP43" i="50"/>
  <c r="AQ43" i="50"/>
  <c r="AR43" i="50"/>
  <c r="AS43" i="50"/>
  <c r="AT43" i="50"/>
  <c r="AU43" i="50"/>
  <c r="AV43" i="50"/>
  <c r="AW43" i="50"/>
  <c r="AX43" i="50"/>
  <c r="AY43" i="50"/>
  <c r="AZ43" i="50"/>
  <c r="BA43" i="50"/>
  <c r="BB43" i="50"/>
  <c r="BC43" i="50"/>
  <c r="BD43" i="50"/>
  <c r="BE43" i="50"/>
  <c r="BF43" i="50"/>
  <c r="BG43" i="50"/>
  <c r="BH43" i="50"/>
  <c r="BI43" i="50"/>
  <c r="BJ43" i="50"/>
  <c r="BK43" i="50"/>
  <c r="BL43" i="50"/>
  <c r="BM43" i="50"/>
  <c r="BN43" i="50"/>
  <c r="BO43" i="50"/>
  <c r="BP43" i="50"/>
  <c r="BQ43" i="50"/>
  <c r="BR43" i="50"/>
  <c r="BS43" i="50"/>
  <c r="BT43" i="50"/>
  <c r="BU43" i="50"/>
  <c r="BV43" i="50"/>
  <c r="BW43" i="50"/>
  <c r="BX43" i="50"/>
  <c r="BY43" i="50"/>
  <c r="BZ43" i="50"/>
  <c r="CA43" i="50"/>
  <c r="CB43" i="50"/>
  <c r="CC43" i="50"/>
  <c r="CD43" i="50"/>
  <c r="CE43" i="50"/>
  <c r="CF43" i="50"/>
  <c r="CG43" i="50"/>
  <c r="CH43" i="50"/>
  <c r="CI43" i="50"/>
  <c r="CJ43" i="50"/>
  <c r="CK43" i="50"/>
  <c r="CL43" i="50"/>
  <c r="CM43" i="50"/>
  <c r="CN43" i="50"/>
  <c r="CO43" i="50"/>
  <c r="CP43" i="50"/>
  <c r="CR43" i="50"/>
  <c r="CS43" i="50"/>
  <c r="CT43" i="50"/>
  <c r="CU43" i="50"/>
  <c r="CV43" i="50"/>
  <c r="CW43" i="50"/>
  <c r="CX43" i="50"/>
  <c r="CY43" i="50"/>
  <c r="DA43" i="50"/>
  <c r="J44" i="50"/>
  <c r="K44" i="50"/>
  <c r="L44" i="50"/>
  <c r="M44" i="50"/>
  <c r="N44" i="50"/>
  <c r="O44" i="50"/>
  <c r="P44" i="50"/>
  <c r="Q44" i="50"/>
  <c r="R44" i="50"/>
  <c r="S44" i="50"/>
  <c r="T44" i="50"/>
  <c r="U44" i="50"/>
  <c r="V44" i="50"/>
  <c r="W44" i="50"/>
  <c r="X44" i="50"/>
  <c r="Y44" i="50"/>
  <c r="Z44" i="50"/>
  <c r="AA44" i="50"/>
  <c r="AB44" i="50"/>
  <c r="AC44" i="50"/>
  <c r="AD44" i="50"/>
  <c r="AE44" i="50"/>
  <c r="AF44" i="50"/>
  <c r="AG44" i="50"/>
  <c r="AH44" i="50"/>
  <c r="AI44" i="50"/>
  <c r="AJ44" i="50"/>
  <c r="AK44" i="50"/>
  <c r="AL44" i="50"/>
  <c r="AM44" i="50"/>
  <c r="AN44" i="50"/>
  <c r="AO44" i="50"/>
  <c r="AP44" i="50"/>
  <c r="AQ44" i="50"/>
  <c r="AR44" i="50"/>
  <c r="AS44" i="50"/>
  <c r="AT44" i="50"/>
  <c r="AU44" i="50"/>
  <c r="AV44" i="50"/>
  <c r="AW44" i="50"/>
  <c r="AX44" i="50"/>
  <c r="AY44" i="50"/>
  <c r="AZ44" i="50"/>
  <c r="BA44" i="50"/>
  <c r="BB44" i="50"/>
  <c r="BC44" i="50"/>
  <c r="BD44" i="50"/>
  <c r="BE44" i="50"/>
  <c r="BF44" i="50"/>
  <c r="BG44" i="50"/>
  <c r="BH44" i="50"/>
  <c r="BI44" i="50"/>
  <c r="BJ44" i="50"/>
  <c r="BK44" i="50"/>
  <c r="BL44" i="50"/>
  <c r="BM44" i="50"/>
  <c r="BN44" i="50"/>
  <c r="BO44" i="50"/>
  <c r="BP44" i="50"/>
  <c r="BQ44" i="50"/>
  <c r="BR44" i="50"/>
  <c r="BS44" i="50"/>
  <c r="BT44" i="50"/>
  <c r="BU44" i="50"/>
  <c r="BV44" i="50"/>
  <c r="BW44" i="50"/>
  <c r="BX44" i="50"/>
  <c r="BY44" i="50"/>
  <c r="BZ44" i="50"/>
  <c r="CA44" i="50"/>
  <c r="CB44" i="50"/>
  <c r="CC44" i="50"/>
  <c r="CD44" i="50"/>
  <c r="CE44" i="50"/>
  <c r="CF44" i="50"/>
  <c r="CG44" i="50"/>
  <c r="CH44" i="50"/>
  <c r="CI44" i="50"/>
  <c r="CJ44" i="50"/>
  <c r="CK44" i="50"/>
  <c r="CL44" i="50"/>
  <c r="CM44" i="50"/>
  <c r="CN44" i="50"/>
  <c r="CO44" i="50"/>
  <c r="CP44" i="50"/>
  <c r="CQ44" i="50"/>
  <c r="CR44" i="50"/>
  <c r="CT44" i="50"/>
  <c r="CU44" i="50"/>
  <c r="CV44" i="50"/>
  <c r="CW44" i="50"/>
  <c r="CX44" i="50"/>
  <c r="CY44" i="50"/>
  <c r="DA44" i="50"/>
  <c r="J45" i="50"/>
  <c r="K45" i="50"/>
  <c r="L45" i="50"/>
  <c r="M45" i="50"/>
  <c r="N45" i="50"/>
  <c r="O45" i="50"/>
  <c r="P45" i="50"/>
  <c r="Q45" i="50"/>
  <c r="R45" i="50"/>
  <c r="S45" i="50"/>
  <c r="T45" i="50"/>
  <c r="U45" i="50"/>
  <c r="V45" i="50"/>
  <c r="W45" i="50"/>
  <c r="X45" i="50"/>
  <c r="Y45" i="50"/>
  <c r="Z45" i="50"/>
  <c r="AA45" i="50"/>
  <c r="AB45" i="50"/>
  <c r="AC45" i="50"/>
  <c r="AD45" i="50"/>
  <c r="AE45" i="50"/>
  <c r="AF45" i="50"/>
  <c r="AG45" i="50"/>
  <c r="AH45" i="50"/>
  <c r="AI45" i="50"/>
  <c r="AJ45" i="50"/>
  <c r="AK45" i="50"/>
  <c r="AL45" i="50"/>
  <c r="AM45" i="50"/>
  <c r="AN45" i="50"/>
  <c r="AO45" i="50"/>
  <c r="AP45" i="50"/>
  <c r="AQ45" i="50"/>
  <c r="AR45" i="50"/>
  <c r="AS45" i="50"/>
  <c r="AT45" i="50"/>
  <c r="AU45" i="50"/>
  <c r="AV45" i="50"/>
  <c r="AW45" i="50"/>
  <c r="AX45" i="50"/>
  <c r="AY45" i="50"/>
  <c r="AZ45" i="50"/>
  <c r="BA45" i="50"/>
  <c r="BB45" i="50"/>
  <c r="BC45" i="50"/>
  <c r="BD45" i="50"/>
  <c r="BE45" i="50"/>
  <c r="BF45" i="50"/>
  <c r="BG45" i="50"/>
  <c r="BH45" i="50"/>
  <c r="BI45" i="50"/>
  <c r="BJ45" i="50"/>
  <c r="BK45" i="50"/>
  <c r="BL45" i="50"/>
  <c r="BM45" i="50"/>
  <c r="BN45" i="50"/>
  <c r="BO45" i="50"/>
  <c r="BP45" i="50"/>
  <c r="BQ45" i="50"/>
  <c r="BR45" i="50"/>
  <c r="BS45" i="50"/>
  <c r="BT45" i="50"/>
  <c r="BU45" i="50"/>
  <c r="BV45" i="50"/>
  <c r="BW45" i="50"/>
  <c r="BX45" i="50"/>
  <c r="BY45" i="50"/>
  <c r="BZ45" i="50"/>
  <c r="CA45" i="50"/>
  <c r="CB45" i="50"/>
  <c r="CC45" i="50"/>
  <c r="CD45" i="50"/>
  <c r="CE45" i="50"/>
  <c r="CF45" i="50"/>
  <c r="CG45" i="50"/>
  <c r="CH45" i="50"/>
  <c r="CI45" i="50"/>
  <c r="CJ45" i="50"/>
  <c r="CK45" i="50"/>
  <c r="CL45" i="50"/>
  <c r="CM45" i="50"/>
  <c r="CN45" i="50"/>
  <c r="CO45" i="50"/>
  <c r="CP45" i="50"/>
  <c r="CQ45" i="50"/>
  <c r="CR45" i="50"/>
  <c r="CS45" i="50"/>
  <c r="CT45" i="50"/>
  <c r="CU45" i="50"/>
  <c r="CV45" i="50"/>
  <c r="CW45" i="50"/>
  <c r="CX45" i="50"/>
  <c r="CY45" i="50"/>
  <c r="CZ45" i="50"/>
  <c r="DA45" i="50"/>
  <c r="J46" i="50"/>
  <c r="K46" i="50"/>
  <c r="L46" i="50"/>
  <c r="M46" i="50"/>
  <c r="N46" i="50"/>
  <c r="O46" i="50"/>
  <c r="P46" i="50"/>
  <c r="Q46" i="50"/>
  <c r="R46" i="50"/>
  <c r="S46" i="50"/>
  <c r="T46" i="50"/>
  <c r="U46" i="50"/>
  <c r="V46" i="50"/>
  <c r="W46" i="50"/>
  <c r="X46" i="50"/>
  <c r="Y46" i="50"/>
  <c r="Z46" i="50"/>
  <c r="AA46" i="50"/>
  <c r="AB46" i="50"/>
  <c r="AC46" i="50"/>
  <c r="AD46" i="50"/>
  <c r="AE46" i="50"/>
  <c r="AF46" i="50"/>
  <c r="AG46" i="50"/>
  <c r="AH46" i="50"/>
  <c r="AI46" i="50"/>
  <c r="AJ46" i="50"/>
  <c r="AK46" i="50"/>
  <c r="AL46" i="50"/>
  <c r="AM46" i="50"/>
  <c r="AN46" i="50"/>
  <c r="AO46" i="50"/>
  <c r="AP46" i="50"/>
  <c r="AQ46" i="50"/>
  <c r="AR46" i="50"/>
  <c r="AS46" i="50"/>
  <c r="AT46" i="50"/>
  <c r="AU46" i="50"/>
  <c r="AV46" i="50"/>
  <c r="AW46" i="50"/>
  <c r="AX46" i="50"/>
  <c r="AY46" i="50"/>
  <c r="AZ46" i="50"/>
  <c r="BA46" i="50"/>
  <c r="BB46" i="50"/>
  <c r="BC46" i="50"/>
  <c r="BD46" i="50"/>
  <c r="BE46" i="50"/>
  <c r="BF46" i="50"/>
  <c r="BG46" i="50"/>
  <c r="BH46" i="50"/>
  <c r="BI46" i="50"/>
  <c r="BJ46" i="50"/>
  <c r="BK46" i="50"/>
  <c r="BL46" i="50"/>
  <c r="BM46" i="50"/>
  <c r="BN46" i="50"/>
  <c r="BO46" i="50"/>
  <c r="BP46" i="50"/>
  <c r="BQ46" i="50"/>
  <c r="BR46" i="50"/>
  <c r="BS46" i="50"/>
  <c r="BT46" i="50"/>
  <c r="BU46" i="50"/>
  <c r="BV46" i="50"/>
  <c r="BW46" i="50"/>
  <c r="BX46" i="50"/>
  <c r="BY46" i="50"/>
  <c r="BZ46" i="50"/>
  <c r="CA46" i="50"/>
  <c r="CB46" i="50"/>
  <c r="CC46" i="50"/>
  <c r="CD46" i="50"/>
  <c r="CE46" i="50"/>
  <c r="CF46" i="50"/>
  <c r="CG46" i="50"/>
  <c r="CI46" i="50"/>
  <c r="CJ46" i="50"/>
  <c r="CK46" i="50"/>
  <c r="CL46" i="50"/>
  <c r="CM46" i="50"/>
  <c r="CN46" i="50"/>
  <c r="CO46" i="50"/>
  <c r="CP46" i="50"/>
  <c r="CQ46" i="50"/>
  <c r="CR46" i="50"/>
  <c r="CS46" i="50"/>
  <c r="CT46" i="50"/>
  <c r="CU46" i="50"/>
  <c r="CV46" i="50"/>
  <c r="CW46" i="50"/>
  <c r="CX46" i="50"/>
  <c r="CY46" i="50"/>
  <c r="CZ46" i="50"/>
  <c r="J47" i="50"/>
  <c r="K47" i="50"/>
  <c r="L47" i="50"/>
  <c r="M47" i="50"/>
  <c r="N47" i="50"/>
  <c r="O47" i="50"/>
  <c r="P47" i="50"/>
  <c r="Q47" i="50"/>
  <c r="R47" i="50"/>
  <c r="S47" i="50"/>
  <c r="T47" i="50"/>
  <c r="U47" i="50"/>
  <c r="V47" i="50"/>
  <c r="W47" i="50"/>
  <c r="X47" i="50"/>
  <c r="Y47" i="50"/>
  <c r="Z47" i="50"/>
  <c r="AA47" i="50"/>
  <c r="AB47" i="50"/>
  <c r="AC47" i="50"/>
  <c r="AD47" i="50"/>
  <c r="AE47" i="50"/>
  <c r="AF47" i="50"/>
  <c r="AG47" i="50"/>
  <c r="AH47" i="50"/>
  <c r="AI47" i="50"/>
  <c r="AJ47" i="50"/>
  <c r="AK47" i="50"/>
  <c r="AL47" i="50"/>
  <c r="AM47" i="50"/>
  <c r="AN47" i="50"/>
  <c r="AO47" i="50"/>
  <c r="AP47" i="50"/>
  <c r="AQ47" i="50"/>
  <c r="AR47" i="50"/>
  <c r="AS47" i="50"/>
  <c r="AT47" i="50"/>
  <c r="AU47" i="50"/>
  <c r="AV47" i="50"/>
  <c r="AW47" i="50"/>
  <c r="AX47" i="50"/>
  <c r="AY47" i="50"/>
  <c r="AZ47" i="50"/>
  <c r="BA47" i="50"/>
  <c r="BB47" i="50"/>
  <c r="BC47" i="50"/>
  <c r="BD47" i="50"/>
  <c r="BE47" i="50"/>
  <c r="BF47" i="50"/>
  <c r="BG47" i="50"/>
  <c r="BH47" i="50"/>
  <c r="BI47" i="50"/>
  <c r="BJ47" i="50"/>
  <c r="BK47" i="50"/>
  <c r="BL47" i="50"/>
  <c r="BM47" i="50"/>
  <c r="BN47" i="50"/>
  <c r="BO47" i="50"/>
  <c r="BP47" i="50"/>
  <c r="BQ47" i="50"/>
  <c r="BR47" i="50"/>
  <c r="BS47" i="50"/>
  <c r="BT47" i="50"/>
  <c r="BU47" i="50"/>
  <c r="BV47" i="50"/>
  <c r="BW47" i="50"/>
  <c r="BX47" i="50"/>
  <c r="BY47" i="50"/>
  <c r="BZ47" i="50"/>
  <c r="CA47" i="50"/>
  <c r="CB47" i="50"/>
  <c r="CC47" i="50"/>
  <c r="CE47" i="50"/>
  <c r="CF47" i="50"/>
  <c r="CG47" i="50"/>
  <c r="CH47" i="50"/>
  <c r="CI47" i="50"/>
  <c r="CJ47" i="50"/>
  <c r="CK47" i="50"/>
  <c r="CL47" i="50"/>
  <c r="CM47" i="50"/>
  <c r="CN47" i="50"/>
  <c r="CO47" i="50"/>
  <c r="CP47" i="50"/>
  <c r="CQ47" i="50"/>
  <c r="CR47" i="50"/>
  <c r="CS47" i="50"/>
  <c r="CT47" i="50"/>
  <c r="CU47" i="50"/>
  <c r="CV47" i="50"/>
  <c r="CW47" i="50"/>
  <c r="CX47" i="50"/>
  <c r="CY47" i="50"/>
  <c r="CZ47" i="50"/>
  <c r="J48" i="50"/>
  <c r="K48" i="50"/>
  <c r="L48" i="50"/>
  <c r="M48" i="50"/>
  <c r="N48" i="50"/>
  <c r="O48" i="50"/>
  <c r="P48" i="50"/>
  <c r="Q48" i="50"/>
  <c r="R48" i="50"/>
  <c r="S48" i="50"/>
  <c r="T48" i="50"/>
  <c r="U48" i="50"/>
  <c r="V48" i="50"/>
  <c r="W48" i="50"/>
  <c r="X48" i="50"/>
  <c r="Y48" i="50"/>
  <c r="Z48" i="50"/>
  <c r="AA48" i="50"/>
  <c r="AB48" i="50"/>
  <c r="AC48" i="50"/>
  <c r="AD48" i="50"/>
  <c r="AE48" i="50"/>
  <c r="AF48" i="50"/>
  <c r="AG48" i="50"/>
  <c r="AH48" i="50"/>
  <c r="AI48" i="50"/>
  <c r="AJ48" i="50"/>
  <c r="AK48" i="50"/>
  <c r="AL48" i="50"/>
  <c r="AM48" i="50"/>
  <c r="AN48" i="50"/>
  <c r="AO48" i="50"/>
  <c r="AP48" i="50"/>
  <c r="AQ48" i="50"/>
  <c r="AR48" i="50"/>
  <c r="AS48" i="50"/>
  <c r="AT48" i="50"/>
  <c r="AU48" i="50"/>
  <c r="AV48" i="50"/>
  <c r="AW48" i="50"/>
  <c r="AX48" i="50"/>
  <c r="AY48" i="50"/>
  <c r="AZ48" i="50"/>
  <c r="BA48" i="50"/>
  <c r="BB48" i="50"/>
  <c r="BC48" i="50"/>
  <c r="BD48" i="50"/>
  <c r="BE48" i="50"/>
  <c r="BF48" i="50"/>
  <c r="BG48" i="50"/>
  <c r="BH48" i="50"/>
  <c r="BI48" i="50"/>
  <c r="BJ48" i="50"/>
  <c r="BK48" i="50"/>
  <c r="BL48" i="50"/>
  <c r="BM48" i="50"/>
  <c r="BN48" i="50"/>
  <c r="BO48" i="50"/>
  <c r="BP48" i="50"/>
  <c r="BQ48" i="50"/>
  <c r="BR48" i="50"/>
  <c r="BS48" i="50"/>
  <c r="BT48" i="50"/>
  <c r="BU48" i="50"/>
  <c r="BV48" i="50"/>
  <c r="BW48" i="50"/>
  <c r="BX48" i="50"/>
  <c r="BY48" i="50"/>
  <c r="BZ48" i="50"/>
  <c r="CA48" i="50"/>
  <c r="CB48" i="50"/>
  <c r="CC48" i="50"/>
  <c r="CD48" i="50"/>
  <c r="CE48" i="50"/>
  <c r="CG48" i="50"/>
  <c r="CH48" i="50"/>
  <c r="CI48" i="50"/>
  <c r="CJ48" i="50"/>
  <c r="CK48" i="50"/>
  <c r="CL48" i="50"/>
  <c r="CM48" i="50"/>
  <c r="CN48" i="50"/>
  <c r="CO48" i="50"/>
  <c r="CP48" i="50"/>
  <c r="CQ48" i="50"/>
  <c r="CR48" i="50"/>
  <c r="CS48" i="50"/>
  <c r="CT48" i="50"/>
  <c r="CU48" i="50"/>
  <c r="CV48" i="50"/>
  <c r="CW48" i="50"/>
  <c r="CX48" i="50"/>
  <c r="CY48" i="50"/>
  <c r="CZ48" i="50"/>
  <c r="J49" i="50"/>
  <c r="K49" i="50"/>
  <c r="L49" i="50"/>
  <c r="M49" i="50"/>
  <c r="N49" i="50"/>
  <c r="O49" i="50"/>
  <c r="P49" i="50"/>
  <c r="Q49" i="50"/>
  <c r="R49" i="50"/>
  <c r="S49" i="50"/>
  <c r="T49" i="50"/>
  <c r="U49" i="50"/>
  <c r="V49" i="50"/>
  <c r="W49" i="50"/>
  <c r="X49" i="50"/>
  <c r="Y49" i="50"/>
  <c r="Z49" i="50"/>
  <c r="AA49" i="50"/>
  <c r="AB49" i="50"/>
  <c r="AC49" i="50"/>
  <c r="AD49" i="50"/>
  <c r="AE49" i="50"/>
  <c r="AF49" i="50"/>
  <c r="AG49" i="50"/>
  <c r="AH49" i="50"/>
  <c r="AI49" i="50"/>
  <c r="AJ49" i="50"/>
  <c r="AK49" i="50"/>
  <c r="AL49" i="50"/>
  <c r="AM49" i="50"/>
  <c r="AN49" i="50"/>
  <c r="AO49" i="50"/>
  <c r="AP49" i="50"/>
  <c r="AQ49" i="50"/>
  <c r="AR49" i="50"/>
  <c r="AS49" i="50"/>
  <c r="AT49" i="50"/>
  <c r="AU49" i="50"/>
  <c r="AV49" i="50"/>
  <c r="AW49" i="50"/>
  <c r="AX49" i="50"/>
  <c r="AY49" i="50"/>
  <c r="AZ49" i="50"/>
  <c r="BA49" i="50"/>
  <c r="BB49" i="50"/>
  <c r="BC49" i="50"/>
  <c r="BD49" i="50"/>
  <c r="BE49" i="50"/>
  <c r="BF49" i="50"/>
  <c r="BG49" i="50"/>
  <c r="BH49" i="50"/>
  <c r="BI49" i="50"/>
  <c r="BJ49" i="50"/>
  <c r="BK49" i="50"/>
  <c r="BL49" i="50"/>
  <c r="BM49" i="50"/>
  <c r="BN49" i="50"/>
  <c r="BO49" i="50"/>
  <c r="BP49" i="50"/>
  <c r="BQ49" i="50"/>
  <c r="BR49" i="50"/>
  <c r="BS49" i="50"/>
  <c r="BT49" i="50"/>
  <c r="BU49" i="50"/>
  <c r="BV49" i="50"/>
  <c r="BW49" i="50"/>
  <c r="BX49" i="50"/>
  <c r="BY49" i="50"/>
  <c r="BZ49" i="50"/>
  <c r="CA49" i="50"/>
  <c r="CB49" i="50"/>
  <c r="CC49" i="50"/>
  <c r="CD49" i="50"/>
  <c r="CE49" i="50"/>
  <c r="CF49" i="50"/>
  <c r="CG49" i="50"/>
  <c r="CH49" i="50"/>
  <c r="CI49" i="50"/>
  <c r="CJ49" i="50"/>
  <c r="CK49" i="50"/>
  <c r="CL49" i="50"/>
  <c r="CM49" i="50"/>
  <c r="CN49" i="50"/>
  <c r="CO49" i="50"/>
  <c r="CP49" i="50"/>
  <c r="CQ49" i="50"/>
  <c r="CR49" i="50"/>
  <c r="CS49" i="50"/>
  <c r="CU49" i="50"/>
  <c r="CV49" i="50"/>
  <c r="CW49" i="50"/>
  <c r="CX49" i="50"/>
  <c r="CY49" i="50"/>
  <c r="CZ49" i="50"/>
  <c r="J50" i="50"/>
  <c r="K50" i="50"/>
  <c r="L50" i="50"/>
  <c r="M50" i="50"/>
  <c r="N50" i="50"/>
  <c r="O50" i="50"/>
  <c r="P50" i="50"/>
  <c r="Q50" i="50"/>
  <c r="R50" i="50"/>
  <c r="S50" i="50"/>
  <c r="T50" i="50"/>
  <c r="U50" i="50"/>
  <c r="V50" i="50"/>
  <c r="W50" i="50"/>
  <c r="X50" i="50"/>
  <c r="Y50" i="50"/>
  <c r="Z50" i="50"/>
  <c r="AA50" i="50"/>
  <c r="AB50" i="50"/>
  <c r="AC50" i="50"/>
  <c r="AD50" i="50"/>
  <c r="AE50" i="50"/>
  <c r="AF50" i="50"/>
  <c r="AG50" i="50"/>
  <c r="AH50" i="50"/>
  <c r="AI50" i="50"/>
  <c r="AJ50" i="50"/>
  <c r="AK50" i="50"/>
  <c r="AL50" i="50"/>
  <c r="AM50" i="50"/>
  <c r="AN50" i="50"/>
  <c r="AO50" i="50"/>
  <c r="AP50" i="50"/>
  <c r="AQ50" i="50"/>
  <c r="AR50" i="50"/>
  <c r="AS50" i="50"/>
  <c r="AT50" i="50"/>
  <c r="AU50" i="50"/>
  <c r="AV50" i="50"/>
  <c r="AW50" i="50"/>
  <c r="AX50" i="50"/>
  <c r="AY50" i="50"/>
  <c r="AZ50" i="50"/>
  <c r="BA50" i="50"/>
  <c r="BB50" i="50"/>
  <c r="BC50" i="50"/>
  <c r="BD50" i="50"/>
  <c r="BE50" i="50"/>
  <c r="BF50" i="50"/>
  <c r="BG50" i="50"/>
  <c r="BH50" i="50"/>
  <c r="BI50" i="50"/>
  <c r="BJ50" i="50"/>
  <c r="BK50" i="50"/>
  <c r="BL50" i="50"/>
  <c r="BM50" i="50"/>
  <c r="BN50" i="50"/>
  <c r="BO50" i="50"/>
  <c r="BP50" i="50"/>
  <c r="BQ50" i="50"/>
  <c r="BR50" i="50"/>
  <c r="BS50" i="50"/>
  <c r="BT50" i="50"/>
  <c r="BU50" i="50"/>
  <c r="BV50" i="50"/>
  <c r="BW50" i="50"/>
  <c r="BX50" i="50"/>
  <c r="BY50" i="50"/>
  <c r="BZ50" i="50"/>
  <c r="CA50" i="50"/>
  <c r="CB50" i="50"/>
  <c r="CC50" i="50"/>
  <c r="CD50" i="50"/>
  <c r="CE50" i="50"/>
  <c r="CF50" i="50"/>
  <c r="CG50" i="50"/>
  <c r="CH50" i="50"/>
  <c r="CI50" i="50"/>
  <c r="CJ50" i="50"/>
  <c r="CK50" i="50"/>
  <c r="CL50" i="50"/>
  <c r="CM50" i="50"/>
  <c r="CN50" i="50"/>
  <c r="CO50" i="50"/>
  <c r="CP50" i="50"/>
  <c r="CQ50" i="50"/>
  <c r="CR50" i="50"/>
  <c r="CS50" i="50"/>
  <c r="CT50" i="50"/>
  <c r="CU50" i="50"/>
  <c r="CV50" i="50"/>
  <c r="CX50" i="50"/>
  <c r="CY50" i="50"/>
  <c r="DA50" i="50"/>
  <c r="J51" i="50"/>
  <c r="K51" i="50"/>
  <c r="L51" i="50"/>
  <c r="M51" i="50"/>
  <c r="N51" i="50"/>
  <c r="O51" i="50"/>
  <c r="P51" i="50"/>
  <c r="Q51" i="50"/>
  <c r="R51" i="50"/>
  <c r="S51" i="50"/>
  <c r="T51" i="50"/>
  <c r="U51" i="50"/>
  <c r="V51" i="50"/>
  <c r="W51" i="50"/>
  <c r="X51" i="50"/>
  <c r="Y51" i="50"/>
  <c r="Z51" i="50"/>
  <c r="AA51" i="50"/>
  <c r="AB51" i="50"/>
  <c r="AC51" i="50"/>
  <c r="AD51" i="50"/>
  <c r="AE51" i="50"/>
  <c r="AF51" i="50"/>
  <c r="AG51" i="50"/>
  <c r="AH51" i="50"/>
  <c r="AI51" i="50"/>
  <c r="AJ51" i="50"/>
  <c r="AK51" i="50"/>
  <c r="AL51" i="50"/>
  <c r="AM51" i="50"/>
  <c r="AN51" i="50"/>
  <c r="AO51" i="50"/>
  <c r="AP51" i="50"/>
  <c r="AQ51" i="50"/>
  <c r="AR51" i="50"/>
  <c r="AS51" i="50"/>
  <c r="AT51" i="50"/>
  <c r="AU51" i="50"/>
  <c r="AV51" i="50"/>
  <c r="AW51" i="50"/>
  <c r="AX51" i="50"/>
  <c r="AY51" i="50"/>
  <c r="AZ51" i="50"/>
  <c r="BA51" i="50"/>
  <c r="BB51" i="50"/>
  <c r="BC51" i="50"/>
  <c r="BD51" i="50"/>
  <c r="BE51" i="50"/>
  <c r="BF51" i="50"/>
  <c r="BG51" i="50"/>
  <c r="BH51" i="50"/>
  <c r="BI51" i="50"/>
  <c r="BJ51" i="50"/>
  <c r="BK51" i="50"/>
  <c r="BL51" i="50"/>
  <c r="BM51" i="50"/>
  <c r="BN51" i="50"/>
  <c r="BO51" i="50"/>
  <c r="BP51" i="50"/>
  <c r="BQ51" i="50"/>
  <c r="BR51" i="50"/>
  <c r="BS51" i="50"/>
  <c r="BT51" i="50"/>
  <c r="BU51" i="50"/>
  <c r="BV51" i="50"/>
  <c r="BW51" i="50"/>
  <c r="BX51" i="50"/>
  <c r="BY51" i="50"/>
  <c r="BZ51" i="50"/>
  <c r="CA51" i="50"/>
  <c r="CB51" i="50"/>
  <c r="CC51" i="50"/>
  <c r="CD51" i="50"/>
  <c r="CE51" i="50"/>
  <c r="CF51" i="50"/>
  <c r="CG51" i="50"/>
  <c r="CH51" i="50"/>
  <c r="CI51" i="50"/>
  <c r="CJ51" i="50"/>
  <c r="CK51" i="50"/>
  <c r="CL51" i="50"/>
  <c r="CM51" i="50"/>
  <c r="CN51" i="50"/>
  <c r="CO51" i="50"/>
  <c r="CP51" i="50"/>
  <c r="CQ51" i="50"/>
  <c r="CR51" i="50"/>
  <c r="CS51" i="50"/>
  <c r="CT51" i="50"/>
  <c r="CU51" i="50"/>
  <c r="CV51" i="50"/>
  <c r="CW51" i="50"/>
  <c r="CX51" i="50"/>
  <c r="CY51" i="50"/>
  <c r="CZ51" i="50"/>
  <c r="DA51" i="50"/>
  <c r="A10" i="50" a="1"/>
  <c r="A10" i="50" s="1"/>
  <c r="J12" i="49"/>
  <c r="K12" i="49"/>
  <c r="L12" i="49"/>
  <c r="M12" i="49"/>
  <c r="N12" i="49"/>
  <c r="O12" i="49"/>
  <c r="P12" i="49"/>
  <c r="Q12" i="49"/>
  <c r="R12" i="49"/>
  <c r="S12" i="49"/>
  <c r="T12" i="49"/>
  <c r="U12" i="49"/>
  <c r="V12" i="49"/>
  <c r="W12" i="49"/>
  <c r="X12" i="49"/>
  <c r="Y12" i="49"/>
  <c r="Z12" i="49"/>
  <c r="AA12" i="49"/>
  <c r="AB12" i="49"/>
  <c r="AC12" i="49"/>
  <c r="AD12" i="49"/>
  <c r="AE12" i="49"/>
  <c r="AF12" i="49"/>
  <c r="AG12" i="49"/>
  <c r="AH12" i="49"/>
  <c r="AI12" i="49"/>
  <c r="AJ12" i="49"/>
  <c r="AK12" i="49"/>
  <c r="AL12" i="49"/>
  <c r="AM12" i="49"/>
  <c r="AN12" i="49"/>
  <c r="AO12" i="49"/>
  <c r="AP12" i="49"/>
  <c r="AQ12" i="49"/>
  <c r="AR12" i="49"/>
  <c r="AS12" i="49"/>
  <c r="AT12" i="49"/>
  <c r="AU12" i="49"/>
  <c r="AV12" i="49"/>
  <c r="AW12" i="49"/>
  <c r="AX12" i="49"/>
  <c r="AY12" i="49"/>
  <c r="AZ12" i="49"/>
  <c r="BA12" i="49"/>
  <c r="BB12" i="49"/>
  <c r="BC12" i="49"/>
  <c r="BD12" i="49"/>
  <c r="BE12" i="49"/>
  <c r="BF12" i="49"/>
  <c r="BG12" i="49"/>
  <c r="BH12" i="49"/>
  <c r="BI12" i="49"/>
  <c r="BJ12" i="49"/>
  <c r="BK12" i="49"/>
  <c r="BL12" i="49"/>
  <c r="BM12" i="49"/>
  <c r="BN12" i="49"/>
  <c r="BO12" i="49"/>
  <c r="BP12" i="49"/>
  <c r="BQ12" i="49"/>
  <c r="BR12" i="49"/>
  <c r="BS12" i="49"/>
  <c r="BT12" i="49"/>
  <c r="BU12" i="49"/>
  <c r="BV12" i="49"/>
  <c r="BW12" i="49"/>
  <c r="BX12" i="49"/>
  <c r="BY12" i="49"/>
  <c r="BZ12" i="49"/>
  <c r="CA12" i="49"/>
  <c r="CB12" i="49"/>
  <c r="CC12" i="49"/>
  <c r="CD12" i="49"/>
  <c r="CE12" i="49"/>
  <c r="CF12" i="49"/>
  <c r="CG12" i="49"/>
  <c r="CH12" i="49"/>
  <c r="CI12" i="49"/>
  <c r="CJ12" i="49"/>
  <c r="CK12" i="49"/>
  <c r="CL12" i="49"/>
  <c r="CM12" i="49"/>
  <c r="CN12" i="49"/>
  <c r="CO12" i="49"/>
  <c r="CP12" i="49"/>
  <c r="CQ12" i="49"/>
  <c r="CR12" i="49"/>
  <c r="CS12" i="49"/>
  <c r="CT12" i="49"/>
  <c r="CU12" i="49"/>
  <c r="CV12" i="49"/>
  <c r="CW12" i="49"/>
  <c r="CX12" i="49"/>
  <c r="CY12" i="49"/>
  <c r="CZ12" i="49"/>
  <c r="DA12" i="49"/>
  <c r="J13" i="49"/>
  <c r="K13" i="49"/>
  <c r="L13" i="49"/>
  <c r="M13" i="49"/>
  <c r="N13" i="49"/>
  <c r="O13" i="49"/>
  <c r="P13" i="49"/>
  <c r="Q13" i="49"/>
  <c r="R13" i="49"/>
  <c r="S13" i="49"/>
  <c r="T13" i="49"/>
  <c r="U13" i="49"/>
  <c r="V13" i="49"/>
  <c r="W13" i="49"/>
  <c r="X13" i="49"/>
  <c r="Y13" i="49"/>
  <c r="Z13" i="49"/>
  <c r="AA13" i="49"/>
  <c r="AB13" i="49"/>
  <c r="AC13" i="49"/>
  <c r="AD13" i="49"/>
  <c r="AE13" i="49"/>
  <c r="AF13" i="49"/>
  <c r="AG13" i="49"/>
  <c r="AH13" i="49"/>
  <c r="AI13" i="49"/>
  <c r="AJ13" i="49"/>
  <c r="AK13" i="49"/>
  <c r="AL13" i="49"/>
  <c r="AM13" i="49"/>
  <c r="AN13" i="49"/>
  <c r="AO13" i="49"/>
  <c r="AP13" i="49"/>
  <c r="AQ13" i="49"/>
  <c r="AR13" i="49"/>
  <c r="AS13" i="49"/>
  <c r="AT13" i="49"/>
  <c r="AU13" i="49"/>
  <c r="AV13" i="49"/>
  <c r="AW13" i="49"/>
  <c r="AX13" i="49"/>
  <c r="AY13" i="49"/>
  <c r="AZ13" i="49"/>
  <c r="BA13" i="49"/>
  <c r="BB13" i="49"/>
  <c r="BC13" i="49"/>
  <c r="BD13" i="49"/>
  <c r="BE13" i="49"/>
  <c r="BF13" i="49"/>
  <c r="BG13" i="49"/>
  <c r="BH13" i="49"/>
  <c r="BI13" i="49"/>
  <c r="BJ13" i="49"/>
  <c r="BK13" i="49"/>
  <c r="BL13" i="49"/>
  <c r="BM13" i="49"/>
  <c r="BN13" i="49"/>
  <c r="BO13" i="49"/>
  <c r="BP13" i="49"/>
  <c r="BQ13" i="49"/>
  <c r="BR13" i="49"/>
  <c r="BS13" i="49"/>
  <c r="BT13" i="49"/>
  <c r="BU13" i="49"/>
  <c r="BV13" i="49"/>
  <c r="BW13" i="49"/>
  <c r="BX13" i="49"/>
  <c r="BY13" i="49"/>
  <c r="BZ13" i="49"/>
  <c r="CA13" i="49"/>
  <c r="CB13" i="49"/>
  <c r="CC13" i="49"/>
  <c r="CD13" i="49"/>
  <c r="CE13" i="49"/>
  <c r="CF13" i="49"/>
  <c r="CG13" i="49"/>
  <c r="CH13" i="49"/>
  <c r="CI13" i="49"/>
  <c r="CJ13" i="49"/>
  <c r="CK13" i="49"/>
  <c r="CL13" i="49"/>
  <c r="CM13" i="49"/>
  <c r="CN13" i="49"/>
  <c r="CO13" i="49"/>
  <c r="CP13" i="49"/>
  <c r="CQ13" i="49"/>
  <c r="CR13" i="49"/>
  <c r="CS13" i="49"/>
  <c r="CT13" i="49"/>
  <c r="CU13" i="49"/>
  <c r="CV13" i="49"/>
  <c r="CW13" i="49"/>
  <c r="CX13" i="49"/>
  <c r="CY13" i="49"/>
  <c r="CZ13" i="49"/>
  <c r="DA13" i="49"/>
  <c r="J14" i="49"/>
  <c r="K14" i="49"/>
  <c r="L14" i="49"/>
  <c r="M14" i="49"/>
  <c r="N14" i="49"/>
  <c r="O14" i="49"/>
  <c r="P14" i="49"/>
  <c r="Q14" i="49"/>
  <c r="R14" i="49"/>
  <c r="S14" i="49"/>
  <c r="T14" i="49"/>
  <c r="U14" i="49"/>
  <c r="V14" i="49"/>
  <c r="W14" i="49"/>
  <c r="X14" i="49"/>
  <c r="Y14" i="49"/>
  <c r="Z14" i="49"/>
  <c r="AA14" i="49"/>
  <c r="AB14" i="49"/>
  <c r="AC14" i="49"/>
  <c r="AD14" i="49"/>
  <c r="AE14" i="49"/>
  <c r="AF14" i="49"/>
  <c r="AG14" i="49"/>
  <c r="AH14" i="49"/>
  <c r="AI14" i="49"/>
  <c r="AJ14" i="49"/>
  <c r="AK14" i="49"/>
  <c r="AL14" i="49"/>
  <c r="AM14" i="49"/>
  <c r="AN14" i="49"/>
  <c r="AO14" i="49"/>
  <c r="AP14" i="49"/>
  <c r="AQ14" i="49"/>
  <c r="AR14" i="49"/>
  <c r="AS14" i="49"/>
  <c r="AT14" i="49"/>
  <c r="AU14" i="49"/>
  <c r="AV14" i="49"/>
  <c r="AW14" i="49"/>
  <c r="AX14" i="49"/>
  <c r="AY14" i="49"/>
  <c r="AZ14" i="49"/>
  <c r="BA14" i="49"/>
  <c r="BB14" i="49"/>
  <c r="BC14" i="49"/>
  <c r="BD14" i="49"/>
  <c r="BE14" i="49"/>
  <c r="BF14" i="49"/>
  <c r="BG14" i="49"/>
  <c r="BH14" i="49"/>
  <c r="BI14" i="49"/>
  <c r="BJ14" i="49"/>
  <c r="BK14" i="49"/>
  <c r="BL14" i="49"/>
  <c r="BM14" i="49"/>
  <c r="BN14" i="49"/>
  <c r="BO14" i="49"/>
  <c r="BP14" i="49"/>
  <c r="BQ14" i="49"/>
  <c r="BR14" i="49"/>
  <c r="BS14" i="49"/>
  <c r="BT14" i="49"/>
  <c r="BU14" i="49"/>
  <c r="BV14" i="49"/>
  <c r="BW14" i="49"/>
  <c r="BX14" i="49"/>
  <c r="BY14" i="49"/>
  <c r="BZ14" i="49"/>
  <c r="CA14" i="49"/>
  <c r="CB14" i="49"/>
  <c r="CC14" i="49"/>
  <c r="CD14" i="49"/>
  <c r="CE14" i="49"/>
  <c r="CF14" i="49"/>
  <c r="CG14" i="49"/>
  <c r="CH14" i="49"/>
  <c r="CI14" i="49"/>
  <c r="CJ14" i="49"/>
  <c r="CK14" i="49"/>
  <c r="CL14" i="49"/>
  <c r="CM14" i="49"/>
  <c r="CN14" i="49"/>
  <c r="CO14" i="49"/>
  <c r="CP14" i="49"/>
  <c r="CQ14" i="49"/>
  <c r="CR14" i="49"/>
  <c r="CS14" i="49"/>
  <c r="CT14" i="49"/>
  <c r="CU14" i="49"/>
  <c r="CV14" i="49"/>
  <c r="CW14" i="49"/>
  <c r="CX14" i="49"/>
  <c r="CY14" i="49"/>
  <c r="CZ14" i="49"/>
  <c r="DA14"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BD15" i="49"/>
  <c r="BE15" i="49"/>
  <c r="BF15" i="49"/>
  <c r="BG15" i="49"/>
  <c r="BH15" i="49"/>
  <c r="BI15" i="49"/>
  <c r="BJ15" i="49"/>
  <c r="BK15" i="49"/>
  <c r="BL15" i="49"/>
  <c r="BM15" i="49"/>
  <c r="BN15" i="49"/>
  <c r="BO15" i="49"/>
  <c r="BP15" i="49"/>
  <c r="BQ15" i="49"/>
  <c r="BR15" i="49"/>
  <c r="BS15" i="49"/>
  <c r="BT15" i="49"/>
  <c r="BU15" i="49"/>
  <c r="BV15" i="49"/>
  <c r="BW15" i="49"/>
  <c r="BX15" i="49"/>
  <c r="BY15" i="49"/>
  <c r="BZ15" i="49"/>
  <c r="CA15" i="49"/>
  <c r="CB15" i="49"/>
  <c r="CC15" i="49"/>
  <c r="CD15" i="49"/>
  <c r="CE15" i="49"/>
  <c r="CF15" i="49"/>
  <c r="CG15" i="49"/>
  <c r="CH15" i="49"/>
  <c r="CI15" i="49"/>
  <c r="CJ15" i="49"/>
  <c r="CK15" i="49"/>
  <c r="CL15" i="49"/>
  <c r="CM15" i="49"/>
  <c r="CN15" i="49"/>
  <c r="CO15" i="49"/>
  <c r="CP15" i="49"/>
  <c r="CQ15" i="49"/>
  <c r="CR15" i="49"/>
  <c r="CS15" i="49"/>
  <c r="CT15" i="49"/>
  <c r="CU15" i="49"/>
  <c r="CV15" i="49"/>
  <c r="CW15" i="49"/>
  <c r="CX15" i="49"/>
  <c r="CY15" i="49"/>
  <c r="CZ15" i="49"/>
  <c r="DA15"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BD16" i="49"/>
  <c r="BE16" i="49"/>
  <c r="BF16" i="49"/>
  <c r="BG16" i="49"/>
  <c r="BH16" i="49"/>
  <c r="BI16" i="49"/>
  <c r="BJ16" i="49"/>
  <c r="BK16" i="49"/>
  <c r="BL16" i="49"/>
  <c r="BM16" i="49"/>
  <c r="BN16" i="49"/>
  <c r="BO16" i="49"/>
  <c r="BP16" i="49"/>
  <c r="BQ16" i="49"/>
  <c r="BR16" i="49"/>
  <c r="BS16" i="49"/>
  <c r="BT16" i="49"/>
  <c r="BU16" i="49"/>
  <c r="BV16" i="49"/>
  <c r="BW16" i="49"/>
  <c r="BX16" i="49"/>
  <c r="BY16" i="49"/>
  <c r="BZ16" i="49"/>
  <c r="CA16" i="49"/>
  <c r="CB16" i="49"/>
  <c r="CC16" i="49"/>
  <c r="CD16" i="49"/>
  <c r="CE16" i="49"/>
  <c r="CF16" i="49"/>
  <c r="CG16" i="49"/>
  <c r="CH16" i="49"/>
  <c r="CI16" i="49"/>
  <c r="CJ16" i="49"/>
  <c r="CK16" i="49"/>
  <c r="CL16" i="49"/>
  <c r="CM16" i="49"/>
  <c r="CN16" i="49"/>
  <c r="CO16" i="49"/>
  <c r="CP16" i="49"/>
  <c r="CQ16" i="49"/>
  <c r="CR16" i="49"/>
  <c r="CS16" i="49"/>
  <c r="CT16" i="49"/>
  <c r="CU16" i="49"/>
  <c r="CV16" i="49"/>
  <c r="CW16" i="49"/>
  <c r="CX16" i="49"/>
  <c r="CY16" i="49"/>
  <c r="CZ16" i="49"/>
  <c r="DA16"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BD17" i="49"/>
  <c r="BE17" i="49"/>
  <c r="BF17" i="49"/>
  <c r="BG17" i="49"/>
  <c r="BH17" i="49"/>
  <c r="BI17" i="49"/>
  <c r="BJ17" i="49"/>
  <c r="BK17" i="49"/>
  <c r="BL17" i="49"/>
  <c r="BM17" i="49"/>
  <c r="BN17" i="49"/>
  <c r="BO17" i="49"/>
  <c r="BP17" i="49"/>
  <c r="BQ17" i="49"/>
  <c r="BR17" i="49"/>
  <c r="BS17" i="49"/>
  <c r="BT17" i="49"/>
  <c r="BU17" i="49"/>
  <c r="BV17" i="49"/>
  <c r="BW17" i="49"/>
  <c r="BX17" i="49"/>
  <c r="BY17" i="49"/>
  <c r="BZ17" i="49"/>
  <c r="CA17" i="49"/>
  <c r="CB17" i="49"/>
  <c r="CC17" i="49"/>
  <c r="CD17" i="49"/>
  <c r="CE17" i="49"/>
  <c r="CF17" i="49"/>
  <c r="CG17" i="49"/>
  <c r="CH17" i="49"/>
  <c r="CI17" i="49"/>
  <c r="CJ17" i="49"/>
  <c r="CK17" i="49"/>
  <c r="CL17" i="49"/>
  <c r="CM17" i="49"/>
  <c r="CN17" i="49"/>
  <c r="CO17" i="49"/>
  <c r="CP17" i="49"/>
  <c r="CQ17" i="49"/>
  <c r="CR17" i="49"/>
  <c r="CS17" i="49"/>
  <c r="CT17" i="49"/>
  <c r="CU17" i="49"/>
  <c r="CV17" i="49"/>
  <c r="CW17" i="49"/>
  <c r="CX17" i="49"/>
  <c r="CY17" i="49"/>
  <c r="CZ17" i="49"/>
  <c r="DA17"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BD18" i="49"/>
  <c r="BE18" i="49"/>
  <c r="BF18" i="49"/>
  <c r="BG18" i="49"/>
  <c r="BH18" i="49"/>
  <c r="BI18" i="49"/>
  <c r="BJ18" i="49"/>
  <c r="BK18" i="49"/>
  <c r="BL18" i="49"/>
  <c r="BM18" i="49"/>
  <c r="BN18" i="49"/>
  <c r="BO18" i="49"/>
  <c r="BP18" i="49"/>
  <c r="BQ18" i="49"/>
  <c r="BR18" i="49"/>
  <c r="BS18" i="49"/>
  <c r="BT18" i="49"/>
  <c r="BU18" i="49"/>
  <c r="BV18" i="49"/>
  <c r="BW18" i="49"/>
  <c r="BX18" i="49"/>
  <c r="BY18" i="49"/>
  <c r="BZ18" i="49"/>
  <c r="CA18" i="49"/>
  <c r="CB18" i="49"/>
  <c r="CC18" i="49"/>
  <c r="CD18" i="49"/>
  <c r="CE18" i="49"/>
  <c r="CF18" i="49"/>
  <c r="CG18" i="49"/>
  <c r="CH18" i="49"/>
  <c r="CI18" i="49"/>
  <c r="CJ18" i="49"/>
  <c r="CK18" i="49"/>
  <c r="CL18" i="49"/>
  <c r="CM18" i="49"/>
  <c r="CN18" i="49"/>
  <c r="CO18" i="49"/>
  <c r="CP18" i="49"/>
  <c r="CQ18" i="49"/>
  <c r="CR18" i="49"/>
  <c r="CS18" i="49"/>
  <c r="CT18" i="49"/>
  <c r="CU18" i="49"/>
  <c r="CV18" i="49"/>
  <c r="CW18" i="49"/>
  <c r="CX18" i="49"/>
  <c r="CY18" i="49"/>
  <c r="CZ18" i="49"/>
  <c r="DA18"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BD19" i="49"/>
  <c r="BE19" i="49"/>
  <c r="BF19" i="49"/>
  <c r="BG19" i="49"/>
  <c r="BH19" i="49"/>
  <c r="BI19" i="49"/>
  <c r="BJ19" i="49"/>
  <c r="BK19" i="49"/>
  <c r="BL19" i="49"/>
  <c r="BM19" i="49"/>
  <c r="BN19" i="49"/>
  <c r="BO19" i="49"/>
  <c r="BP19" i="49"/>
  <c r="BQ19" i="49"/>
  <c r="BR19" i="49"/>
  <c r="BS19" i="49"/>
  <c r="BT19" i="49"/>
  <c r="BU19" i="49"/>
  <c r="BV19" i="49"/>
  <c r="BW19" i="49"/>
  <c r="BX19" i="49"/>
  <c r="BY19" i="49"/>
  <c r="BZ19" i="49"/>
  <c r="CA19" i="49"/>
  <c r="CB19" i="49"/>
  <c r="CC19" i="49"/>
  <c r="CD19" i="49"/>
  <c r="CE19" i="49"/>
  <c r="CF19" i="49"/>
  <c r="CG19" i="49"/>
  <c r="CH19" i="49"/>
  <c r="CI19" i="49"/>
  <c r="CJ19" i="49"/>
  <c r="CK19" i="49"/>
  <c r="CL19" i="49"/>
  <c r="CM19" i="49"/>
  <c r="CN19" i="49"/>
  <c r="CO19" i="49"/>
  <c r="CP19" i="49"/>
  <c r="CQ19" i="49"/>
  <c r="CR19" i="49"/>
  <c r="CS19" i="49"/>
  <c r="CT19" i="49"/>
  <c r="CU19" i="49"/>
  <c r="CV19" i="49"/>
  <c r="CW19" i="49"/>
  <c r="CX19" i="49"/>
  <c r="CY19" i="49"/>
  <c r="CZ19" i="49"/>
  <c r="DA19"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BD20" i="49"/>
  <c r="BE20" i="49"/>
  <c r="BF20" i="49"/>
  <c r="BG20" i="49"/>
  <c r="BH20" i="49"/>
  <c r="BI20" i="49"/>
  <c r="BJ20" i="49"/>
  <c r="BK20" i="49"/>
  <c r="BL20" i="49"/>
  <c r="BM20" i="49"/>
  <c r="BN20" i="49"/>
  <c r="BO20" i="49"/>
  <c r="BP20" i="49"/>
  <c r="BQ20" i="49"/>
  <c r="BR20" i="49"/>
  <c r="BS20" i="49"/>
  <c r="BT20" i="49"/>
  <c r="BU20" i="49"/>
  <c r="BV20" i="49"/>
  <c r="BW20" i="49"/>
  <c r="BX20" i="49"/>
  <c r="BY20" i="49"/>
  <c r="BZ20" i="49"/>
  <c r="CA20" i="49"/>
  <c r="CB20" i="49"/>
  <c r="CC20" i="49"/>
  <c r="CD20" i="49"/>
  <c r="CE20" i="49"/>
  <c r="CF20" i="49"/>
  <c r="CG20" i="49"/>
  <c r="CH20" i="49"/>
  <c r="CI20" i="49"/>
  <c r="CJ20" i="49"/>
  <c r="CK20" i="49"/>
  <c r="CL20" i="49"/>
  <c r="CM20" i="49"/>
  <c r="CN20" i="49"/>
  <c r="CO20" i="49"/>
  <c r="CP20" i="49"/>
  <c r="CQ20" i="49"/>
  <c r="CR20" i="49"/>
  <c r="CS20" i="49"/>
  <c r="CT20" i="49"/>
  <c r="CU20" i="49"/>
  <c r="CV20" i="49"/>
  <c r="CW20" i="49"/>
  <c r="CX20" i="49"/>
  <c r="CY20" i="49"/>
  <c r="CZ20" i="49"/>
  <c r="DA20"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BD21" i="49"/>
  <c r="BE21" i="49"/>
  <c r="BF21" i="49"/>
  <c r="BG21" i="49"/>
  <c r="BH21" i="49"/>
  <c r="BI21" i="49"/>
  <c r="BJ21" i="49"/>
  <c r="BK21" i="49"/>
  <c r="BL21" i="49"/>
  <c r="BM21" i="49"/>
  <c r="BN21" i="49"/>
  <c r="BO21" i="49"/>
  <c r="BP21" i="49"/>
  <c r="BQ21" i="49"/>
  <c r="BR21" i="49"/>
  <c r="BS21" i="49"/>
  <c r="BT21" i="49"/>
  <c r="BU21" i="49"/>
  <c r="BV21" i="49"/>
  <c r="BW21" i="49"/>
  <c r="BX21" i="49"/>
  <c r="BY21" i="49"/>
  <c r="BZ21" i="49"/>
  <c r="CA21" i="49"/>
  <c r="CB21" i="49"/>
  <c r="CC21" i="49"/>
  <c r="CD21" i="49"/>
  <c r="CE21" i="49"/>
  <c r="CF21" i="49"/>
  <c r="CG21" i="49"/>
  <c r="CH21" i="49"/>
  <c r="CI21" i="49"/>
  <c r="CJ21" i="49"/>
  <c r="CK21" i="49"/>
  <c r="CL21" i="49"/>
  <c r="CM21" i="49"/>
  <c r="CN21" i="49"/>
  <c r="CO21" i="49"/>
  <c r="CP21" i="49"/>
  <c r="CQ21" i="49"/>
  <c r="CR21" i="49"/>
  <c r="CS21" i="49"/>
  <c r="CT21" i="49"/>
  <c r="CU21" i="49"/>
  <c r="CV21" i="49"/>
  <c r="CW21" i="49"/>
  <c r="CX21" i="49"/>
  <c r="CY21" i="49"/>
  <c r="CZ21" i="49"/>
  <c r="DA21" i="49"/>
  <c r="J22" i="49"/>
  <c r="K22" i="49"/>
  <c r="L22" i="49"/>
  <c r="M22" i="49"/>
  <c r="N22" i="49"/>
  <c r="O22" i="49"/>
  <c r="P22" i="49"/>
  <c r="Q22" i="49"/>
  <c r="R22" i="49"/>
  <c r="S22" i="49"/>
  <c r="T22" i="49"/>
  <c r="U22" i="49"/>
  <c r="V22" i="49"/>
  <c r="W22" i="49"/>
  <c r="X22" i="49"/>
  <c r="Y22" i="49"/>
  <c r="Z22" i="49"/>
  <c r="AA22" i="49"/>
  <c r="AB22" i="49"/>
  <c r="AC22" i="49"/>
  <c r="AD22" i="49"/>
  <c r="AE22" i="49"/>
  <c r="AF22" i="49"/>
  <c r="AG22" i="49"/>
  <c r="AH22" i="49"/>
  <c r="AI22" i="49"/>
  <c r="AJ22" i="49"/>
  <c r="AK22" i="49"/>
  <c r="AL22" i="49"/>
  <c r="AM22" i="49"/>
  <c r="AN22" i="49"/>
  <c r="AO22" i="49"/>
  <c r="AP22" i="49"/>
  <c r="AQ22" i="49"/>
  <c r="AR22" i="49"/>
  <c r="AS22" i="49"/>
  <c r="AT22" i="49"/>
  <c r="AU22" i="49"/>
  <c r="AV22" i="49"/>
  <c r="AW22" i="49"/>
  <c r="AX22" i="49"/>
  <c r="AY22" i="49"/>
  <c r="AZ22" i="49"/>
  <c r="BA22" i="49"/>
  <c r="BB22" i="49"/>
  <c r="BC22" i="49"/>
  <c r="BD22" i="49"/>
  <c r="BE22" i="49"/>
  <c r="BF22" i="49"/>
  <c r="BG22" i="49"/>
  <c r="BH22" i="49"/>
  <c r="BI22" i="49"/>
  <c r="BJ22" i="49"/>
  <c r="BK22" i="49"/>
  <c r="BL22" i="49"/>
  <c r="BM22" i="49"/>
  <c r="BN22" i="49"/>
  <c r="BO22" i="49"/>
  <c r="BP22" i="49"/>
  <c r="BQ22" i="49"/>
  <c r="BR22" i="49"/>
  <c r="BS22" i="49"/>
  <c r="BT22" i="49"/>
  <c r="BU22" i="49"/>
  <c r="BV22" i="49"/>
  <c r="BW22" i="49"/>
  <c r="BX22" i="49"/>
  <c r="BY22" i="49"/>
  <c r="BZ22" i="49"/>
  <c r="CA22" i="49"/>
  <c r="CB22" i="49"/>
  <c r="CC22" i="49"/>
  <c r="CD22" i="49"/>
  <c r="CE22" i="49"/>
  <c r="CF22" i="49"/>
  <c r="CG22" i="49"/>
  <c r="CH22" i="49"/>
  <c r="CI22" i="49"/>
  <c r="CJ22" i="49"/>
  <c r="CK22" i="49"/>
  <c r="CL22" i="49"/>
  <c r="CM22" i="49"/>
  <c r="CN22" i="49"/>
  <c r="CO22" i="49"/>
  <c r="CP22" i="49"/>
  <c r="CQ22" i="49"/>
  <c r="CR22" i="49"/>
  <c r="CS22" i="49"/>
  <c r="CT22" i="49"/>
  <c r="CU22" i="49"/>
  <c r="CV22" i="49"/>
  <c r="CW22" i="49"/>
  <c r="CX22" i="49"/>
  <c r="CY22" i="49"/>
  <c r="CZ22" i="49"/>
  <c r="DA22" i="49"/>
  <c r="J23" i="49"/>
  <c r="K23" i="49"/>
  <c r="L23" i="49"/>
  <c r="M23" i="49"/>
  <c r="N23" i="49"/>
  <c r="O23" i="49"/>
  <c r="P23" i="49"/>
  <c r="Q23" i="49"/>
  <c r="R23" i="49"/>
  <c r="S23" i="49"/>
  <c r="T23" i="49"/>
  <c r="U23" i="49"/>
  <c r="V23" i="49"/>
  <c r="W23" i="49"/>
  <c r="X23" i="49"/>
  <c r="Y23" i="49"/>
  <c r="Z23" i="49"/>
  <c r="AA23" i="49"/>
  <c r="AB23" i="49"/>
  <c r="AC23" i="49"/>
  <c r="AD23" i="49"/>
  <c r="AE23" i="49"/>
  <c r="AF23" i="49"/>
  <c r="AG23" i="49"/>
  <c r="AH23" i="49"/>
  <c r="AI23" i="49"/>
  <c r="AJ23" i="49"/>
  <c r="AK23" i="49"/>
  <c r="AL23" i="49"/>
  <c r="AM23" i="49"/>
  <c r="AN23" i="49"/>
  <c r="AO23" i="49"/>
  <c r="AP23" i="49"/>
  <c r="AQ23" i="49"/>
  <c r="AR23" i="49"/>
  <c r="AS23" i="49"/>
  <c r="AT23" i="49"/>
  <c r="AU23" i="49"/>
  <c r="AV23" i="49"/>
  <c r="AW23" i="49"/>
  <c r="AX23" i="49"/>
  <c r="AY23" i="49"/>
  <c r="AZ23" i="49"/>
  <c r="BA23" i="49"/>
  <c r="BB23" i="49"/>
  <c r="BC23" i="49"/>
  <c r="BD23" i="49"/>
  <c r="BE23" i="49"/>
  <c r="BF23" i="49"/>
  <c r="BG23" i="49"/>
  <c r="BH23" i="49"/>
  <c r="BI23" i="49"/>
  <c r="BJ23" i="49"/>
  <c r="BK23" i="49"/>
  <c r="BL23" i="49"/>
  <c r="BM23" i="49"/>
  <c r="BN23" i="49"/>
  <c r="BO23" i="49"/>
  <c r="BP23" i="49"/>
  <c r="BQ23" i="49"/>
  <c r="BR23" i="49"/>
  <c r="BS23" i="49"/>
  <c r="BT23" i="49"/>
  <c r="BU23" i="49"/>
  <c r="BV23" i="49"/>
  <c r="BW23" i="49"/>
  <c r="BX23" i="49"/>
  <c r="BY23" i="49"/>
  <c r="BZ23" i="49"/>
  <c r="CA23" i="49"/>
  <c r="CB23" i="49"/>
  <c r="CC23" i="49"/>
  <c r="CD23" i="49"/>
  <c r="CE23" i="49"/>
  <c r="CF23" i="49"/>
  <c r="CG23" i="49"/>
  <c r="CH23" i="49"/>
  <c r="CI23" i="49"/>
  <c r="CJ23" i="49"/>
  <c r="CK23" i="49"/>
  <c r="CL23" i="49"/>
  <c r="CM23" i="49"/>
  <c r="CN23" i="49"/>
  <c r="CO23" i="49"/>
  <c r="CP23" i="49"/>
  <c r="CQ23" i="49"/>
  <c r="CR23" i="49"/>
  <c r="CS23" i="49"/>
  <c r="CT23" i="49"/>
  <c r="CU23" i="49"/>
  <c r="CV23" i="49"/>
  <c r="CW23" i="49"/>
  <c r="CX23" i="49"/>
  <c r="CY23" i="49"/>
  <c r="CZ23" i="49"/>
  <c r="DA23" i="49"/>
  <c r="J24" i="49"/>
  <c r="K24" i="49"/>
  <c r="L24" i="49"/>
  <c r="M24" i="49"/>
  <c r="N24" i="49"/>
  <c r="O24" i="49"/>
  <c r="P24" i="49"/>
  <c r="Q24" i="49"/>
  <c r="R24" i="49"/>
  <c r="S24" i="49"/>
  <c r="T24" i="49"/>
  <c r="U24" i="49"/>
  <c r="V24" i="49"/>
  <c r="W24" i="49"/>
  <c r="X24" i="49"/>
  <c r="Y24" i="49"/>
  <c r="Z24" i="49"/>
  <c r="AA24" i="49"/>
  <c r="AB24" i="49"/>
  <c r="AC24" i="49"/>
  <c r="AD24" i="49"/>
  <c r="AE24" i="49"/>
  <c r="AF24" i="49"/>
  <c r="AG24" i="49"/>
  <c r="AH24" i="49"/>
  <c r="AI24" i="49"/>
  <c r="AJ24" i="49"/>
  <c r="AK24" i="49"/>
  <c r="AL24" i="49"/>
  <c r="AM24" i="49"/>
  <c r="AN24" i="49"/>
  <c r="AO24" i="49"/>
  <c r="AP24" i="49"/>
  <c r="AQ24" i="49"/>
  <c r="AR24" i="49"/>
  <c r="AS24" i="49"/>
  <c r="AT24" i="49"/>
  <c r="AU24" i="49"/>
  <c r="AV24" i="49"/>
  <c r="AW24" i="49"/>
  <c r="AX24" i="49"/>
  <c r="AY24" i="49"/>
  <c r="AZ24" i="49"/>
  <c r="BA24" i="49"/>
  <c r="BB24" i="49"/>
  <c r="BC24" i="49"/>
  <c r="BD24" i="49"/>
  <c r="BE24" i="49"/>
  <c r="BF24" i="49"/>
  <c r="BG24" i="49"/>
  <c r="BH24" i="49"/>
  <c r="BI24" i="49"/>
  <c r="BJ24" i="49"/>
  <c r="BK24" i="49"/>
  <c r="BL24" i="49"/>
  <c r="BM24" i="49"/>
  <c r="BN24" i="49"/>
  <c r="BO24" i="49"/>
  <c r="BP24" i="49"/>
  <c r="BQ24" i="49"/>
  <c r="BR24" i="49"/>
  <c r="BS24" i="49"/>
  <c r="BT24" i="49"/>
  <c r="BU24" i="49"/>
  <c r="BV24" i="49"/>
  <c r="BW24" i="49"/>
  <c r="BX24" i="49"/>
  <c r="BY24" i="49"/>
  <c r="BZ24" i="49"/>
  <c r="CA24" i="49"/>
  <c r="CB24" i="49"/>
  <c r="CC24" i="49"/>
  <c r="CD24" i="49"/>
  <c r="CE24" i="49"/>
  <c r="CF24" i="49"/>
  <c r="CG24" i="49"/>
  <c r="CH24" i="49"/>
  <c r="CI24" i="49"/>
  <c r="CJ24" i="49"/>
  <c r="CK24" i="49"/>
  <c r="CL24" i="49"/>
  <c r="CM24" i="49"/>
  <c r="CN24" i="49"/>
  <c r="CO24" i="49"/>
  <c r="CP24" i="49"/>
  <c r="CQ24" i="49"/>
  <c r="CR24" i="49"/>
  <c r="CS24" i="49"/>
  <c r="CT24" i="49"/>
  <c r="CU24" i="49"/>
  <c r="CV24" i="49"/>
  <c r="CW24" i="49"/>
  <c r="CX24" i="49"/>
  <c r="CY24" i="49"/>
  <c r="CZ24" i="49"/>
  <c r="DA24" i="49"/>
  <c r="J25" i="49"/>
  <c r="K25" i="49"/>
  <c r="L25" i="49"/>
  <c r="M25" i="49"/>
  <c r="N25" i="49"/>
  <c r="O25" i="49"/>
  <c r="P25" i="49"/>
  <c r="Q25" i="49"/>
  <c r="R25" i="49"/>
  <c r="S25" i="49"/>
  <c r="T25" i="49"/>
  <c r="U25" i="49"/>
  <c r="V25" i="49"/>
  <c r="W25" i="49"/>
  <c r="X25" i="49"/>
  <c r="Y25" i="49"/>
  <c r="Z25" i="49"/>
  <c r="AA25" i="49"/>
  <c r="AB25" i="49"/>
  <c r="AC25" i="49"/>
  <c r="AD25" i="49"/>
  <c r="AE25" i="49"/>
  <c r="AF25" i="49"/>
  <c r="AG25" i="49"/>
  <c r="AH25" i="49"/>
  <c r="AI25" i="49"/>
  <c r="AJ25" i="49"/>
  <c r="AK25" i="49"/>
  <c r="AL25" i="49"/>
  <c r="AM25" i="49"/>
  <c r="AN25" i="49"/>
  <c r="AO25" i="49"/>
  <c r="AP25" i="49"/>
  <c r="AQ25" i="49"/>
  <c r="AR25" i="49"/>
  <c r="AS25" i="49"/>
  <c r="AT25" i="49"/>
  <c r="AU25" i="49"/>
  <c r="AV25" i="49"/>
  <c r="AW25" i="49"/>
  <c r="AX25" i="49"/>
  <c r="AY25" i="49"/>
  <c r="AZ25" i="49"/>
  <c r="BA25" i="49"/>
  <c r="BB25" i="49"/>
  <c r="BC25" i="49"/>
  <c r="BD25" i="49"/>
  <c r="BE25" i="49"/>
  <c r="BF25" i="49"/>
  <c r="BG25" i="49"/>
  <c r="BH25" i="49"/>
  <c r="BI25" i="49"/>
  <c r="BJ25" i="49"/>
  <c r="BK25" i="49"/>
  <c r="BL25" i="49"/>
  <c r="BM25" i="49"/>
  <c r="BN25" i="49"/>
  <c r="BO25" i="49"/>
  <c r="BP25" i="49"/>
  <c r="BQ25" i="49"/>
  <c r="BR25" i="49"/>
  <c r="BS25" i="49"/>
  <c r="BT25" i="49"/>
  <c r="BU25" i="49"/>
  <c r="BV25" i="49"/>
  <c r="BW25" i="49"/>
  <c r="BX25" i="49"/>
  <c r="BY25" i="49"/>
  <c r="BZ25" i="49"/>
  <c r="CA25" i="49"/>
  <c r="CB25" i="49"/>
  <c r="CC25" i="49"/>
  <c r="CD25" i="49"/>
  <c r="CE25" i="49"/>
  <c r="CF25" i="49"/>
  <c r="CG25" i="49"/>
  <c r="CH25" i="49"/>
  <c r="CI25" i="49"/>
  <c r="CJ25" i="49"/>
  <c r="CK25" i="49"/>
  <c r="CL25" i="49"/>
  <c r="CM25" i="49"/>
  <c r="CN25" i="49"/>
  <c r="CO25" i="49"/>
  <c r="CP25" i="49"/>
  <c r="CQ25" i="49"/>
  <c r="CR25" i="49"/>
  <c r="CS25" i="49"/>
  <c r="CT25" i="49"/>
  <c r="CU25" i="49"/>
  <c r="CV25" i="49"/>
  <c r="CW25" i="49"/>
  <c r="CX25" i="49"/>
  <c r="CY25" i="49"/>
  <c r="CZ25" i="49"/>
  <c r="DA25" i="49"/>
  <c r="J26" i="49"/>
  <c r="K26" i="49"/>
  <c r="L26" i="49"/>
  <c r="M26" i="49"/>
  <c r="N26" i="49"/>
  <c r="O26" i="49"/>
  <c r="P26" i="49"/>
  <c r="Q26" i="49"/>
  <c r="R26" i="49"/>
  <c r="S26" i="49"/>
  <c r="T26" i="49"/>
  <c r="U26" i="49"/>
  <c r="V26" i="49"/>
  <c r="W26" i="49"/>
  <c r="X26" i="49"/>
  <c r="Y26" i="49"/>
  <c r="Z26" i="49"/>
  <c r="AA26" i="49"/>
  <c r="AB26" i="49"/>
  <c r="AC26" i="49"/>
  <c r="AD26" i="49"/>
  <c r="AE26" i="49"/>
  <c r="AF26" i="49"/>
  <c r="AG26" i="49"/>
  <c r="AH26" i="49"/>
  <c r="AI26" i="49"/>
  <c r="AJ26" i="49"/>
  <c r="AK26" i="49"/>
  <c r="AL26" i="49"/>
  <c r="AM26" i="49"/>
  <c r="AN26" i="49"/>
  <c r="AO26" i="49"/>
  <c r="AP26" i="49"/>
  <c r="AQ26" i="49"/>
  <c r="AR26" i="49"/>
  <c r="AS26" i="49"/>
  <c r="AT26" i="49"/>
  <c r="AU26" i="49"/>
  <c r="AV26" i="49"/>
  <c r="AW26" i="49"/>
  <c r="AX26" i="49"/>
  <c r="AY26" i="49"/>
  <c r="AZ26" i="49"/>
  <c r="BA26" i="49"/>
  <c r="BB26" i="49"/>
  <c r="BC26" i="49"/>
  <c r="BD26" i="49"/>
  <c r="BE26" i="49"/>
  <c r="BF26" i="49"/>
  <c r="BG26" i="49"/>
  <c r="BH26" i="49"/>
  <c r="BI26" i="49"/>
  <c r="BJ26" i="49"/>
  <c r="BK26" i="49"/>
  <c r="BL26" i="49"/>
  <c r="BM26" i="49"/>
  <c r="BN26" i="49"/>
  <c r="BO26" i="49"/>
  <c r="BP26" i="49"/>
  <c r="BQ26" i="49"/>
  <c r="BR26" i="49"/>
  <c r="BS26" i="49"/>
  <c r="BT26" i="49"/>
  <c r="BU26" i="49"/>
  <c r="BV26" i="49"/>
  <c r="BW26" i="49"/>
  <c r="BX26" i="49"/>
  <c r="BY26" i="49"/>
  <c r="BZ26" i="49"/>
  <c r="CA26" i="49"/>
  <c r="CB26" i="49"/>
  <c r="CC26" i="49"/>
  <c r="CD26" i="49"/>
  <c r="CE26" i="49"/>
  <c r="CF26" i="49"/>
  <c r="CG26" i="49"/>
  <c r="CH26" i="49"/>
  <c r="CI26" i="49"/>
  <c r="CJ26" i="49"/>
  <c r="CK26" i="49"/>
  <c r="CL26" i="49"/>
  <c r="CM26" i="49"/>
  <c r="CN26" i="49"/>
  <c r="CO26" i="49"/>
  <c r="CP26" i="49"/>
  <c r="CQ26" i="49"/>
  <c r="CR26" i="49"/>
  <c r="CS26" i="49"/>
  <c r="CT26" i="49"/>
  <c r="CU26" i="49"/>
  <c r="CV26" i="49"/>
  <c r="CW26" i="49"/>
  <c r="CX26" i="49"/>
  <c r="CY26" i="49"/>
  <c r="CZ26" i="49"/>
  <c r="DA26" i="49"/>
  <c r="J27" i="49"/>
  <c r="K27" i="49"/>
  <c r="L27" i="49"/>
  <c r="M27" i="49"/>
  <c r="N27" i="49"/>
  <c r="O27" i="49"/>
  <c r="P27" i="49"/>
  <c r="Q27" i="49"/>
  <c r="R27" i="49"/>
  <c r="S27" i="49"/>
  <c r="T27" i="49"/>
  <c r="U27" i="49"/>
  <c r="V27" i="49"/>
  <c r="W27" i="49"/>
  <c r="X27" i="49"/>
  <c r="Y27" i="49"/>
  <c r="Z27" i="49"/>
  <c r="AA27" i="49"/>
  <c r="AB27" i="49"/>
  <c r="AC27" i="49"/>
  <c r="AD27" i="49"/>
  <c r="AE27" i="49"/>
  <c r="AF27" i="49"/>
  <c r="AG27" i="49"/>
  <c r="AH27" i="49"/>
  <c r="AI27" i="49"/>
  <c r="AJ27" i="49"/>
  <c r="AK27" i="49"/>
  <c r="AL27" i="49"/>
  <c r="AM27" i="49"/>
  <c r="AN27" i="49"/>
  <c r="AO27" i="49"/>
  <c r="AP27" i="49"/>
  <c r="AQ27" i="49"/>
  <c r="AR27" i="49"/>
  <c r="AS27" i="49"/>
  <c r="AT27" i="49"/>
  <c r="AU27" i="49"/>
  <c r="AV27" i="49"/>
  <c r="AW27" i="49"/>
  <c r="AX27" i="49"/>
  <c r="AY27" i="49"/>
  <c r="AZ27" i="49"/>
  <c r="BA27" i="49"/>
  <c r="BB27" i="49"/>
  <c r="BC27" i="49"/>
  <c r="BD27" i="49"/>
  <c r="BE27" i="49"/>
  <c r="BF27" i="49"/>
  <c r="BG27" i="49"/>
  <c r="BH27" i="49"/>
  <c r="BI27" i="49"/>
  <c r="BJ27" i="49"/>
  <c r="BK27" i="49"/>
  <c r="BL27" i="49"/>
  <c r="BM27" i="49"/>
  <c r="BN27" i="49"/>
  <c r="BO27" i="49"/>
  <c r="BP27" i="49"/>
  <c r="BQ27" i="49"/>
  <c r="BR27" i="49"/>
  <c r="BS27" i="49"/>
  <c r="BT27" i="49"/>
  <c r="BU27" i="49"/>
  <c r="BV27" i="49"/>
  <c r="BW27" i="49"/>
  <c r="BX27" i="49"/>
  <c r="BY27" i="49"/>
  <c r="BZ27" i="49"/>
  <c r="CA27" i="49"/>
  <c r="CB27" i="49"/>
  <c r="CC27" i="49"/>
  <c r="CD27" i="49"/>
  <c r="CE27" i="49"/>
  <c r="CF27" i="49"/>
  <c r="CG27" i="49"/>
  <c r="CH27" i="49"/>
  <c r="CI27" i="49"/>
  <c r="CJ27" i="49"/>
  <c r="CK27" i="49"/>
  <c r="CL27" i="49"/>
  <c r="CM27" i="49"/>
  <c r="CN27" i="49"/>
  <c r="CO27" i="49"/>
  <c r="CP27" i="49"/>
  <c r="CQ27" i="49"/>
  <c r="CR27" i="49"/>
  <c r="CS27" i="49"/>
  <c r="CT27" i="49"/>
  <c r="CU27" i="49"/>
  <c r="CV27" i="49"/>
  <c r="CW27" i="49"/>
  <c r="CX27" i="49"/>
  <c r="CY27" i="49"/>
  <c r="CZ27" i="49"/>
  <c r="DA27" i="49"/>
  <c r="J28" i="49"/>
  <c r="K28" i="49"/>
  <c r="L28" i="49"/>
  <c r="M28" i="49"/>
  <c r="N28" i="49"/>
  <c r="O28" i="49"/>
  <c r="P28" i="49"/>
  <c r="Q28" i="49"/>
  <c r="R28" i="49"/>
  <c r="S28" i="49"/>
  <c r="T28" i="49"/>
  <c r="U28" i="49"/>
  <c r="V28" i="49"/>
  <c r="W28" i="49"/>
  <c r="X28" i="49"/>
  <c r="Y28" i="49"/>
  <c r="Z28" i="49"/>
  <c r="AA28" i="49"/>
  <c r="AB28" i="49"/>
  <c r="AC28" i="49"/>
  <c r="AD28" i="49"/>
  <c r="AE28" i="49"/>
  <c r="AF28" i="49"/>
  <c r="AG28" i="49"/>
  <c r="AH28" i="49"/>
  <c r="AI28" i="49"/>
  <c r="AJ28" i="49"/>
  <c r="AK28" i="49"/>
  <c r="AL28" i="49"/>
  <c r="AM28" i="49"/>
  <c r="AN28" i="49"/>
  <c r="AO28" i="49"/>
  <c r="AP28" i="49"/>
  <c r="AQ28" i="49"/>
  <c r="AR28" i="49"/>
  <c r="AS28" i="49"/>
  <c r="AT28" i="49"/>
  <c r="AU28" i="49"/>
  <c r="AV28" i="49"/>
  <c r="AW28" i="49"/>
  <c r="AX28" i="49"/>
  <c r="AY28" i="49"/>
  <c r="AZ28" i="49"/>
  <c r="BA28" i="49"/>
  <c r="BB28" i="49"/>
  <c r="BC28" i="49"/>
  <c r="BD28" i="49"/>
  <c r="BE28" i="49"/>
  <c r="BF28" i="49"/>
  <c r="BG28" i="49"/>
  <c r="BH28" i="49"/>
  <c r="BI28" i="49"/>
  <c r="BJ28" i="49"/>
  <c r="BK28" i="49"/>
  <c r="BL28" i="49"/>
  <c r="BM28" i="49"/>
  <c r="BN28" i="49"/>
  <c r="BO28" i="49"/>
  <c r="BP28" i="49"/>
  <c r="BQ28" i="49"/>
  <c r="BR28" i="49"/>
  <c r="BS28" i="49"/>
  <c r="BT28" i="49"/>
  <c r="BU28" i="49"/>
  <c r="BV28" i="49"/>
  <c r="BW28" i="49"/>
  <c r="BX28" i="49"/>
  <c r="BY28" i="49"/>
  <c r="BZ28" i="49"/>
  <c r="CA28" i="49"/>
  <c r="CB28" i="49"/>
  <c r="CC28" i="49"/>
  <c r="CD28" i="49"/>
  <c r="CE28" i="49"/>
  <c r="CF28" i="49"/>
  <c r="CG28" i="49"/>
  <c r="CH28" i="49"/>
  <c r="CI28" i="49"/>
  <c r="CJ28" i="49"/>
  <c r="CK28" i="49"/>
  <c r="CL28" i="49"/>
  <c r="CM28" i="49"/>
  <c r="CN28" i="49"/>
  <c r="CO28" i="49"/>
  <c r="CP28" i="49"/>
  <c r="CQ28" i="49"/>
  <c r="CR28" i="49"/>
  <c r="CS28" i="49"/>
  <c r="CT28" i="49"/>
  <c r="CU28" i="49"/>
  <c r="CV28" i="49"/>
  <c r="CW28" i="49"/>
  <c r="CX28" i="49"/>
  <c r="CY28" i="49"/>
  <c r="CZ28" i="49"/>
  <c r="DA28" i="49"/>
  <c r="J29" i="49"/>
  <c r="K29" i="49"/>
  <c r="L29" i="49"/>
  <c r="M29" i="49"/>
  <c r="N29" i="49"/>
  <c r="O29" i="49"/>
  <c r="P29" i="49"/>
  <c r="Q29" i="49"/>
  <c r="R29" i="49"/>
  <c r="S29" i="49"/>
  <c r="T29" i="49"/>
  <c r="U29" i="49"/>
  <c r="V29" i="49"/>
  <c r="W29" i="49"/>
  <c r="X29" i="49"/>
  <c r="Y29" i="49"/>
  <c r="Z29" i="49"/>
  <c r="AA29" i="49"/>
  <c r="AB29" i="49"/>
  <c r="AC29" i="49"/>
  <c r="AD29" i="49"/>
  <c r="AE29" i="49"/>
  <c r="AF29" i="49"/>
  <c r="AG29" i="49"/>
  <c r="AH29" i="49"/>
  <c r="AI29" i="49"/>
  <c r="AJ29" i="49"/>
  <c r="AK29" i="49"/>
  <c r="AL29" i="49"/>
  <c r="AM29" i="49"/>
  <c r="AN29" i="49"/>
  <c r="AO29" i="49"/>
  <c r="AP29" i="49"/>
  <c r="AQ29" i="49"/>
  <c r="AR29" i="49"/>
  <c r="AS29" i="49"/>
  <c r="AT29" i="49"/>
  <c r="AU29" i="49"/>
  <c r="AV29" i="49"/>
  <c r="AW29" i="49"/>
  <c r="AX29" i="49"/>
  <c r="AY29" i="49"/>
  <c r="AZ29" i="49"/>
  <c r="BA29" i="49"/>
  <c r="BB29" i="49"/>
  <c r="BC29" i="49"/>
  <c r="BD29" i="49"/>
  <c r="BE29" i="49"/>
  <c r="BF29" i="49"/>
  <c r="BG29" i="49"/>
  <c r="BH29" i="49"/>
  <c r="BI29" i="49"/>
  <c r="BJ29" i="49"/>
  <c r="BK29" i="49"/>
  <c r="BL29" i="49"/>
  <c r="BM29" i="49"/>
  <c r="BN29" i="49"/>
  <c r="BO29" i="49"/>
  <c r="BP29" i="49"/>
  <c r="BQ29" i="49"/>
  <c r="BR29" i="49"/>
  <c r="BS29" i="49"/>
  <c r="BT29" i="49"/>
  <c r="BU29" i="49"/>
  <c r="BV29" i="49"/>
  <c r="BW29" i="49"/>
  <c r="BX29" i="49"/>
  <c r="BY29" i="49"/>
  <c r="BZ29" i="49"/>
  <c r="CA29" i="49"/>
  <c r="CB29" i="49"/>
  <c r="CC29" i="49"/>
  <c r="CD29" i="49"/>
  <c r="CE29" i="49"/>
  <c r="CF29" i="49"/>
  <c r="CG29" i="49"/>
  <c r="CH29" i="49"/>
  <c r="CI29" i="49"/>
  <c r="CJ29" i="49"/>
  <c r="CK29" i="49"/>
  <c r="CL29" i="49"/>
  <c r="CM29" i="49"/>
  <c r="CN29" i="49"/>
  <c r="CO29" i="49"/>
  <c r="CP29" i="49"/>
  <c r="CQ29" i="49"/>
  <c r="CR29" i="49"/>
  <c r="CS29" i="49"/>
  <c r="CT29" i="49"/>
  <c r="CU29" i="49"/>
  <c r="CV29" i="49"/>
  <c r="CW29" i="49"/>
  <c r="CX29" i="49"/>
  <c r="CY29" i="49"/>
  <c r="CZ29" i="49"/>
  <c r="DA29" i="49"/>
  <c r="J30" i="49"/>
  <c r="K30" i="49"/>
  <c r="L30" i="49"/>
  <c r="M30" i="49"/>
  <c r="N30" i="49"/>
  <c r="O30" i="49"/>
  <c r="P30" i="49"/>
  <c r="Q30" i="49"/>
  <c r="R30" i="49"/>
  <c r="S30" i="49"/>
  <c r="T30" i="49"/>
  <c r="U30" i="49"/>
  <c r="V30" i="49"/>
  <c r="W30" i="49"/>
  <c r="X30" i="49"/>
  <c r="Y30" i="49"/>
  <c r="Z30" i="49"/>
  <c r="AA30" i="49"/>
  <c r="AB30" i="49"/>
  <c r="AC30" i="49"/>
  <c r="AD30" i="49"/>
  <c r="AE30" i="49"/>
  <c r="AF30" i="49"/>
  <c r="AG30" i="49"/>
  <c r="AH30" i="49"/>
  <c r="AI30" i="49"/>
  <c r="AJ30" i="49"/>
  <c r="AK30" i="49"/>
  <c r="AL30" i="49"/>
  <c r="AM30" i="49"/>
  <c r="AN30" i="49"/>
  <c r="AO30" i="49"/>
  <c r="AP30" i="49"/>
  <c r="AQ30" i="49"/>
  <c r="AR30" i="49"/>
  <c r="AS30" i="49"/>
  <c r="AT30" i="49"/>
  <c r="AU30" i="49"/>
  <c r="AV30" i="49"/>
  <c r="AW30" i="49"/>
  <c r="AX30" i="49"/>
  <c r="AY30" i="49"/>
  <c r="AZ30" i="49"/>
  <c r="BA30" i="49"/>
  <c r="BB30" i="49"/>
  <c r="BC30" i="49"/>
  <c r="BD30" i="49"/>
  <c r="BE30" i="49"/>
  <c r="BF30" i="49"/>
  <c r="BG30" i="49"/>
  <c r="BH30" i="49"/>
  <c r="BI30" i="49"/>
  <c r="BJ30" i="49"/>
  <c r="BK30" i="49"/>
  <c r="BL30" i="49"/>
  <c r="BM30" i="49"/>
  <c r="BN30" i="49"/>
  <c r="BO30" i="49"/>
  <c r="BP30" i="49"/>
  <c r="BQ30" i="49"/>
  <c r="BR30" i="49"/>
  <c r="BS30" i="49"/>
  <c r="BT30" i="49"/>
  <c r="BU30" i="49"/>
  <c r="BV30" i="49"/>
  <c r="BW30" i="49"/>
  <c r="BX30" i="49"/>
  <c r="BY30" i="49"/>
  <c r="BZ30" i="49"/>
  <c r="CA30" i="49"/>
  <c r="CB30" i="49"/>
  <c r="CC30" i="49"/>
  <c r="CD30" i="49"/>
  <c r="CE30" i="49"/>
  <c r="CF30" i="49"/>
  <c r="CG30" i="49"/>
  <c r="CH30" i="49"/>
  <c r="CI30" i="49"/>
  <c r="CJ30" i="49"/>
  <c r="CK30" i="49"/>
  <c r="CL30" i="49"/>
  <c r="CM30" i="49"/>
  <c r="CN30" i="49"/>
  <c r="CO30" i="49"/>
  <c r="CP30" i="49"/>
  <c r="CQ30" i="49"/>
  <c r="CR30" i="49"/>
  <c r="CS30" i="49"/>
  <c r="CT30" i="49"/>
  <c r="CU30" i="49"/>
  <c r="CV30" i="49"/>
  <c r="CW30" i="49"/>
  <c r="CX30" i="49"/>
  <c r="CY30" i="49"/>
  <c r="CZ30" i="49"/>
  <c r="DA30" i="49"/>
  <c r="J31" i="49"/>
  <c r="K31" i="49"/>
  <c r="L31" i="49"/>
  <c r="M31" i="49"/>
  <c r="N31" i="49"/>
  <c r="O31" i="49"/>
  <c r="P31" i="49"/>
  <c r="Q31" i="49"/>
  <c r="R31" i="49"/>
  <c r="S31" i="49"/>
  <c r="T31" i="49"/>
  <c r="U31" i="49"/>
  <c r="V31" i="49"/>
  <c r="W31" i="49"/>
  <c r="X31" i="49"/>
  <c r="Y31" i="49"/>
  <c r="Z31" i="49"/>
  <c r="AA31" i="49"/>
  <c r="AB31" i="49"/>
  <c r="AC31" i="49"/>
  <c r="AD31" i="49"/>
  <c r="AE31" i="49"/>
  <c r="AF31" i="49"/>
  <c r="AG31" i="49"/>
  <c r="AH31" i="49"/>
  <c r="AI31" i="49"/>
  <c r="AJ31" i="49"/>
  <c r="AK31" i="49"/>
  <c r="AL31" i="49"/>
  <c r="AM31" i="49"/>
  <c r="AN31" i="49"/>
  <c r="AO31" i="49"/>
  <c r="AP31" i="49"/>
  <c r="AQ31" i="49"/>
  <c r="AR31" i="49"/>
  <c r="AS31" i="49"/>
  <c r="AT31" i="49"/>
  <c r="AU31" i="49"/>
  <c r="AV31" i="49"/>
  <c r="AW31" i="49"/>
  <c r="AX31" i="49"/>
  <c r="AY31" i="49"/>
  <c r="AZ31" i="49"/>
  <c r="BA31" i="49"/>
  <c r="BB31" i="49"/>
  <c r="BC31" i="49"/>
  <c r="BD31" i="49"/>
  <c r="BE31" i="49"/>
  <c r="BF31" i="49"/>
  <c r="BG31" i="49"/>
  <c r="BH31" i="49"/>
  <c r="BI31" i="49"/>
  <c r="BJ31" i="49"/>
  <c r="BK31" i="49"/>
  <c r="BL31" i="49"/>
  <c r="BM31" i="49"/>
  <c r="BN31" i="49"/>
  <c r="BO31" i="49"/>
  <c r="BP31" i="49"/>
  <c r="BQ31" i="49"/>
  <c r="BR31" i="49"/>
  <c r="BS31" i="49"/>
  <c r="BT31" i="49"/>
  <c r="BU31" i="49"/>
  <c r="BV31" i="49"/>
  <c r="BW31" i="49"/>
  <c r="BX31" i="49"/>
  <c r="BY31" i="49"/>
  <c r="BZ31" i="49"/>
  <c r="CA31" i="49"/>
  <c r="CB31" i="49"/>
  <c r="CC31" i="49"/>
  <c r="CD31" i="49"/>
  <c r="CE31" i="49"/>
  <c r="CF31" i="49"/>
  <c r="CG31" i="49"/>
  <c r="CH31" i="49"/>
  <c r="CI31" i="49"/>
  <c r="CJ31" i="49"/>
  <c r="CK31" i="49"/>
  <c r="CL31" i="49"/>
  <c r="CM31" i="49"/>
  <c r="CN31" i="49"/>
  <c r="CO31" i="49"/>
  <c r="CP31" i="49"/>
  <c r="CQ31" i="49"/>
  <c r="CR31" i="49"/>
  <c r="CS31" i="49"/>
  <c r="CT31" i="49"/>
  <c r="CU31" i="49"/>
  <c r="CV31" i="49"/>
  <c r="CW31" i="49"/>
  <c r="CX31" i="49"/>
  <c r="CY31" i="49"/>
  <c r="CZ31" i="49"/>
  <c r="DA31" i="49"/>
  <c r="J32" i="49"/>
  <c r="K32" i="49"/>
  <c r="L32" i="49"/>
  <c r="M32" i="49"/>
  <c r="N32" i="49"/>
  <c r="O32" i="49"/>
  <c r="P32" i="49"/>
  <c r="Q32" i="49"/>
  <c r="R32" i="49"/>
  <c r="S32" i="49"/>
  <c r="T32" i="49"/>
  <c r="U32" i="49"/>
  <c r="V32" i="49"/>
  <c r="W32" i="49"/>
  <c r="X32" i="49"/>
  <c r="Y32" i="49"/>
  <c r="Z32" i="49"/>
  <c r="AA32" i="49"/>
  <c r="AB32" i="49"/>
  <c r="AC32" i="49"/>
  <c r="AD32" i="49"/>
  <c r="AE32" i="49"/>
  <c r="AF32" i="49"/>
  <c r="AG32" i="49"/>
  <c r="AH32" i="49"/>
  <c r="AI32" i="49"/>
  <c r="AJ32" i="49"/>
  <c r="AK32" i="49"/>
  <c r="AL32" i="49"/>
  <c r="AM32" i="49"/>
  <c r="AN32" i="49"/>
  <c r="AO32" i="49"/>
  <c r="AP32" i="49"/>
  <c r="AQ32" i="49"/>
  <c r="AR32" i="49"/>
  <c r="AS32" i="49"/>
  <c r="AT32" i="49"/>
  <c r="AU32" i="49"/>
  <c r="AV32" i="49"/>
  <c r="AW32" i="49"/>
  <c r="AX32" i="49"/>
  <c r="AY32" i="49"/>
  <c r="AZ32" i="49"/>
  <c r="BA32" i="49"/>
  <c r="BB32" i="49"/>
  <c r="BC32" i="49"/>
  <c r="BD32" i="49"/>
  <c r="BE32" i="49"/>
  <c r="BF32" i="49"/>
  <c r="BG32" i="49"/>
  <c r="BH32" i="49"/>
  <c r="BI32" i="49"/>
  <c r="BJ32" i="49"/>
  <c r="BK32" i="49"/>
  <c r="BL32" i="49"/>
  <c r="BM32" i="49"/>
  <c r="BN32" i="49"/>
  <c r="BO32" i="49"/>
  <c r="BP32" i="49"/>
  <c r="BQ32" i="49"/>
  <c r="BR32" i="49"/>
  <c r="BS32" i="49"/>
  <c r="BT32" i="49"/>
  <c r="BU32" i="49"/>
  <c r="BV32" i="49"/>
  <c r="BW32" i="49"/>
  <c r="BX32" i="49"/>
  <c r="BY32" i="49"/>
  <c r="BZ32" i="49"/>
  <c r="CA32" i="49"/>
  <c r="CB32" i="49"/>
  <c r="CC32" i="49"/>
  <c r="CD32" i="49"/>
  <c r="CE32" i="49"/>
  <c r="CF32" i="49"/>
  <c r="CG32" i="49"/>
  <c r="CH32" i="49"/>
  <c r="CI32" i="49"/>
  <c r="CJ32" i="49"/>
  <c r="CK32" i="49"/>
  <c r="CL32" i="49"/>
  <c r="CM32" i="49"/>
  <c r="CN32" i="49"/>
  <c r="CO32" i="49"/>
  <c r="CP32" i="49"/>
  <c r="CQ32" i="49"/>
  <c r="CR32" i="49"/>
  <c r="CS32" i="49"/>
  <c r="CT32" i="49"/>
  <c r="CU32" i="49"/>
  <c r="CV32" i="49"/>
  <c r="CW32" i="49"/>
  <c r="CX32" i="49"/>
  <c r="CY32" i="49"/>
  <c r="CZ32" i="49"/>
  <c r="DA32" i="49"/>
  <c r="J33" i="49"/>
  <c r="K33" i="49"/>
  <c r="L33" i="49"/>
  <c r="M33" i="49"/>
  <c r="N33" i="49"/>
  <c r="O33" i="49"/>
  <c r="P33" i="49"/>
  <c r="Q33" i="49"/>
  <c r="R33" i="49"/>
  <c r="S33" i="49"/>
  <c r="T33" i="49"/>
  <c r="U33" i="49"/>
  <c r="V33" i="49"/>
  <c r="W33" i="49"/>
  <c r="X33" i="49"/>
  <c r="Y33" i="49"/>
  <c r="Z33" i="49"/>
  <c r="AA33" i="49"/>
  <c r="AB33" i="49"/>
  <c r="AC33" i="49"/>
  <c r="AD33" i="49"/>
  <c r="AE33" i="49"/>
  <c r="AF33" i="49"/>
  <c r="AG33" i="49"/>
  <c r="AH33" i="49"/>
  <c r="AI33" i="49"/>
  <c r="AJ33" i="49"/>
  <c r="AK33" i="49"/>
  <c r="AL33" i="49"/>
  <c r="AM33" i="49"/>
  <c r="AN33" i="49"/>
  <c r="AO33" i="49"/>
  <c r="AP33" i="49"/>
  <c r="AQ33" i="49"/>
  <c r="AR33" i="49"/>
  <c r="AS33" i="49"/>
  <c r="AT33" i="49"/>
  <c r="AU33" i="49"/>
  <c r="AV33" i="49"/>
  <c r="AW33" i="49"/>
  <c r="AX33" i="49"/>
  <c r="AY33" i="49"/>
  <c r="AZ33" i="49"/>
  <c r="BA33" i="49"/>
  <c r="BB33" i="49"/>
  <c r="BC33" i="49"/>
  <c r="BD33" i="49"/>
  <c r="BE33" i="49"/>
  <c r="BF33" i="49"/>
  <c r="BG33" i="49"/>
  <c r="BH33" i="49"/>
  <c r="BI33" i="49"/>
  <c r="BJ33" i="49"/>
  <c r="BK33" i="49"/>
  <c r="BL33" i="49"/>
  <c r="BM33" i="49"/>
  <c r="BN33" i="49"/>
  <c r="BO33" i="49"/>
  <c r="BP33" i="49"/>
  <c r="BQ33" i="49"/>
  <c r="BR33" i="49"/>
  <c r="BS33" i="49"/>
  <c r="BT33" i="49"/>
  <c r="BU33" i="49"/>
  <c r="BV33" i="49"/>
  <c r="BW33" i="49"/>
  <c r="BX33" i="49"/>
  <c r="BY33" i="49"/>
  <c r="BZ33" i="49"/>
  <c r="CA33" i="49"/>
  <c r="CB33" i="49"/>
  <c r="CC33" i="49"/>
  <c r="CD33" i="49"/>
  <c r="CE33" i="49"/>
  <c r="CF33" i="49"/>
  <c r="CG33" i="49"/>
  <c r="CH33" i="49"/>
  <c r="CI33" i="49"/>
  <c r="CJ33" i="49"/>
  <c r="CK33" i="49"/>
  <c r="CL33" i="49"/>
  <c r="CM33" i="49"/>
  <c r="CN33" i="49"/>
  <c r="CO33" i="49"/>
  <c r="CP33" i="49"/>
  <c r="CQ33" i="49"/>
  <c r="CR33" i="49"/>
  <c r="CS33" i="49"/>
  <c r="CT33" i="49"/>
  <c r="CU33" i="49"/>
  <c r="CV33" i="49"/>
  <c r="CW33" i="49"/>
  <c r="CX33" i="49"/>
  <c r="CY33" i="49"/>
  <c r="CZ33" i="49"/>
  <c r="DA33" i="49"/>
  <c r="J34" i="49"/>
  <c r="K34" i="49"/>
  <c r="L34" i="49"/>
  <c r="M34" i="49"/>
  <c r="N34" i="49"/>
  <c r="O34" i="49"/>
  <c r="P34" i="49"/>
  <c r="Q34" i="49"/>
  <c r="R34" i="49"/>
  <c r="S34" i="49"/>
  <c r="T34" i="49"/>
  <c r="U34" i="49"/>
  <c r="V34" i="49"/>
  <c r="W34" i="49"/>
  <c r="X34" i="49"/>
  <c r="Y34" i="49"/>
  <c r="Z34" i="49"/>
  <c r="AA34" i="49"/>
  <c r="AB34" i="49"/>
  <c r="AC34" i="49"/>
  <c r="AD34" i="49"/>
  <c r="AE34" i="49"/>
  <c r="AF34" i="49"/>
  <c r="AG34" i="49"/>
  <c r="AH34" i="49"/>
  <c r="AI34" i="49"/>
  <c r="AJ34" i="49"/>
  <c r="AK34" i="49"/>
  <c r="AL34" i="49"/>
  <c r="AM34" i="49"/>
  <c r="AN34" i="49"/>
  <c r="AO34" i="49"/>
  <c r="AP34" i="49"/>
  <c r="AQ34" i="49"/>
  <c r="AR34" i="49"/>
  <c r="AS34" i="49"/>
  <c r="AT34" i="49"/>
  <c r="AU34" i="49"/>
  <c r="AV34" i="49"/>
  <c r="AW34" i="49"/>
  <c r="AX34" i="49"/>
  <c r="AY34" i="49"/>
  <c r="AZ34" i="49"/>
  <c r="BA34" i="49"/>
  <c r="BB34" i="49"/>
  <c r="BC34" i="49"/>
  <c r="BD34" i="49"/>
  <c r="BE34" i="49"/>
  <c r="BF34" i="49"/>
  <c r="BG34" i="49"/>
  <c r="BH34" i="49"/>
  <c r="BI34" i="49"/>
  <c r="BJ34" i="49"/>
  <c r="BK34" i="49"/>
  <c r="BL34" i="49"/>
  <c r="BM34" i="49"/>
  <c r="BN34" i="49"/>
  <c r="BO34" i="49"/>
  <c r="BP34" i="49"/>
  <c r="BQ34" i="49"/>
  <c r="BR34" i="49"/>
  <c r="BS34" i="49"/>
  <c r="BT34" i="49"/>
  <c r="BU34" i="49"/>
  <c r="BV34" i="49"/>
  <c r="BW34" i="49"/>
  <c r="BX34" i="49"/>
  <c r="BY34" i="49"/>
  <c r="BZ34" i="49"/>
  <c r="CA34" i="49"/>
  <c r="CB34" i="49"/>
  <c r="CC34" i="49"/>
  <c r="CD34" i="49"/>
  <c r="CE34" i="49"/>
  <c r="CF34" i="49"/>
  <c r="CG34" i="49"/>
  <c r="CH34" i="49"/>
  <c r="CI34" i="49"/>
  <c r="CJ34" i="49"/>
  <c r="CK34" i="49"/>
  <c r="CL34" i="49"/>
  <c r="CM34" i="49"/>
  <c r="CN34" i="49"/>
  <c r="CO34" i="49"/>
  <c r="CP34" i="49"/>
  <c r="CQ34" i="49"/>
  <c r="CR34" i="49"/>
  <c r="CS34" i="49"/>
  <c r="CT34" i="49"/>
  <c r="CU34" i="49"/>
  <c r="CV34" i="49"/>
  <c r="CW34" i="49"/>
  <c r="CX34" i="49"/>
  <c r="CY34" i="49"/>
  <c r="CZ34" i="49"/>
  <c r="DA34" i="49"/>
  <c r="J35" i="49"/>
  <c r="K35" i="49"/>
  <c r="L35" i="49"/>
  <c r="M35" i="49"/>
  <c r="N35" i="49"/>
  <c r="O35" i="49"/>
  <c r="P35" i="49"/>
  <c r="Q35" i="49"/>
  <c r="R35" i="49"/>
  <c r="S35" i="49"/>
  <c r="T35" i="49"/>
  <c r="U35" i="49"/>
  <c r="V35" i="49"/>
  <c r="W35" i="49"/>
  <c r="X35" i="49"/>
  <c r="Y35" i="49"/>
  <c r="Z35" i="49"/>
  <c r="AA35" i="49"/>
  <c r="AB35" i="49"/>
  <c r="AC35" i="49"/>
  <c r="AD35" i="49"/>
  <c r="AE35" i="49"/>
  <c r="AF35" i="49"/>
  <c r="AG35" i="49"/>
  <c r="AH35" i="49"/>
  <c r="AI35" i="49"/>
  <c r="AJ35" i="49"/>
  <c r="AK35" i="49"/>
  <c r="AL35" i="49"/>
  <c r="AM35" i="49"/>
  <c r="AN35" i="49"/>
  <c r="AO35" i="49"/>
  <c r="AP35" i="49"/>
  <c r="AQ35" i="49"/>
  <c r="AR35" i="49"/>
  <c r="AS35" i="49"/>
  <c r="AT35" i="49"/>
  <c r="AU35" i="49"/>
  <c r="AV35" i="49"/>
  <c r="AW35" i="49"/>
  <c r="AX35" i="49"/>
  <c r="AY35" i="49"/>
  <c r="AZ35" i="49"/>
  <c r="BA35" i="49"/>
  <c r="BB35" i="49"/>
  <c r="BC35" i="49"/>
  <c r="BD35" i="49"/>
  <c r="BE35" i="49"/>
  <c r="BF35" i="49"/>
  <c r="BG35" i="49"/>
  <c r="BH35" i="49"/>
  <c r="BI35" i="49"/>
  <c r="BJ35" i="49"/>
  <c r="BK35" i="49"/>
  <c r="BL35" i="49"/>
  <c r="BM35" i="49"/>
  <c r="BN35" i="49"/>
  <c r="BO35" i="49"/>
  <c r="BP35" i="49"/>
  <c r="BQ35" i="49"/>
  <c r="BR35" i="49"/>
  <c r="BS35" i="49"/>
  <c r="BT35" i="49"/>
  <c r="BU35" i="49"/>
  <c r="BV35" i="49"/>
  <c r="BW35" i="49"/>
  <c r="BX35" i="49"/>
  <c r="BY35" i="49"/>
  <c r="BZ35" i="49"/>
  <c r="CA35" i="49"/>
  <c r="CB35" i="49"/>
  <c r="CC35" i="49"/>
  <c r="CD35" i="49"/>
  <c r="CE35" i="49"/>
  <c r="CF35" i="49"/>
  <c r="CG35" i="49"/>
  <c r="CH35" i="49"/>
  <c r="CI35" i="49"/>
  <c r="CJ35" i="49"/>
  <c r="CK35" i="49"/>
  <c r="CL35" i="49"/>
  <c r="CM35" i="49"/>
  <c r="CN35" i="49"/>
  <c r="CO35" i="49"/>
  <c r="CP35" i="49"/>
  <c r="CQ35" i="49"/>
  <c r="CR35" i="49"/>
  <c r="CS35" i="49"/>
  <c r="CT35" i="49"/>
  <c r="CU35" i="49"/>
  <c r="CV35" i="49"/>
  <c r="CW35" i="49"/>
  <c r="CX35" i="49"/>
  <c r="CY35" i="49"/>
  <c r="CZ35" i="49"/>
  <c r="DA35" i="49"/>
  <c r="J36" i="49"/>
  <c r="K36" i="49"/>
  <c r="L36" i="49"/>
  <c r="M36" i="49"/>
  <c r="N36" i="49"/>
  <c r="O36" i="49"/>
  <c r="P36" i="49"/>
  <c r="Q36" i="49"/>
  <c r="R36" i="49"/>
  <c r="S36" i="49"/>
  <c r="T36" i="49"/>
  <c r="U36" i="49"/>
  <c r="V36" i="49"/>
  <c r="W36" i="49"/>
  <c r="X36" i="49"/>
  <c r="Y36" i="49"/>
  <c r="Z36" i="49"/>
  <c r="AA36" i="49"/>
  <c r="AB36" i="49"/>
  <c r="AC36" i="49"/>
  <c r="AD36" i="49"/>
  <c r="AE36" i="49"/>
  <c r="AF36" i="49"/>
  <c r="AG36" i="49"/>
  <c r="AH36" i="49"/>
  <c r="AI36" i="49"/>
  <c r="AJ36" i="49"/>
  <c r="AK36" i="49"/>
  <c r="AL36" i="49"/>
  <c r="AM36" i="49"/>
  <c r="AN36" i="49"/>
  <c r="AO36" i="49"/>
  <c r="AP36" i="49"/>
  <c r="AQ36" i="49"/>
  <c r="AR36" i="49"/>
  <c r="AS36" i="49"/>
  <c r="AT36" i="49"/>
  <c r="AU36" i="49"/>
  <c r="AV36" i="49"/>
  <c r="AW36" i="49"/>
  <c r="AX36" i="49"/>
  <c r="AY36" i="49"/>
  <c r="AZ36" i="49"/>
  <c r="BA36" i="49"/>
  <c r="BB36" i="49"/>
  <c r="BC36" i="49"/>
  <c r="BD36" i="49"/>
  <c r="BE36" i="49"/>
  <c r="BF36" i="49"/>
  <c r="BG36" i="49"/>
  <c r="BH36" i="49"/>
  <c r="BI36" i="49"/>
  <c r="BJ36" i="49"/>
  <c r="BK36" i="49"/>
  <c r="BL36" i="49"/>
  <c r="BM36" i="49"/>
  <c r="BN36" i="49"/>
  <c r="BO36" i="49"/>
  <c r="BP36" i="49"/>
  <c r="BQ36" i="49"/>
  <c r="BR36" i="49"/>
  <c r="BS36" i="49"/>
  <c r="BT36" i="49"/>
  <c r="BU36" i="49"/>
  <c r="BV36" i="49"/>
  <c r="BW36" i="49"/>
  <c r="BX36" i="49"/>
  <c r="BY36" i="49"/>
  <c r="BZ36" i="49"/>
  <c r="CA36" i="49"/>
  <c r="CB36" i="49"/>
  <c r="CC36" i="49"/>
  <c r="CD36" i="49"/>
  <c r="CE36" i="49"/>
  <c r="CF36" i="49"/>
  <c r="CG36" i="49"/>
  <c r="CH36" i="49"/>
  <c r="CI36" i="49"/>
  <c r="CJ36" i="49"/>
  <c r="CK36" i="49"/>
  <c r="CL36" i="49"/>
  <c r="CM36" i="49"/>
  <c r="CN36" i="49"/>
  <c r="CO36" i="49"/>
  <c r="CP36" i="49"/>
  <c r="CQ36" i="49"/>
  <c r="CR36" i="49"/>
  <c r="CS36" i="49"/>
  <c r="CT36" i="49"/>
  <c r="CU36" i="49"/>
  <c r="CV36" i="49"/>
  <c r="CW36" i="49"/>
  <c r="CX36" i="49"/>
  <c r="CY36" i="49"/>
  <c r="CZ36" i="49"/>
  <c r="DA36" i="49"/>
  <c r="J37" i="49"/>
  <c r="K37" i="49"/>
  <c r="L37" i="49"/>
  <c r="M37" i="49"/>
  <c r="N37" i="49"/>
  <c r="O37" i="49"/>
  <c r="P37" i="49"/>
  <c r="Q37" i="49"/>
  <c r="R37" i="49"/>
  <c r="S37" i="49"/>
  <c r="T37" i="49"/>
  <c r="U37" i="49"/>
  <c r="V37" i="49"/>
  <c r="W37" i="49"/>
  <c r="X37" i="49"/>
  <c r="Y37" i="49"/>
  <c r="Z37" i="49"/>
  <c r="AA37" i="49"/>
  <c r="AB37" i="49"/>
  <c r="AC37" i="49"/>
  <c r="AD37" i="49"/>
  <c r="AE37" i="49"/>
  <c r="AF37" i="49"/>
  <c r="AG37" i="49"/>
  <c r="AH37" i="49"/>
  <c r="AI37" i="49"/>
  <c r="AJ37" i="49"/>
  <c r="AK37" i="49"/>
  <c r="AL37" i="49"/>
  <c r="AM37" i="49"/>
  <c r="AN37" i="49"/>
  <c r="AO37" i="49"/>
  <c r="AP37" i="49"/>
  <c r="AQ37" i="49"/>
  <c r="AR37" i="49"/>
  <c r="AS37" i="49"/>
  <c r="AT37" i="49"/>
  <c r="AU37" i="49"/>
  <c r="AV37" i="49"/>
  <c r="AW37" i="49"/>
  <c r="AX37" i="49"/>
  <c r="AY37" i="49"/>
  <c r="AZ37" i="49"/>
  <c r="BA37" i="49"/>
  <c r="BB37" i="49"/>
  <c r="BC37" i="49"/>
  <c r="BD37" i="49"/>
  <c r="BE37" i="49"/>
  <c r="BF37" i="49"/>
  <c r="BG37" i="49"/>
  <c r="BH37" i="49"/>
  <c r="BI37" i="49"/>
  <c r="BJ37" i="49"/>
  <c r="BK37" i="49"/>
  <c r="BL37" i="49"/>
  <c r="BM37" i="49"/>
  <c r="BN37" i="49"/>
  <c r="BO37" i="49"/>
  <c r="BP37" i="49"/>
  <c r="BQ37" i="49"/>
  <c r="BR37" i="49"/>
  <c r="BS37" i="49"/>
  <c r="BT37" i="49"/>
  <c r="BU37" i="49"/>
  <c r="BV37" i="49"/>
  <c r="BW37" i="49"/>
  <c r="BX37" i="49"/>
  <c r="BY37" i="49"/>
  <c r="BZ37" i="49"/>
  <c r="CA37" i="49"/>
  <c r="CB37" i="49"/>
  <c r="CC37" i="49"/>
  <c r="CD37" i="49"/>
  <c r="CE37" i="49"/>
  <c r="CF37" i="49"/>
  <c r="CG37" i="49"/>
  <c r="CH37" i="49"/>
  <c r="CI37" i="49"/>
  <c r="CJ37" i="49"/>
  <c r="CK37" i="49"/>
  <c r="CL37" i="49"/>
  <c r="CM37" i="49"/>
  <c r="CN37" i="49"/>
  <c r="CO37" i="49"/>
  <c r="CP37" i="49"/>
  <c r="CQ37" i="49"/>
  <c r="CR37" i="49"/>
  <c r="CS37" i="49"/>
  <c r="CT37" i="49"/>
  <c r="CU37" i="49"/>
  <c r="CV37" i="49"/>
  <c r="CW37" i="49"/>
  <c r="CX37" i="49"/>
  <c r="CY37" i="49"/>
  <c r="CZ37" i="49"/>
  <c r="DA37" i="49"/>
  <c r="J38" i="49"/>
  <c r="K38" i="49"/>
  <c r="L38" i="49"/>
  <c r="M38" i="49"/>
  <c r="N38" i="49"/>
  <c r="O38" i="49"/>
  <c r="P38" i="49"/>
  <c r="Q38" i="49"/>
  <c r="R38" i="49"/>
  <c r="S38" i="49"/>
  <c r="T38" i="49"/>
  <c r="U38" i="49"/>
  <c r="V38" i="49"/>
  <c r="W38" i="49"/>
  <c r="X38" i="49"/>
  <c r="Y38" i="49"/>
  <c r="Z38" i="49"/>
  <c r="AA38" i="49"/>
  <c r="AB38" i="49"/>
  <c r="AC38" i="49"/>
  <c r="AD38" i="49"/>
  <c r="AE38" i="49"/>
  <c r="AF38" i="49"/>
  <c r="AG38" i="49"/>
  <c r="AH38" i="49"/>
  <c r="AI38" i="49"/>
  <c r="AJ38" i="49"/>
  <c r="AK38" i="49"/>
  <c r="AL38" i="49"/>
  <c r="AM38" i="49"/>
  <c r="AN38" i="49"/>
  <c r="AO38" i="49"/>
  <c r="AP38" i="49"/>
  <c r="AQ38" i="49"/>
  <c r="AR38" i="49"/>
  <c r="AS38" i="49"/>
  <c r="AT38" i="49"/>
  <c r="AU38" i="49"/>
  <c r="AV38" i="49"/>
  <c r="AW38" i="49"/>
  <c r="AX38" i="49"/>
  <c r="AY38" i="49"/>
  <c r="AZ38" i="49"/>
  <c r="BA38" i="49"/>
  <c r="BB38" i="49"/>
  <c r="BC38" i="49"/>
  <c r="BD38" i="49"/>
  <c r="BE38" i="49"/>
  <c r="BF38" i="49"/>
  <c r="BG38" i="49"/>
  <c r="BH38" i="49"/>
  <c r="BI38" i="49"/>
  <c r="BJ38" i="49"/>
  <c r="BK38" i="49"/>
  <c r="BL38" i="49"/>
  <c r="BM38" i="49"/>
  <c r="BN38" i="49"/>
  <c r="BO38" i="49"/>
  <c r="BP38" i="49"/>
  <c r="BQ38" i="49"/>
  <c r="BR38" i="49"/>
  <c r="BS38" i="49"/>
  <c r="BT38" i="49"/>
  <c r="BU38" i="49"/>
  <c r="BV38" i="49"/>
  <c r="BW38" i="49"/>
  <c r="BX38" i="49"/>
  <c r="BY38" i="49"/>
  <c r="BZ38" i="49"/>
  <c r="CA38" i="49"/>
  <c r="CB38" i="49"/>
  <c r="CC38" i="49"/>
  <c r="CD38" i="49"/>
  <c r="CE38" i="49"/>
  <c r="CF38" i="49"/>
  <c r="CG38" i="49"/>
  <c r="CH38" i="49"/>
  <c r="CI38" i="49"/>
  <c r="CJ38" i="49"/>
  <c r="CK38" i="49"/>
  <c r="CL38" i="49"/>
  <c r="CM38" i="49"/>
  <c r="CN38" i="49"/>
  <c r="CO38" i="49"/>
  <c r="CP38" i="49"/>
  <c r="CQ38" i="49"/>
  <c r="CR38" i="49"/>
  <c r="CS38" i="49"/>
  <c r="CT38" i="49"/>
  <c r="CU38" i="49"/>
  <c r="CV38" i="49"/>
  <c r="CW38" i="49"/>
  <c r="CX38" i="49"/>
  <c r="CY38" i="49"/>
  <c r="CZ38" i="49"/>
  <c r="DA38" i="49"/>
  <c r="J39" i="49"/>
  <c r="K39" i="49"/>
  <c r="L39" i="49"/>
  <c r="M39" i="49"/>
  <c r="N39" i="49"/>
  <c r="O39" i="49"/>
  <c r="P39" i="49"/>
  <c r="Q39" i="49"/>
  <c r="R39" i="49"/>
  <c r="S39" i="49"/>
  <c r="T39" i="49"/>
  <c r="U39" i="49"/>
  <c r="V39" i="49"/>
  <c r="W39" i="49"/>
  <c r="X39" i="49"/>
  <c r="Y39" i="49"/>
  <c r="Z39" i="49"/>
  <c r="AA39" i="49"/>
  <c r="AB39" i="49"/>
  <c r="AC39" i="49"/>
  <c r="AD39" i="49"/>
  <c r="AE39" i="49"/>
  <c r="AF39" i="49"/>
  <c r="AG39" i="49"/>
  <c r="AH39" i="49"/>
  <c r="AI39" i="49"/>
  <c r="AJ39" i="49"/>
  <c r="AK39" i="49"/>
  <c r="AL39" i="49"/>
  <c r="AM39" i="49"/>
  <c r="AN39" i="49"/>
  <c r="AO39" i="49"/>
  <c r="AP39" i="49"/>
  <c r="AQ39" i="49"/>
  <c r="AR39" i="49"/>
  <c r="AS39" i="49"/>
  <c r="AT39" i="49"/>
  <c r="AU39" i="49"/>
  <c r="AV39" i="49"/>
  <c r="AW39" i="49"/>
  <c r="AX39" i="49"/>
  <c r="AY39" i="49"/>
  <c r="AZ39" i="49"/>
  <c r="BA39" i="49"/>
  <c r="BB39" i="49"/>
  <c r="BC39" i="49"/>
  <c r="BD39" i="49"/>
  <c r="BE39" i="49"/>
  <c r="BF39" i="49"/>
  <c r="BG39" i="49"/>
  <c r="BH39" i="49"/>
  <c r="BI39" i="49"/>
  <c r="BJ39" i="49"/>
  <c r="BK39" i="49"/>
  <c r="BL39" i="49"/>
  <c r="BM39" i="49"/>
  <c r="BN39" i="49"/>
  <c r="BO39" i="49"/>
  <c r="BP39" i="49"/>
  <c r="BQ39" i="49"/>
  <c r="BR39" i="49"/>
  <c r="BS39" i="49"/>
  <c r="BT39" i="49"/>
  <c r="BU39" i="49"/>
  <c r="BV39" i="49"/>
  <c r="BW39" i="49"/>
  <c r="BX39" i="49"/>
  <c r="BY39" i="49"/>
  <c r="BZ39" i="49"/>
  <c r="CA39" i="49"/>
  <c r="CB39" i="49"/>
  <c r="CC39" i="49"/>
  <c r="CD39" i="49"/>
  <c r="CE39" i="49"/>
  <c r="CF39" i="49"/>
  <c r="CG39" i="49"/>
  <c r="CH39" i="49"/>
  <c r="CI39" i="49"/>
  <c r="CJ39" i="49"/>
  <c r="CK39" i="49"/>
  <c r="CL39" i="49"/>
  <c r="CM39" i="49"/>
  <c r="CN39" i="49"/>
  <c r="CO39" i="49"/>
  <c r="CP39" i="49"/>
  <c r="CQ39" i="49"/>
  <c r="CR39" i="49"/>
  <c r="CS39" i="49"/>
  <c r="CT39" i="49"/>
  <c r="CU39" i="49"/>
  <c r="CV39" i="49"/>
  <c r="CW39" i="49"/>
  <c r="CX39" i="49"/>
  <c r="CY39" i="49"/>
  <c r="CZ39" i="49"/>
  <c r="DA39" i="49"/>
  <c r="J40" i="49"/>
  <c r="K40" i="49"/>
  <c r="L40" i="49"/>
  <c r="M40" i="49"/>
  <c r="N40" i="49"/>
  <c r="O40" i="49"/>
  <c r="P40" i="49"/>
  <c r="Q40" i="49"/>
  <c r="R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Y40" i="49"/>
  <c r="AZ40" i="49"/>
  <c r="BA40" i="49"/>
  <c r="BB40" i="49"/>
  <c r="BC40" i="49"/>
  <c r="BD40" i="49"/>
  <c r="BE40" i="49"/>
  <c r="BF40" i="49"/>
  <c r="BG40" i="49"/>
  <c r="BH40" i="49"/>
  <c r="BI40" i="49"/>
  <c r="BJ40" i="49"/>
  <c r="BK40" i="49"/>
  <c r="BL40" i="49"/>
  <c r="BM40" i="49"/>
  <c r="BN40" i="49"/>
  <c r="BO40" i="49"/>
  <c r="BP40" i="49"/>
  <c r="BQ40" i="49"/>
  <c r="BR40" i="49"/>
  <c r="BS40" i="49"/>
  <c r="BT40" i="49"/>
  <c r="BU40" i="49"/>
  <c r="BV40" i="49"/>
  <c r="BW40" i="49"/>
  <c r="BX40" i="49"/>
  <c r="BY40" i="49"/>
  <c r="BZ40" i="49"/>
  <c r="CA40" i="49"/>
  <c r="CB40" i="49"/>
  <c r="CC40" i="49"/>
  <c r="CD40" i="49"/>
  <c r="CE40" i="49"/>
  <c r="CF40" i="49"/>
  <c r="CG40" i="49"/>
  <c r="CH40" i="49"/>
  <c r="CI40" i="49"/>
  <c r="CJ40" i="49"/>
  <c r="CK40" i="49"/>
  <c r="CL40" i="49"/>
  <c r="CM40" i="49"/>
  <c r="CN40" i="49"/>
  <c r="CO40" i="49"/>
  <c r="CP40" i="49"/>
  <c r="CQ40" i="49"/>
  <c r="CR40" i="49"/>
  <c r="CS40" i="49"/>
  <c r="CT40" i="49"/>
  <c r="CU40" i="49"/>
  <c r="CV40" i="49"/>
  <c r="CW40" i="49"/>
  <c r="CX40" i="49"/>
  <c r="CY40" i="49"/>
  <c r="CZ40" i="49"/>
  <c r="DA40"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BD41" i="49"/>
  <c r="BE41" i="49"/>
  <c r="BF41" i="49"/>
  <c r="BG41" i="49"/>
  <c r="BH41" i="49"/>
  <c r="BI41" i="49"/>
  <c r="BJ41" i="49"/>
  <c r="BK41" i="49"/>
  <c r="BL41" i="49"/>
  <c r="BM41" i="49"/>
  <c r="BN41" i="49"/>
  <c r="BO41" i="49"/>
  <c r="BP41" i="49"/>
  <c r="BQ41" i="49"/>
  <c r="BR41" i="49"/>
  <c r="BS41" i="49"/>
  <c r="BT41" i="49"/>
  <c r="BU41" i="49"/>
  <c r="BV41" i="49"/>
  <c r="BW41" i="49"/>
  <c r="BX41" i="49"/>
  <c r="BY41" i="49"/>
  <c r="BZ41" i="49"/>
  <c r="CA41" i="49"/>
  <c r="CB41" i="49"/>
  <c r="CC41" i="49"/>
  <c r="CD41" i="49"/>
  <c r="CE41" i="49"/>
  <c r="CF41" i="49"/>
  <c r="CG41" i="49"/>
  <c r="CH41" i="49"/>
  <c r="CI41" i="49"/>
  <c r="CJ41" i="49"/>
  <c r="CK41" i="49"/>
  <c r="CL41" i="49"/>
  <c r="CN41" i="49"/>
  <c r="CO41" i="49"/>
  <c r="CP41" i="49"/>
  <c r="CQ41" i="49"/>
  <c r="CR41" i="49"/>
  <c r="CS41" i="49"/>
  <c r="CT41" i="49"/>
  <c r="CU41" i="49"/>
  <c r="CV41" i="49"/>
  <c r="CW41" i="49"/>
  <c r="CX41" i="49"/>
  <c r="CY41" i="49"/>
  <c r="DA41"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BD42" i="49"/>
  <c r="BE42" i="49"/>
  <c r="BF42" i="49"/>
  <c r="BG42" i="49"/>
  <c r="BH42" i="49"/>
  <c r="BI42" i="49"/>
  <c r="BJ42" i="49"/>
  <c r="BK42" i="49"/>
  <c r="BL42" i="49"/>
  <c r="BM42" i="49"/>
  <c r="BN42" i="49"/>
  <c r="BO42" i="49"/>
  <c r="BP42" i="49"/>
  <c r="BQ42" i="49"/>
  <c r="BR42" i="49"/>
  <c r="BS42" i="49"/>
  <c r="BT42" i="49"/>
  <c r="BU42" i="49"/>
  <c r="BV42" i="49"/>
  <c r="BW42" i="49"/>
  <c r="BX42" i="49"/>
  <c r="BY42" i="49"/>
  <c r="BZ42" i="49"/>
  <c r="CA42" i="49"/>
  <c r="CB42" i="49"/>
  <c r="CC42" i="49"/>
  <c r="CD42" i="49"/>
  <c r="CE42" i="49"/>
  <c r="CF42" i="49"/>
  <c r="CG42" i="49"/>
  <c r="CH42" i="49"/>
  <c r="CI42" i="49"/>
  <c r="CJ42" i="49"/>
  <c r="CK42" i="49"/>
  <c r="CL42" i="49"/>
  <c r="CM42" i="49"/>
  <c r="CN42" i="49"/>
  <c r="CP42" i="49"/>
  <c r="CQ42" i="49"/>
  <c r="CR42" i="49"/>
  <c r="CS42" i="49"/>
  <c r="CT42" i="49"/>
  <c r="CU42" i="49"/>
  <c r="CV42" i="49"/>
  <c r="CW42" i="49"/>
  <c r="CX42" i="49"/>
  <c r="CY42" i="49"/>
  <c r="DA42"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BD43" i="49"/>
  <c r="BE43" i="49"/>
  <c r="BF43" i="49"/>
  <c r="BG43" i="49"/>
  <c r="BH43" i="49"/>
  <c r="BI43" i="49"/>
  <c r="BJ43" i="49"/>
  <c r="BK43" i="49"/>
  <c r="BL43" i="49"/>
  <c r="BM43" i="49"/>
  <c r="BN43" i="49"/>
  <c r="BO43" i="49"/>
  <c r="BP43" i="49"/>
  <c r="BQ43" i="49"/>
  <c r="BR43" i="49"/>
  <c r="BS43" i="49"/>
  <c r="BT43" i="49"/>
  <c r="BU43" i="49"/>
  <c r="BV43" i="49"/>
  <c r="BW43" i="49"/>
  <c r="BX43" i="49"/>
  <c r="BY43" i="49"/>
  <c r="BZ43" i="49"/>
  <c r="CA43" i="49"/>
  <c r="CB43" i="49"/>
  <c r="CC43" i="49"/>
  <c r="CD43" i="49"/>
  <c r="CE43" i="49"/>
  <c r="CF43" i="49"/>
  <c r="CG43" i="49"/>
  <c r="CH43" i="49"/>
  <c r="CI43" i="49"/>
  <c r="CJ43" i="49"/>
  <c r="CK43" i="49"/>
  <c r="CL43" i="49"/>
  <c r="CM43" i="49"/>
  <c r="CN43" i="49"/>
  <c r="CO43" i="49"/>
  <c r="CP43" i="49"/>
  <c r="CR43" i="49"/>
  <c r="CS43" i="49"/>
  <c r="CT43" i="49"/>
  <c r="CU43" i="49"/>
  <c r="CV43" i="49"/>
  <c r="CW43" i="49"/>
  <c r="CX43" i="49"/>
  <c r="CY43" i="49"/>
  <c r="DA43"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BD44" i="49"/>
  <c r="BE44" i="49"/>
  <c r="BF44" i="49"/>
  <c r="BG44" i="49"/>
  <c r="BH44" i="49"/>
  <c r="BI44" i="49"/>
  <c r="BJ44" i="49"/>
  <c r="BK44" i="49"/>
  <c r="BL44" i="49"/>
  <c r="BM44" i="49"/>
  <c r="BN44" i="49"/>
  <c r="BO44" i="49"/>
  <c r="BP44" i="49"/>
  <c r="BQ44" i="49"/>
  <c r="BR44" i="49"/>
  <c r="BS44" i="49"/>
  <c r="BT44" i="49"/>
  <c r="BU44" i="49"/>
  <c r="BV44" i="49"/>
  <c r="BW44" i="49"/>
  <c r="BX44" i="49"/>
  <c r="BY44" i="49"/>
  <c r="BZ44" i="49"/>
  <c r="CA44" i="49"/>
  <c r="CB44" i="49"/>
  <c r="CC44" i="49"/>
  <c r="CD44" i="49"/>
  <c r="CE44" i="49"/>
  <c r="CF44" i="49"/>
  <c r="CG44" i="49"/>
  <c r="CH44" i="49"/>
  <c r="CI44" i="49"/>
  <c r="CJ44" i="49"/>
  <c r="CK44" i="49"/>
  <c r="CL44" i="49"/>
  <c r="CM44" i="49"/>
  <c r="CN44" i="49"/>
  <c r="CO44" i="49"/>
  <c r="CP44" i="49"/>
  <c r="CQ44" i="49"/>
  <c r="CR44" i="49"/>
  <c r="CT44" i="49"/>
  <c r="CU44" i="49"/>
  <c r="CV44" i="49"/>
  <c r="CW44" i="49"/>
  <c r="CX44" i="49"/>
  <c r="CY44" i="49"/>
  <c r="DA44"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BD45" i="49"/>
  <c r="BE45" i="49"/>
  <c r="BF45" i="49"/>
  <c r="BG45" i="49"/>
  <c r="BH45" i="49"/>
  <c r="BI45" i="49"/>
  <c r="BJ45" i="49"/>
  <c r="BK45" i="49"/>
  <c r="BL45" i="49"/>
  <c r="BM45" i="49"/>
  <c r="BN45" i="49"/>
  <c r="BO45" i="49"/>
  <c r="BP45" i="49"/>
  <c r="BQ45" i="49"/>
  <c r="BR45" i="49"/>
  <c r="BS45" i="49"/>
  <c r="BT45" i="49"/>
  <c r="BU45" i="49"/>
  <c r="BV45" i="49"/>
  <c r="BW45" i="49"/>
  <c r="BX45" i="49"/>
  <c r="BY45" i="49"/>
  <c r="BZ45" i="49"/>
  <c r="CA45" i="49"/>
  <c r="CB45" i="49"/>
  <c r="CC45" i="49"/>
  <c r="CD45" i="49"/>
  <c r="CE45" i="49"/>
  <c r="CF45" i="49"/>
  <c r="CG45" i="49"/>
  <c r="CH45" i="49"/>
  <c r="CI45" i="49"/>
  <c r="CJ45" i="49"/>
  <c r="CK45" i="49"/>
  <c r="CL45" i="49"/>
  <c r="CM45" i="49"/>
  <c r="CN45" i="49"/>
  <c r="CO45" i="49"/>
  <c r="CP45" i="49"/>
  <c r="CQ45" i="49"/>
  <c r="CR45" i="49"/>
  <c r="CS45" i="49"/>
  <c r="CT45" i="49"/>
  <c r="CU45" i="49"/>
  <c r="CV45" i="49"/>
  <c r="CW45" i="49"/>
  <c r="CX45" i="49"/>
  <c r="CY45" i="49"/>
  <c r="CZ45" i="49"/>
  <c r="DA45"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BD46" i="49"/>
  <c r="BE46" i="49"/>
  <c r="BF46" i="49"/>
  <c r="BG46" i="49"/>
  <c r="BH46" i="49"/>
  <c r="BI46" i="49"/>
  <c r="BJ46" i="49"/>
  <c r="BK46" i="49"/>
  <c r="BL46" i="49"/>
  <c r="BM46" i="49"/>
  <c r="BN46" i="49"/>
  <c r="BO46" i="49"/>
  <c r="BP46" i="49"/>
  <c r="BQ46" i="49"/>
  <c r="BR46" i="49"/>
  <c r="BS46" i="49"/>
  <c r="BT46" i="49"/>
  <c r="BU46" i="49"/>
  <c r="BV46" i="49"/>
  <c r="BW46" i="49"/>
  <c r="BX46" i="49"/>
  <c r="BY46" i="49"/>
  <c r="BZ46" i="49"/>
  <c r="CA46" i="49"/>
  <c r="CB46" i="49"/>
  <c r="CC46" i="49"/>
  <c r="CD46" i="49"/>
  <c r="CE46" i="49"/>
  <c r="CF46" i="49"/>
  <c r="CG46" i="49"/>
  <c r="CI46" i="49"/>
  <c r="CJ46" i="49"/>
  <c r="CK46" i="49"/>
  <c r="CL46" i="49"/>
  <c r="CM46" i="49"/>
  <c r="CN46" i="49"/>
  <c r="CO46" i="49"/>
  <c r="CP46" i="49"/>
  <c r="CQ46" i="49"/>
  <c r="CR46" i="49"/>
  <c r="CS46" i="49"/>
  <c r="CT46" i="49"/>
  <c r="CU46" i="49"/>
  <c r="CV46" i="49"/>
  <c r="CW46" i="49"/>
  <c r="CX46" i="49"/>
  <c r="CY46" i="49"/>
  <c r="CZ46"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BD47" i="49"/>
  <c r="BE47" i="49"/>
  <c r="BF47" i="49"/>
  <c r="BG47" i="49"/>
  <c r="BH47" i="49"/>
  <c r="BI47" i="49"/>
  <c r="BJ47" i="49"/>
  <c r="BK47" i="49"/>
  <c r="BL47" i="49"/>
  <c r="BM47" i="49"/>
  <c r="BN47" i="49"/>
  <c r="BO47" i="49"/>
  <c r="BP47" i="49"/>
  <c r="BQ47" i="49"/>
  <c r="BR47" i="49"/>
  <c r="BS47" i="49"/>
  <c r="BT47" i="49"/>
  <c r="BU47" i="49"/>
  <c r="BV47" i="49"/>
  <c r="BW47" i="49"/>
  <c r="BX47" i="49"/>
  <c r="BY47" i="49"/>
  <c r="BZ47" i="49"/>
  <c r="CA47" i="49"/>
  <c r="CB47" i="49"/>
  <c r="CC47" i="49"/>
  <c r="CE47" i="49"/>
  <c r="CF47" i="49"/>
  <c r="CG47" i="49"/>
  <c r="CH47" i="49"/>
  <c r="CI47" i="49"/>
  <c r="CJ47" i="49"/>
  <c r="CK47" i="49"/>
  <c r="CL47" i="49"/>
  <c r="CM47" i="49"/>
  <c r="CN47" i="49"/>
  <c r="CO47" i="49"/>
  <c r="CP47" i="49"/>
  <c r="CQ47" i="49"/>
  <c r="CR47" i="49"/>
  <c r="CS47" i="49"/>
  <c r="CT47" i="49"/>
  <c r="CU47" i="49"/>
  <c r="CV47" i="49"/>
  <c r="CW47" i="49"/>
  <c r="CX47" i="49"/>
  <c r="CY47" i="49"/>
  <c r="CZ47"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BD48" i="49"/>
  <c r="BE48" i="49"/>
  <c r="BF48" i="49"/>
  <c r="BG48" i="49"/>
  <c r="BH48" i="49"/>
  <c r="BI48" i="49"/>
  <c r="BJ48" i="49"/>
  <c r="BK48" i="49"/>
  <c r="BL48" i="49"/>
  <c r="BM48" i="49"/>
  <c r="BN48" i="49"/>
  <c r="BO48" i="49"/>
  <c r="BP48" i="49"/>
  <c r="BQ48" i="49"/>
  <c r="BR48" i="49"/>
  <c r="BS48" i="49"/>
  <c r="BT48" i="49"/>
  <c r="BU48" i="49"/>
  <c r="BV48" i="49"/>
  <c r="BW48" i="49"/>
  <c r="BX48" i="49"/>
  <c r="BY48" i="49"/>
  <c r="BZ48" i="49"/>
  <c r="CA48" i="49"/>
  <c r="CB48" i="49"/>
  <c r="CC48" i="49"/>
  <c r="CD48" i="49"/>
  <c r="CE48" i="49"/>
  <c r="CG48" i="49"/>
  <c r="CH48" i="49"/>
  <c r="CI48" i="49"/>
  <c r="CJ48" i="49"/>
  <c r="CK48" i="49"/>
  <c r="CL48" i="49"/>
  <c r="CM48" i="49"/>
  <c r="CN48" i="49"/>
  <c r="CO48" i="49"/>
  <c r="CP48" i="49"/>
  <c r="CQ48" i="49"/>
  <c r="CR48" i="49"/>
  <c r="CS48" i="49"/>
  <c r="CT48" i="49"/>
  <c r="CU48" i="49"/>
  <c r="CV48" i="49"/>
  <c r="CW48" i="49"/>
  <c r="CX48" i="49"/>
  <c r="CY48" i="49"/>
  <c r="CZ48"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BD49" i="49"/>
  <c r="BE49" i="49"/>
  <c r="BF49" i="49"/>
  <c r="BG49" i="49"/>
  <c r="BH49" i="49"/>
  <c r="BI49" i="49"/>
  <c r="BJ49" i="49"/>
  <c r="BK49" i="49"/>
  <c r="BL49" i="49"/>
  <c r="BM49" i="49"/>
  <c r="BN49" i="49"/>
  <c r="BO49" i="49"/>
  <c r="BP49" i="49"/>
  <c r="BQ49" i="49"/>
  <c r="BR49" i="49"/>
  <c r="BS49" i="49"/>
  <c r="BT49" i="49"/>
  <c r="BU49" i="49"/>
  <c r="BV49" i="49"/>
  <c r="BW49" i="49"/>
  <c r="BX49" i="49"/>
  <c r="BY49" i="49"/>
  <c r="BZ49" i="49"/>
  <c r="CA49" i="49"/>
  <c r="CB49" i="49"/>
  <c r="CC49" i="49"/>
  <c r="CD49" i="49"/>
  <c r="CE49" i="49"/>
  <c r="CF49" i="49"/>
  <c r="CG49" i="49"/>
  <c r="CH49" i="49"/>
  <c r="CI49" i="49"/>
  <c r="CJ49" i="49"/>
  <c r="CK49" i="49"/>
  <c r="CL49" i="49"/>
  <c r="CM49" i="49"/>
  <c r="CN49" i="49"/>
  <c r="CO49" i="49"/>
  <c r="CP49" i="49"/>
  <c r="CQ49" i="49"/>
  <c r="CR49" i="49"/>
  <c r="CS49" i="49"/>
  <c r="CU49" i="49"/>
  <c r="CV49" i="49"/>
  <c r="CW49" i="49"/>
  <c r="CX49" i="49"/>
  <c r="CY49" i="49"/>
  <c r="CZ49"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BD50" i="49"/>
  <c r="BE50" i="49"/>
  <c r="BF50" i="49"/>
  <c r="BG50" i="49"/>
  <c r="BH50" i="49"/>
  <c r="BI50" i="49"/>
  <c r="BJ50" i="49"/>
  <c r="BK50" i="49"/>
  <c r="BL50" i="49"/>
  <c r="BM50" i="49"/>
  <c r="BN50" i="49"/>
  <c r="BO50" i="49"/>
  <c r="BP50" i="49"/>
  <c r="BQ50" i="49"/>
  <c r="BR50" i="49"/>
  <c r="BS50" i="49"/>
  <c r="BT50" i="49"/>
  <c r="BU50" i="49"/>
  <c r="BV50" i="49"/>
  <c r="BW50" i="49"/>
  <c r="BX50" i="49"/>
  <c r="BY50" i="49"/>
  <c r="BZ50" i="49"/>
  <c r="CA50" i="49"/>
  <c r="CB50" i="49"/>
  <c r="CC50" i="49"/>
  <c r="CD50" i="49"/>
  <c r="CE50" i="49"/>
  <c r="CF50" i="49"/>
  <c r="CG50" i="49"/>
  <c r="CH50" i="49"/>
  <c r="CI50" i="49"/>
  <c r="CJ50" i="49"/>
  <c r="CK50" i="49"/>
  <c r="CL50" i="49"/>
  <c r="CM50" i="49"/>
  <c r="CN50" i="49"/>
  <c r="CO50" i="49"/>
  <c r="CP50" i="49"/>
  <c r="CQ50" i="49"/>
  <c r="CR50" i="49"/>
  <c r="CS50" i="49"/>
  <c r="CT50" i="49"/>
  <c r="CU50" i="49"/>
  <c r="CV50" i="49"/>
  <c r="CX50" i="49"/>
  <c r="CY50" i="49"/>
  <c r="DA50"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BD51" i="49"/>
  <c r="BE51" i="49"/>
  <c r="BF51" i="49"/>
  <c r="BG51" i="49"/>
  <c r="BH51" i="49"/>
  <c r="BI51" i="49"/>
  <c r="BJ51" i="49"/>
  <c r="BK51" i="49"/>
  <c r="BL51" i="49"/>
  <c r="BM51" i="49"/>
  <c r="BN51" i="49"/>
  <c r="BO51" i="49"/>
  <c r="BP51" i="49"/>
  <c r="BQ51" i="49"/>
  <c r="BR51" i="49"/>
  <c r="BS51" i="49"/>
  <c r="BT51" i="49"/>
  <c r="BU51" i="49"/>
  <c r="BV51" i="49"/>
  <c r="BW51" i="49"/>
  <c r="BX51" i="49"/>
  <c r="BY51" i="49"/>
  <c r="BZ51" i="49"/>
  <c r="CA51" i="49"/>
  <c r="CB51" i="49"/>
  <c r="CC51" i="49"/>
  <c r="CD51" i="49"/>
  <c r="CE51" i="49"/>
  <c r="CF51" i="49"/>
  <c r="CG51" i="49"/>
  <c r="CH51" i="49"/>
  <c r="CI51" i="49"/>
  <c r="CJ51" i="49"/>
  <c r="CK51" i="49"/>
  <c r="CL51" i="49"/>
  <c r="CM51" i="49"/>
  <c r="CN51" i="49"/>
  <c r="CO51" i="49"/>
  <c r="CP51" i="49"/>
  <c r="CQ51" i="49"/>
  <c r="CR51" i="49"/>
  <c r="CS51" i="49"/>
  <c r="CT51" i="49"/>
  <c r="CU51" i="49"/>
  <c r="CV51" i="49"/>
  <c r="CW51" i="49"/>
  <c r="CX51" i="49"/>
  <c r="CY51" i="49"/>
  <c r="CZ51" i="49"/>
  <c r="DA51" i="49"/>
  <c r="A10" i="49" a="1"/>
  <c r="A10" i="49" s="1"/>
  <c r="F28" i="68" l="1"/>
  <c r="G28" i="68" s="1"/>
  <c r="G27" i="68"/>
  <c r="H27" i="68" s="1"/>
  <c r="M204" i="34"/>
  <c r="C204" i="34"/>
  <c r="AD204" i="34" s="1"/>
  <c r="I193" i="34"/>
  <c r="M195" i="34"/>
  <c r="C195" i="34"/>
  <c r="AD195" i="34" s="1"/>
  <c r="M194" i="34"/>
  <c r="C194" i="34"/>
  <c r="AD194" i="34" s="1"/>
  <c r="C623" i="34"/>
  <c r="AD623" i="34" s="1"/>
  <c r="C419" i="34"/>
  <c r="AD419" i="34" s="1"/>
  <c r="C408" i="34"/>
  <c r="AD408" i="34" s="1"/>
  <c r="M187" i="34"/>
  <c r="M188" i="34"/>
  <c r="M189" i="34"/>
  <c r="M190" i="34"/>
  <c r="M191" i="34"/>
  <c r="M192" i="34"/>
  <c r="M193" i="34"/>
  <c r="C729" i="34"/>
  <c r="AD729" i="34" s="1"/>
  <c r="C728" i="34"/>
  <c r="AD728" i="34" s="1"/>
  <c r="C727" i="34"/>
  <c r="AD727" i="34" s="1"/>
  <c r="C726" i="34"/>
  <c r="AD726" i="34" s="1"/>
  <c r="C725" i="34"/>
  <c r="AD725" i="34" s="1"/>
  <c r="C193" i="34"/>
  <c r="AD193" i="34" s="1"/>
  <c r="C192" i="34"/>
  <c r="AD192" i="34" s="1"/>
  <c r="C191" i="34"/>
  <c r="AD191" i="34" s="1"/>
  <c r="C190" i="34"/>
  <c r="AD190" i="34" s="1"/>
  <c r="C189" i="34"/>
  <c r="AD189" i="34" s="1"/>
  <c r="C188" i="34"/>
  <c r="AD188" i="34" s="1"/>
  <c r="C187" i="34"/>
  <c r="AD187" i="34" s="1"/>
  <c r="E72" i="60"/>
  <c r="V12" i="60"/>
  <c r="V13" i="60"/>
  <c r="V14" i="60"/>
  <c r="M122" i="34"/>
  <c r="M123" i="34"/>
  <c r="M124" i="34"/>
  <c r="M125" i="34"/>
  <c r="M126" i="34"/>
  <c r="M127" i="34"/>
  <c r="M128" i="34"/>
  <c r="M129" i="34"/>
  <c r="C129" i="34"/>
  <c r="AD129" i="34" s="1"/>
  <c r="C128" i="34"/>
  <c r="AD128" i="34" s="1"/>
  <c r="C127" i="34"/>
  <c r="AD127" i="34" s="1"/>
  <c r="C126" i="34"/>
  <c r="AD126" i="34" s="1"/>
  <c r="C125" i="34"/>
  <c r="AD125" i="34" s="1"/>
  <c r="C124" i="34"/>
  <c r="AD124" i="34" s="1"/>
  <c r="C123" i="34"/>
  <c r="AD123" i="34" s="1"/>
  <c r="C122" i="34"/>
  <c r="AD122" i="34" s="1"/>
  <c r="H28" i="68" l="1"/>
  <c r="G30" i="68"/>
  <c r="B204" i="34"/>
  <c r="B195" i="34"/>
  <c r="B194" i="34"/>
  <c r="B623" i="34"/>
  <c r="B725" i="34"/>
  <c r="B729" i="34"/>
  <c r="B726" i="34"/>
  <c r="B727" i="34"/>
  <c r="B728" i="34"/>
  <c r="B187" i="34"/>
  <c r="B189" i="34"/>
  <c r="B191" i="34"/>
  <c r="B193" i="34"/>
  <c r="B188" i="34"/>
  <c r="B190" i="34"/>
  <c r="B192" i="34"/>
  <c r="B123" i="34"/>
  <c r="B125" i="34"/>
  <c r="B127" i="34"/>
  <c r="B129" i="34"/>
  <c r="B122" i="34"/>
  <c r="B124" i="34"/>
  <c r="B126" i="34"/>
  <c r="B128" i="34"/>
  <c r="A193" i="34" l="1"/>
  <c r="S193" i="34"/>
  <c r="Q193" i="34"/>
  <c r="R193" i="34"/>
  <c r="A725" i="34"/>
  <c r="S725" i="34"/>
  <c r="Q725" i="34"/>
  <c r="R725" i="34"/>
  <c r="A128" i="34"/>
  <c r="R128" i="34"/>
  <c r="S128" i="34"/>
  <c r="Q128" i="34"/>
  <c r="A191" i="34"/>
  <c r="S191" i="34"/>
  <c r="Q191" i="34"/>
  <c r="R191" i="34"/>
  <c r="A126" i="34"/>
  <c r="R126" i="34"/>
  <c r="S126" i="34"/>
  <c r="Q126" i="34"/>
  <c r="A190" i="34"/>
  <c r="Q190" i="34"/>
  <c r="R190" i="34"/>
  <c r="S190" i="34"/>
  <c r="A189" i="34"/>
  <c r="S189" i="34"/>
  <c r="Q189" i="34"/>
  <c r="R189" i="34"/>
  <c r="A726" i="34"/>
  <c r="Q726" i="34"/>
  <c r="R726" i="34"/>
  <c r="S726" i="34"/>
  <c r="A124" i="34"/>
  <c r="R124" i="34"/>
  <c r="S124" i="34"/>
  <c r="Q124" i="34"/>
  <c r="A125" i="34"/>
  <c r="Q125" i="34"/>
  <c r="R125" i="34"/>
  <c r="S125" i="34"/>
  <c r="A188" i="34"/>
  <c r="Q188" i="34"/>
  <c r="R188" i="34"/>
  <c r="S188" i="34"/>
  <c r="A187" i="34"/>
  <c r="S187" i="34"/>
  <c r="Q187" i="34"/>
  <c r="R187" i="34"/>
  <c r="A729" i="34"/>
  <c r="S729" i="34"/>
  <c r="Q729" i="34"/>
  <c r="R729" i="34"/>
  <c r="A195" i="34"/>
  <c r="S195" i="34"/>
  <c r="Q195" i="34"/>
  <c r="R195" i="34"/>
  <c r="A123" i="34"/>
  <c r="Q123" i="34"/>
  <c r="R123" i="34"/>
  <c r="S123" i="34"/>
  <c r="A728" i="34"/>
  <c r="Q728" i="34"/>
  <c r="R728" i="34"/>
  <c r="S728" i="34"/>
  <c r="A192" i="34"/>
  <c r="Q192" i="34"/>
  <c r="R192" i="34"/>
  <c r="S192" i="34"/>
  <c r="A727" i="34"/>
  <c r="S727" i="34"/>
  <c r="Q727" i="34"/>
  <c r="R727" i="34"/>
  <c r="A623" i="34"/>
  <c r="S623" i="34"/>
  <c r="Q623" i="34"/>
  <c r="R623" i="34"/>
  <c r="A122" i="34"/>
  <c r="R122" i="34"/>
  <c r="S122" i="34"/>
  <c r="Q122" i="34"/>
  <c r="A204" i="34"/>
  <c r="Q204" i="34"/>
  <c r="R204" i="34"/>
  <c r="S204" i="34"/>
  <c r="A129" i="34"/>
  <c r="Q129" i="34"/>
  <c r="R129" i="34"/>
  <c r="S129" i="34"/>
  <c r="A127" i="34"/>
  <c r="Q127" i="34"/>
  <c r="R127" i="34"/>
  <c r="S127" i="34"/>
  <c r="A194" i="34"/>
  <c r="Q194" i="34"/>
  <c r="R194" i="34"/>
  <c r="S194" i="34"/>
  <c r="B76" i="34"/>
  <c r="B77" i="34"/>
  <c r="B78" i="34"/>
  <c r="B79" i="34"/>
  <c r="B25" i="34"/>
  <c r="B26" i="34"/>
  <c r="B27" i="34"/>
  <c r="B28" i="34"/>
  <c r="B29" i="34"/>
  <c r="B30" i="34"/>
  <c r="B31" i="34"/>
  <c r="B32" i="34"/>
  <c r="B33" i="34"/>
  <c r="B34" i="34"/>
  <c r="B35" i="34"/>
  <c r="B36" i="34"/>
  <c r="B37" i="34"/>
  <c r="B38" i="34"/>
  <c r="B39" i="34"/>
  <c r="B40" i="34"/>
  <c r="B41" i="34"/>
  <c r="B42" i="34"/>
  <c r="B43" i="34"/>
  <c r="B44" i="34"/>
  <c r="B45" i="34"/>
  <c r="B46" i="34"/>
  <c r="B47" i="34"/>
  <c r="B48" i="34"/>
  <c r="B49" i="34"/>
  <c r="B50" i="34"/>
  <c r="B51" i="34"/>
  <c r="B52" i="34"/>
  <c r="B53" i="34"/>
  <c r="B54" i="34"/>
  <c r="B55" i="34"/>
  <c r="B56" i="34"/>
  <c r="B57" i="34"/>
  <c r="B58" i="34"/>
  <c r="B59" i="34"/>
  <c r="B60" i="34"/>
  <c r="B61" i="34"/>
  <c r="B62" i="34"/>
  <c r="B63" i="34"/>
  <c r="B64" i="34"/>
  <c r="B65" i="34"/>
  <c r="B66" i="34"/>
  <c r="B67" i="34"/>
  <c r="B68" i="34"/>
  <c r="B69" i="34"/>
  <c r="B70" i="34"/>
  <c r="B71" i="34"/>
  <c r="B72" i="34"/>
  <c r="B73" i="34"/>
  <c r="B74" i="34"/>
  <c r="B75" i="34"/>
  <c r="B664" i="34"/>
  <c r="B665" i="34"/>
  <c r="B666" i="34"/>
  <c r="B667" i="34"/>
  <c r="B668" i="34"/>
  <c r="B669" i="34"/>
  <c r="B670" i="34"/>
  <c r="B671" i="34"/>
  <c r="B672" i="34"/>
  <c r="B673" i="34"/>
  <c r="B674" i="34"/>
  <c r="B675" i="34"/>
  <c r="B676" i="34"/>
  <c r="B677" i="34"/>
  <c r="B678" i="34"/>
  <c r="B679" i="34"/>
  <c r="B680" i="34"/>
  <c r="B681" i="34"/>
  <c r="B682" i="34"/>
  <c r="B683" i="34"/>
  <c r="B684" i="34"/>
  <c r="B685" i="34"/>
  <c r="B686" i="34"/>
  <c r="B687" i="34"/>
  <c r="B688" i="34"/>
  <c r="B205" i="34"/>
  <c r="B206" i="34"/>
  <c r="B207" i="34"/>
  <c r="B208" i="34"/>
  <c r="B209" i="34"/>
  <c r="B210" i="34"/>
  <c r="B211" i="34"/>
  <c r="B212" i="34"/>
  <c r="B213" i="34"/>
  <c r="B214" i="34"/>
  <c r="B215" i="34"/>
  <c r="B216" i="34"/>
  <c r="B217" i="34"/>
  <c r="B218" i="34"/>
  <c r="B219" i="34"/>
  <c r="B220" i="34"/>
  <c r="B221" i="34"/>
  <c r="B222" i="34"/>
  <c r="B223" i="34"/>
  <c r="B224" i="34"/>
  <c r="B225" i="34"/>
  <c r="B226" i="34"/>
  <c r="B227" i="34"/>
  <c r="B228" i="34"/>
  <c r="B229" i="34"/>
  <c r="B230" i="34"/>
  <c r="B231" i="34"/>
  <c r="B232" i="34"/>
  <c r="B233" i="34"/>
  <c r="B234" i="34"/>
  <c r="B235" i="34"/>
  <c r="B236" i="34"/>
  <c r="B237" i="34"/>
  <c r="B238" i="34"/>
  <c r="B239" i="34"/>
  <c r="B240" i="34"/>
  <c r="B241" i="34"/>
  <c r="B242" i="34"/>
  <c r="B243" i="34"/>
  <c r="B244" i="34"/>
  <c r="B245" i="34"/>
  <c r="B246" i="34"/>
  <c r="B247" i="34"/>
  <c r="B248" i="34"/>
  <c r="B249" i="34"/>
  <c r="B250" i="34"/>
  <c r="B251" i="34"/>
  <c r="B252" i="34"/>
  <c r="B253" i="34"/>
  <c r="B254" i="34"/>
  <c r="B256" i="34"/>
  <c r="B257" i="34"/>
  <c r="B258" i="34"/>
  <c r="B259" i="34"/>
  <c r="B260" i="34"/>
  <c r="B261" i="34"/>
  <c r="B262" i="34"/>
  <c r="B263" i="34"/>
  <c r="B264" i="34"/>
  <c r="B265" i="34"/>
  <c r="B266" i="34"/>
  <c r="B267" i="34"/>
  <c r="B268" i="34"/>
  <c r="B269" i="34"/>
  <c r="B270" i="34"/>
  <c r="B271" i="34"/>
  <c r="B272" i="34"/>
  <c r="B273" i="34"/>
  <c r="B274" i="34"/>
  <c r="B275" i="34"/>
  <c r="B276" i="34"/>
  <c r="B277" i="34"/>
  <c r="B278" i="34"/>
  <c r="B279" i="34"/>
  <c r="B280" i="34"/>
  <c r="B281" i="34"/>
  <c r="B282" i="34"/>
  <c r="B283" i="34"/>
  <c r="B284" i="34"/>
  <c r="B285" i="34"/>
  <c r="B286" i="34"/>
  <c r="B287" i="34"/>
  <c r="B288" i="34"/>
  <c r="B289" i="34"/>
  <c r="B291" i="34"/>
  <c r="B292" i="34"/>
  <c r="B293" i="34"/>
  <c r="B294" i="34"/>
  <c r="B295" i="34"/>
  <c r="B296" i="34"/>
  <c r="B297" i="34"/>
  <c r="B299" i="34"/>
  <c r="B300" i="34"/>
  <c r="B304" i="34"/>
  <c r="B308" i="34"/>
  <c r="B301" i="34"/>
  <c r="B302" i="34"/>
  <c r="B303" i="34"/>
  <c r="B305" i="34"/>
  <c r="B306" i="34"/>
  <c r="B307" i="34"/>
  <c r="B309" i="34"/>
  <c r="B310" i="34"/>
  <c r="B311" i="34"/>
  <c r="B312" i="34"/>
  <c r="B313" i="34"/>
  <c r="B314" i="34"/>
  <c r="B315" i="34"/>
  <c r="B316" i="34"/>
  <c r="B317" i="34"/>
  <c r="B318" i="34"/>
  <c r="B319" i="34"/>
  <c r="B323" i="34"/>
  <c r="B324" i="34"/>
  <c r="B325" i="34"/>
  <c r="B326" i="34"/>
  <c r="B327" i="34"/>
  <c r="B329" i="34"/>
  <c r="B332" i="34"/>
  <c r="B333" i="34"/>
  <c r="B334" i="34"/>
  <c r="B335" i="34"/>
  <c r="B337" i="34"/>
  <c r="B336" i="34"/>
  <c r="B338" i="34"/>
  <c r="B339" i="34"/>
  <c r="B340" i="34"/>
  <c r="B341" i="34"/>
  <c r="B342" i="34"/>
  <c r="B343" i="34"/>
  <c r="B344" i="34"/>
  <c r="B345" i="34"/>
  <c r="B346" i="34"/>
  <c r="B347" i="34"/>
  <c r="B348" i="34"/>
  <c r="B349" i="34"/>
  <c r="B350" i="34"/>
  <c r="B351" i="34"/>
  <c r="B352" i="34"/>
  <c r="B353" i="34"/>
  <c r="B354" i="34"/>
  <c r="B355" i="34"/>
  <c r="B356" i="34"/>
  <c r="B357" i="34"/>
  <c r="B358" i="34"/>
  <c r="B359" i="34"/>
  <c r="B360" i="34"/>
  <c r="B361" i="34"/>
  <c r="B362" i="34"/>
  <c r="B363" i="34"/>
  <c r="B364" i="34"/>
  <c r="B366" i="34"/>
  <c r="B367" i="34"/>
  <c r="B368" i="34"/>
  <c r="B369" i="34"/>
  <c r="B370" i="34"/>
  <c r="B371" i="34"/>
  <c r="B372" i="34"/>
  <c r="B373" i="34"/>
  <c r="B374" i="34"/>
  <c r="B379" i="34"/>
  <c r="B380" i="34"/>
  <c r="B381" i="34"/>
  <c r="B382" i="34"/>
  <c r="B383" i="34"/>
  <c r="B384" i="34"/>
  <c r="B385" i="34"/>
  <c r="B386" i="34"/>
  <c r="B387" i="34"/>
  <c r="B388" i="34"/>
  <c r="B389" i="34"/>
  <c r="B390" i="34"/>
  <c r="B391" i="34"/>
  <c r="B392" i="34"/>
  <c r="B393" i="34"/>
  <c r="B394" i="34"/>
  <c r="B395" i="34"/>
  <c r="B396" i="34"/>
  <c r="B397" i="34"/>
  <c r="B375" i="34"/>
  <c r="B378" i="34"/>
  <c r="B398" i="34"/>
  <c r="B399" i="34"/>
  <c r="B400" i="34"/>
  <c r="B401" i="34"/>
  <c r="B402" i="34"/>
  <c r="B409" i="34"/>
  <c r="B410" i="34"/>
  <c r="B411" i="34"/>
  <c r="B412" i="34"/>
  <c r="B413" i="34"/>
  <c r="B414" i="34"/>
  <c r="B415" i="34"/>
  <c r="B416" i="34"/>
  <c r="B417" i="34"/>
  <c r="B418" i="34"/>
  <c r="B420" i="34"/>
  <c r="B421" i="34"/>
  <c r="B422" i="34"/>
  <c r="B423" i="34"/>
  <c r="B424" i="34"/>
  <c r="B430" i="34"/>
  <c r="B431" i="34"/>
  <c r="B432" i="34"/>
  <c r="B433" i="34"/>
  <c r="B434" i="34"/>
  <c r="B435" i="34"/>
  <c r="B436" i="34"/>
  <c r="B437" i="34"/>
  <c r="B438" i="34"/>
  <c r="B439" i="34"/>
  <c r="B440" i="34"/>
  <c r="B441" i="34"/>
  <c r="B442" i="34"/>
  <c r="B447" i="34"/>
  <c r="B448" i="34"/>
  <c r="B449" i="34"/>
  <c r="B450" i="34"/>
  <c r="B451" i="34"/>
  <c r="B452" i="34"/>
  <c r="B453" i="34"/>
  <c r="B454" i="34"/>
  <c r="B455" i="34"/>
  <c r="B456" i="34"/>
  <c r="B457" i="34"/>
  <c r="B458" i="34"/>
  <c r="B459" i="34"/>
  <c r="B460" i="34"/>
  <c r="B461" i="34"/>
  <c r="B462" i="34"/>
  <c r="B463" i="34"/>
  <c r="B464" i="34"/>
  <c r="B465" i="34"/>
  <c r="B466" i="34"/>
  <c r="B467" i="34"/>
  <c r="B468" i="34"/>
  <c r="B469" i="34"/>
  <c r="B470" i="34"/>
  <c r="B471" i="34"/>
  <c r="B472" i="34"/>
  <c r="B473" i="34"/>
  <c r="B474" i="34"/>
  <c r="B475" i="34"/>
  <c r="B476" i="34"/>
  <c r="B477" i="34"/>
  <c r="B478" i="34"/>
  <c r="B479" i="34"/>
  <c r="B480" i="34"/>
  <c r="B481" i="34"/>
  <c r="B689" i="34"/>
  <c r="B690" i="34"/>
  <c r="B691" i="34"/>
  <c r="B692" i="34"/>
  <c r="B693" i="34"/>
  <c r="B694" i="34"/>
  <c r="B695" i="34"/>
  <c r="B696" i="34"/>
  <c r="B697" i="34"/>
  <c r="B698" i="34"/>
  <c r="B699" i="34"/>
  <c r="B408" i="34"/>
  <c r="B419" i="34"/>
  <c r="B554" i="34"/>
  <c r="B713" i="34"/>
  <c r="B714" i="34"/>
  <c r="B712" i="34"/>
  <c r="B700" i="34"/>
  <c r="B701" i="34"/>
  <c r="B702" i="34"/>
  <c r="B703" i="34"/>
  <c r="B704" i="34"/>
  <c r="B705" i="34"/>
  <c r="B706" i="34"/>
  <c r="B707" i="34"/>
  <c r="B708" i="34"/>
  <c r="B709" i="34"/>
  <c r="B710" i="34"/>
  <c r="B711" i="34"/>
  <c r="B130" i="34"/>
  <c r="B131" i="34"/>
  <c r="B132" i="34"/>
  <c r="B135" i="34"/>
  <c r="B136" i="34"/>
  <c r="B799" i="34"/>
  <c r="B800" i="34"/>
  <c r="B801" i="34"/>
  <c r="B802" i="34"/>
  <c r="B803" i="34"/>
  <c r="B804" i="34"/>
  <c r="B805" i="34"/>
  <c r="B806" i="34"/>
  <c r="B807" i="34"/>
  <c r="B808" i="34"/>
  <c r="B809" i="34"/>
  <c r="B810" i="34"/>
  <c r="B811" i="34"/>
  <c r="B812" i="34"/>
  <c r="B813" i="34"/>
  <c r="B814" i="34"/>
  <c r="B815" i="34"/>
  <c r="B816" i="34"/>
  <c r="B817" i="34"/>
  <c r="B818" i="34"/>
  <c r="B819" i="34"/>
  <c r="B820" i="34"/>
  <c r="B821" i="34"/>
  <c r="B822" i="34"/>
  <c r="B823" i="34"/>
  <c r="B824" i="34"/>
  <c r="B825" i="34"/>
  <c r="B826" i="34"/>
  <c r="B827" i="34"/>
  <c r="B828" i="34"/>
  <c r="B829" i="34"/>
  <c r="B830" i="34"/>
  <c r="B831" i="34"/>
  <c r="B832" i="34"/>
  <c r="B833" i="34"/>
  <c r="B834" i="34"/>
  <c r="B835" i="34"/>
  <c r="B836" i="34"/>
  <c r="B837" i="34"/>
  <c r="B838" i="34"/>
  <c r="B839" i="34"/>
  <c r="B840" i="34"/>
  <c r="B841" i="34"/>
  <c r="B842" i="34"/>
  <c r="B843" i="34"/>
  <c r="B844" i="34"/>
  <c r="B845" i="34"/>
  <c r="B846" i="34"/>
  <c r="B847" i="34"/>
  <c r="B848" i="34"/>
  <c r="B849" i="34"/>
  <c r="B850" i="34"/>
  <c r="B851" i="34"/>
  <c r="B852" i="34"/>
  <c r="B853" i="34"/>
  <c r="B854" i="34"/>
  <c r="B855" i="34"/>
  <c r="B856" i="34"/>
  <c r="B857" i="34"/>
  <c r="B858" i="34"/>
  <c r="B859" i="34"/>
  <c r="B860" i="34"/>
  <c r="B861" i="34"/>
  <c r="B862" i="34"/>
  <c r="B863" i="34"/>
  <c r="B864" i="34"/>
  <c r="B865" i="34"/>
  <c r="B866" i="34"/>
  <c r="B867" i="34"/>
  <c r="B868" i="34"/>
  <c r="B869" i="34"/>
  <c r="B870" i="34"/>
  <c r="B871" i="34"/>
  <c r="B872" i="34"/>
  <c r="B873" i="34"/>
  <c r="B874" i="34"/>
  <c r="B875" i="34"/>
  <c r="B876" i="34"/>
  <c r="B877" i="34"/>
  <c r="B878" i="34"/>
  <c r="B879" i="34"/>
  <c r="B880" i="34"/>
  <c r="B881" i="34"/>
  <c r="B882" i="34"/>
  <c r="B883" i="34"/>
  <c r="B884" i="34"/>
  <c r="B885" i="34"/>
  <c r="B886" i="34"/>
  <c r="B887" i="34"/>
  <c r="B888" i="34"/>
  <c r="B889" i="34"/>
  <c r="B890" i="34"/>
  <c r="B891" i="34"/>
  <c r="B892" i="34"/>
  <c r="B893" i="34"/>
  <c r="B894" i="34"/>
  <c r="B895" i="34"/>
  <c r="B896" i="34"/>
  <c r="B897" i="34"/>
  <c r="B898" i="34"/>
  <c r="B899" i="34"/>
  <c r="B900" i="34"/>
  <c r="B901" i="34"/>
  <c r="B902" i="34"/>
  <c r="B903" i="34"/>
  <c r="B904" i="34"/>
  <c r="B905" i="34"/>
  <c r="B906" i="34"/>
  <c r="B907" i="34"/>
  <c r="B908" i="34"/>
  <c r="B909" i="34"/>
  <c r="B910" i="34"/>
  <c r="B911" i="34"/>
  <c r="B912" i="34"/>
  <c r="B913" i="34"/>
  <c r="B914" i="34"/>
  <c r="B915" i="34"/>
  <c r="B916" i="34"/>
  <c r="B917" i="34"/>
  <c r="B918" i="34"/>
  <c r="B919" i="34"/>
  <c r="B920" i="34"/>
  <c r="B921" i="34"/>
  <c r="B922" i="34"/>
  <c r="B923" i="34"/>
  <c r="B924" i="34"/>
  <c r="B925" i="34"/>
  <c r="B926" i="34"/>
  <c r="B927" i="34"/>
  <c r="B928" i="34"/>
  <c r="B929" i="34"/>
  <c r="B930" i="34"/>
  <c r="B931" i="34"/>
  <c r="B932" i="34"/>
  <c r="B933" i="34"/>
  <c r="B934" i="34"/>
  <c r="B935" i="34"/>
  <c r="B936" i="34"/>
  <c r="B937" i="34"/>
  <c r="B938" i="34"/>
  <c r="B939" i="34"/>
  <c r="B940" i="34"/>
  <c r="B941" i="34"/>
  <c r="B942" i="34"/>
  <c r="B943" i="34"/>
  <c r="B944" i="34"/>
  <c r="A943" i="34" l="1"/>
  <c r="R943" i="34"/>
  <c r="S943" i="34"/>
  <c r="Q943" i="34"/>
  <c r="A931" i="34"/>
  <c r="R931" i="34"/>
  <c r="S931" i="34"/>
  <c r="Q931" i="34"/>
  <c r="A919" i="34"/>
  <c r="R919" i="34"/>
  <c r="S919" i="34"/>
  <c r="Q919" i="34"/>
  <c r="A907" i="34"/>
  <c r="R907" i="34"/>
  <c r="S907" i="34"/>
  <c r="Q907" i="34"/>
  <c r="A895" i="34"/>
  <c r="R895" i="34"/>
  <c r="S895" i="34"/>
  <c r="Q895" i="34"/>
  <c r="A879" i="34"/>
  <c r="R879" i="34"/>
  <c r="S879" i="34"/>
  <c r="Q879" i="34"/>
  <c r="A867" i="34"/>
  <c r="R867" i="34"/>
  <c r="S867" i="34"/>
  <c r="Q867" i="34"/>
  <c r="A855" i="34"/>
  <c r="S855" i="34"/>
  <c r="R855" i="34"/>
  <c r="Q855" i="34"/>
  <c r="A843" i="34"/>
  <c r="S843" i="34"/>
  <c r="Q843" i="34"/>
  <c r="R843" i="34"/>
  <c r="A831" i="34"/>
  <c r="S831" i="34"/>
  <c r="Q831" i="34"/>
  <c r="R831" i="34"/>
  <c r="A819" i="34"/>
  <c r="S819" i="34"/>
  <c r="Q819" i="34"/>
  <c r="R819" i="34"/>
  <c r="A807" i="34"/>
  <c r="S807" i="34"/>
  <c r="Q807" i="34"/>
  <c r="R807" i="34"/>
  <c r="A803" i="34"/>
  <c r="S803" i="34"/>
  <c r="Q803" i="34"/>
  <c r="R803" i="34"/>
  <c r="A709" i="34"/>
  <c r="S709" i="34"/>
  <c r="Q709" i="34"/>
  <c r="R709" i="34"/>
  <c r="A695" i="34"/>
  <c r="S695" i="34"/>
  <c r="Q695" i="34"/>
  <c r="R695" i="34"/>
  <c r="A476" i="34"/>
  <c r="S476" i="34"/>
  <c r="Q476" i="34"/>
  <c r="R476" i="34"/>
  <c r="A464" i="34"/>
  <c r="S464" i="34"/>
  <c r="Q464" i="34"/>
  <c r="R464" i="34"/>
  <c r="A452" i="34"/>
  <c r="S452" i="34"/>
  <c r="T452" i="34"/>
  <c r="Q452" i="34"/>
  <c r="U452" i="34"/>
  <c r="R452" i="34"/>
  <c r="V452" i="34"/>
  <c r="A436" i="34"/>
  <c r="S436" i="34"/>
  <c r="Q436" i="34"/>
  <c r="R436" i="34"/>
  <c r="A418" i="34"/>
  <c r="S418" i="34"/>
  <c r="T418" i="34"/>
  <c r="Q418" i="34"/>
  <c r="U418" i="34"/>
  <c r="R418" i="34"/>
  <c r="V418" i="34"/>
  <c r="A400" i="34"/>
  <c r="S400" i="34"/>
  <c r="Q400" i="34"/>
  <c r="R400" i="34"/>
  <c r="A390" i="34"/>
  <c r="S390" i="34"/>
  <c r="Q390" i="34"/>
  <c r="R390" i="34"/>
  <c r="A382" i="34"/>
  <c r="S382" i="34"/>
  <c r="Q382" i="34"/>
  <c r="R382" i="34"/>
  <c r="A370" i="34"/>
  <c r="S370" i="34"/>
  <c r="R370" i="34"/>
  <c r="Q370" i="34"/>
  <c r="A357" i="34"/>
  <c r="Q357" i="34"/>
  <c r="S357" i="34"/>
  <c r="R357" i="34"/>
  <c r="A345" i="34"/>
  <c r="Q345" i="34"/>
  <c r="S345" i="34"/>
  <c r="R345" i="34"/>
  <c r="A333" i="34"/>
  <c r="Q333" i="34"/>
  <c r="S333" i="34"/>
  <c r="R333" i="34"/>
  <c r="A315" i="34"/>
  <c r="Q315" i="34"/>
  <c r="R315" i="34"/>
  <c r="S315" i="34"/>
  <c r="A301" i="34"/>
  <c r="Q301" i="34"/>
  <c r="R301" i="34"/>
  <c r="S301" i="34"/>
  <c r="A294" i="34"/>
  <c r="S294" i="34"/>
  <c r="T294" i="34"/>
  <c r="Q294" i="34"/>
  <c r="U294" i="34"/>
  <c r="R294" i="34"/>
  <c r="V294" i="34"/>
  <c r="A281" i="34"/>
  <c r="Q281" i="34"/>
  <c r="R281" i="34"/>
  <c r="S281" i="34"/>
  <c r="A269" i="34"/>
  <c r="Q269" i="34"/>
  <c r="R269" i="34"/>
  <c r="S269" i="34"/>
  <c r="A261" i="34"/>
  <c r="Q261" i="34"/>
  <c r="R261" i="34"/>
  <c r="S261" i="34"/>
  <c r="A248" i="34"/>
  <c r="S248" i="34"/>
  <c r="Q248" i="34"/>
  <c r="R248" i="34"/>
  <c r="A232" i="34"/>
  <c r="S232" i="34"/>
  <c r="Q232" i="34"/>
  <c r="R232" i="34"/>
  <c r="A220" i="34"/>
  <c r="Q220" i="34"/>
  <c r="S220" i="34"/>
  <c r="R220" i="34"/>
  <c r="A212" i="34"/>
  <c r="Q212" i="34"/>
  <c r="R212" i="34"/>
  <c r="S212" i="34"/>
  <c r="A680" i="34"/>
  <c r="Q680" i="34"/>
  <c r="R680" i="34"/>
  <c r="S680" i="34"/>
  <c r="A672" i="34"/>
  <c r="Q672" i="34"/>
  <c r="R672" i="34"/>
  <c r="S672" i="34"/>
  <c r="A72" i="34"/>
  <c r="S72" i="34"/>
  <c r="Q72" i="34"/>
  <c r="R72" i="34"/>
  <c r="A60" i="34"/>
  <c r="S60" i="34"/>
  <c r="Q60" i="34"/>
  <c r="R60" i="34"/>
  <c r="A48" i="34"/>
  <c r="S48" i="34"/>
  <c r="Q48" i="34"/>
  <c r="R48" i="34"/>
  <c r="A36" i="34"/>
  <c r="S36" i="34"/>
  <c r="Q36" i="34"/>
  <c r="R36" i="34"/>
  <c r="A942" i="34"/>
  <c r="Q942" i="34"/>
  <c r="R942" i="34"/>
  <c r="S942" i="34"/>
  <c r="A938" i="34"/>
  <c r="Q938" i="34"/>
  <c r="R938" i="34"/>
  <c r="S938" i="34"/>
  <c r="A934" i="34"/>
  <c r="Q934" i="34"/>
  <c r="R934" i="34"/>
  <c r="S934" i="34"/>
  <c r="A930" i="34"/>
  <c r="Q930" i="34"/>
  <c r="R930" i="34"/>
  <c r="S930" i="34"/>
  <c r="A926" i="34"/>
  <c r="Q926" i="34"/>
  <c r="R926" i="34"/>
  <c r="S926" i="34"/>
  <c r="A922" i="34"/>
  <c r="Q922" i="34"/>
  <c r="R922" i="34"/>
  <c r="S922" i="34"/>
  <c r="A918" i="34"/>
  <c r="Q918" i="34"/>
  <c r="R918" i="34"/>
  <c r="S918" i="34"/>
  <c r="A914" i="34"/>
  <c r="Q914" i="34"/>
  <c r="R914" i="34"/>
  <c r="S914" i="34"/>
  <c r="A910" i="34"/>
  <c r="Q910" i="34"/>
  <c r="R910" i="34"/>
  <c r="S910" i="34"/>
  <c r="A906" i="34"/>
  <c r="Q906" i="34"/>
  <c r="R906" i="34"/>
  <c r="S906" i="34"/>
  <c r="A902" i="34"/>
  <c r="Q902" i="34"/>
  <c r="R902" i="34"/>
  <c r="S902" i="34"/>
  <c r="A898" i="34"/>
  <c r="Q898" i="34"/>
  <c r="R898" i="34"/>
  <c r="S898" i="34"/>
  <c r="A894" i="34"/>
  <c r="Q894" i="34"/>
  <c r="R894" i="34"/>
  <c r="S894" i="34"/>
  <c r="A890" i="34"/>
  <c r="Q890" i="34"/>
  <c r="R890" i="34"/>
  <c r="S890" i="34"/>
  <c r="A886" i="34"/>
  <c r="Q886" i="34"/>
  <c r="R886" i="34"/>
  <c r="S886" i="34"/>
  <c r="A882" i="34"/>
  <c r="Q882" i="34"/>
  <c r="R882" i="34"/>
  <c r="S882" i="34"/>
  <c r="A878" i="34"/>
  <c r="Q878" i="34"/>
  <c r="R878" i="34"/>
  <c r="S878" i="34"/>
  <c r="A874" i="34"/>
  <c r="Q874" i="34"/>
  <c r="R874" i="34"/>
  <c r="S874" i="34"/>
  <c r="A870" i="34"/>
  <c r="Q870" i="34"/>
  <c r="R870" i="34"/>
  <c r="S870" i="34"/>
  <c r="A866" i="34"/>
  <c r="Q866" i="34"/>
  <c r="R866" i="34"/>
  <c r="S866" i="34"/>
  <c r="A862" i="34"/>
  <c r="Q862" i="34"/>
  <c r="R862" i="34"/>
  <c r="S862" i="34"/>
  <c r="A858" i="34"/>
  <c r="Q858" i="34"/>
  <c r="R858" i="34"/>
  <c r="S858" i="34"/>
  <c r="A854" i="34"/>
  <c r="Q854" i="34"/>
  <c r="R854" i="34"/>
  <c r="S854" i="34"/>
  <c r="A850" i="34"/>
  <c r="Q850" i="34"/>
  <c r="R850" i="34"/>
  <c r="S850" i="34"/>
  <c r="A846" i="34"/>
  <c r="Q846" i="34"/>
  <c r="R846" i="34"/>
  <c r="S846" i="34"/>
  <c r="A842" i="34"/>
  <c r="Q842" i="34"/>
  <c r="R842" i="34"/>
  <c r="S842" i="34"/>
  <c r="A838" i="34"/>
  <c r="Q838" i="34"/>
  <c r="R838" i="34"/>
  <c r="S838" i="34"/>
  <c r="A834" i="34"/>
  <c r="Q834" i="34"/>
  <c r="R834" i="34"/>
  <c r="S834" i="34"/>
  <c r="A830" i="34"/>
  <c r="Q830" i="34"/>
  <c r="R830" i="34"/>
  <c r="S830" i="34"/>
  <c r="A826" i="34"/>
  <c r="Q826" i="34"/>
  <c r="R826" i="34"/>
  <c r="S826" i="34"/>
  <c r="A822" i="34"/>
  <c r="Q822" i="34"/>
  <c r="R822" i="34"/>
  <c r="S822" i="34"/>
  <c r="A818" i="34"/>
  <c r="Q818" i="34"/>
  <c r="R818" i="34"/>
  <c r="S818" i="34"/>
  <c r="A814" i="34"/>
  <c r="Q814" i="34"/>
  <c r="R814" i="34"/>
  <c r="S814" i="34"/>
  <c r="A810" i="34"/>
  <c r="Q810" i="34"/>
  <c r="R810" i="34"/>
  <c r="S810" i="34"/>
  <c r="A806" i="34"/>
  <c r="Q806" i="34"/>
  <c r="R806" i="34"/>
  <c r="S806" i="34"/>
  <c r="A802" i="34"/>
  <c r="Q802" i="34"/>
  <c r="R802" i="34"/>
  <c r="S802" i="34"/>
  <c r="A136" i="34"/>
  <c r="R136" i="34"/>
  <c r="S136" i="34"/>
  <c r="Q136" i="34"/>
  <c r="A130" i="34"/>
  <c r="R130" i="34"/>
  <c r="S130" i="34"/>
  <c r="Q130" i="34"/>
  <c r="A708" i="34"/>
  <c r="Q708" i="34"/>
  <c r="R708" i="34"/>
  <c r="S708" i="34"/>
  <c r="A704" i="34"/>
  <c r="Q704" i="34"/>
  <c r="R704" i="34"/>
  <c r="S704" i="34"/>
  <c r="A700" i="34"/>
  <c r="Q700" i="34"/>
  <c r="R700" i="34"/>
  <c r="S700" i="34"/>
  <c r="A554" i="34"/>
  <c r="S554" i="34"/>
  <c r="Q554" i="34"/>
  <c r="R554" i="34"/>
  <c r="A698" i="34"/>
  <c r="Q698" i="34"/>
  <c r="R698" i="34"/>
  <c r="S698" i="34"/>
  <c r="A694" i="34"/>
  <c r="Q694" i="34"/>
  <c r="R694" i="34"/>
  <c r="S694" i="34"/>
  <c r="A690" i="34"/>
  <c r="Q690" i="34"/>
  <c r="R690" i="34"/>
  <c r="S690" i="34"/>
  <c r="A479" i="34"/>
  <c r="Q479" i="34"/>
  <c r="R479" i="34"/>
  <c r="S479" i="34"/>
  <c r="A475" i="34"/>
  <c r="Q475" i="34"/>
  <c r="R475" i="34"/>
  <c r="S475" i="34"/>
  <c r="A471" i="34"/>
  <c r="Q471" i="34"/>
  <c r="R471" i="34"/>
  <c r="S471" i="34"/>
  <c r="A467" i="34"/>
  <c r="Q467" i="34"/>
  <c r="R467" i="34"/>
  <c r="S467" i="34"/>
  <c r="A463" i="34"/>
  <c r="Q463" i="34"/>
  <c r="R463" i="34"/>
  <c r="S463" i="34"/>
  <c r="A459" i="34"/>
  <c r="Q459" i="34"/>
  <c r="R459" i="34"/>
  <c r="S459" i="34"/>
  <c r="A455" i="34"/>
  <c r="Q455" i="34"/>
  <c r="U455" i="34"/>
  <c r="R455" i="34"/>
  <c r="V455" i="34"/>
  <c r="S455" i="34"/>
  <c r="T455" i="34"/>
  <c r="A451" i="34"/>
  <c r="Q451" i="34"/>
  <c r="R451" i="34"/>
  <c r="S451" i="34"/>
  <c r="A447" i="34"/>
  <c r="R447" i="34"/>
  <c r="U447" i="34"/>
  <c r="Q447" i="34"/>
  <c r="V447" i="34"/>
  <c r="S447" i="34"/>
  <c r="T447" i="34"/>
  <c r="A439" i="34"/>
  <c r="R439" i="34"/>
  <c r="S439" i="34"/>
  <c r="Q439" i="34"/>
  <c r="A435" i="34"/>
  <c r="Q435" i="34"/>
  <c r="R435" i="34"/>
  <c r="S435" i="34"/>
  <c r="A431" i="34"/>
  <c r="Q431" i="34"/>
  <c r="R431" i="34"/>
  <c r="S431" i="34"/>
  <c r="A422" i="34"/>
  <c r="S422" i="34"/>
  <c r="Q422" i="34"/>
  <c r="R422" i="34"/>
  <c r="A417" i="34"/>
  <c r="Q417" i="34"/>
  <c r="U417" i="34"/>
  <c r="R417" i="34"/>
  <c r="V417" i="34"/>
  <c r="S417" i="34"/>
  <c r="T417" i="34"/>
  <c r="A413" i="34"/>
  <c r="Q413" i="34"/>
  <c r="R413" i="34"/>
  <c r="S413" i="34"/>
  <c r="A409" i="34"/>
  <c r="Q409" i="34"/>
  <c r="R409" i="34"/>
  <c r="S409" i="34"/>
  <c r="A399" i="34"/>
  <c r="Q399" i="34"/>
  <c r="R399" i="34"/>
  <c r="S399" i="34"/>
  <c r="A397" i="34"/>
  <c r="Q397" i="34"/>
  <c r="U397" i="34"/>
  <c r="R397" i="34"/>
  <c r="V397" i="34"/>
  <c r="S397" i="34"/>
  <c r="T397" i="34"/>
  <c r="A393" i="34"/>
  <c r="Q393" i="34"/>
  <c r="R393" i="34"/>
  <c r="S393" i="34"/>
  <c r="A389" i="34"/>
  <c r="Q389" i="34"/>
  <c r="R389" i="34"/>
  <c r="S389" i="34"/>
  <c r="A385" i="34"/>
  <c r="Q385" i="34"/>
  <c r="R385" i="34"/>
  <c r="S385" i="34"/>
  <c r="A381" i="34"/>
  <c r="Q381" i="34"/>
  <c r="R381" i="34"/>
  <c r="S381" i="34"/>
  <c r="A373" i="34"/>
  <c r="Q373" i="34"/>
  <c r="R373" i="34"/>
  <c r="S373" i="34"/>
  <c r="A369" i="34"/>
  <c r="Q369" i="34"/>
  <c r="R369" i="34"/>
  <c r="S369" i="34"/>
  <c r="A364" i="34"/>
  <c r="S364" i="34"/>
  <c r="Q364" i="34"/>
  <c r="R364" i="34"/>
  <c r="A360" i="34"/>
  <c r="S360" i="34"/>
  <c r="Q360" i="34"/>
  <c r="R360" i="34"/>
  <c r="A356" i="34"/>
  <c r="S356" i="34"/>
  <c r="Q356" i="34"/>
  <c r="R356" i="34"/>
  <c r="A352" i="34"/>
  <c r="S352" i="34"/>
  <c r="Q352" i="34"/>
  <c r="R352" i="34"/>
  <c r="A348" i="34"/>
  <c r="S348" i="34"/>
  <c r="Q348" i="34"/>
  <c r="R348" i="34"/>
  <c r="A344" i="34"/>
  <c r="S344" i="34"/>
  <c r="Q344" i="34"/>
  <c r="R344" i="34"/>
  <c r="A340" i="34"/>
  <c r="S340" i="34"/>
  <c r="Q340" i="34"/>
  <c r="R340" i="34"/>
  <c r="A337" i="34"/>
  <c r="Q337" i="34"/>
  <c r="S337" i="34"/>
  <c r="R337" i="34"/>
  <c r="A332" i="34"/>
  <c r="S332" i="34"/>
  <c r="Q332" i="34"/>
  <c r="U332" i="34"/>
  <c r="V332" i="34"/>
  <c r="R332" i="34"/>
  <c r="T332" i="34"/>
  <c r="A325" i="34"/>
  <c r="Q325" i="34"/>
  <c r="R325" i="34"/>
  <c r="S325" i="34"/>
  <c r="A318" i="34"/>
  <c r="S318" i="34"/>
  <c r="Q318" i="34"/>
  <c r="R318" i="34"/>
  <c r="A314" i="34"/>
  <c r="S314" i="34"/>
  <c r="Q314" i="34"/>
  <c r="R314" i="34"/>
  <c r="A310" i="34"/>
  <c r="S310" i="34"/>
  <c r="Q310" i="34"/>
  <c r="R310" i="34"/>
  <c r="A305" i="34"/>
  <c r="Q305" i="34"/>
  <c r="R305" i="34"/>
  <c r="S305" i="34"/>
  <c r="A308" i="34"/>
  <c r="S308" i="34"/>
  <c r="Q308" i="34"/>
  <c r="R308" i="34"/>
  <c r="A297" i="34"/>
  <c r="Q297" i="34"/>
  <c r="U297" i="34"/>
  <c r="R297" i="34"/>
  <c r="V297" i="34"/>
  <c r="S297" i="34"/>
  <c r="T297" i="34"/>
  <c r="A293" i="34"/>
  <c r="Q293" i="34"/>
  <c r="U293" i="34"/>
  <c r="R293" i="34"/>
  <c r="V293" i="34"/>
  <c r="S293" i="34"/>
  <c r="T293" i="34"/>
  <c r="A288" i="34"/>
  <c r="S288" i="34"/>
  <c r="Q288" i="34"/>
  <c r="R288" i="34"/>
  <c r="A284" i="34"/>
  <c r="S284" i="34"/>
  <c r="Q284" i="34"/>
  <c r="R284" i="34"/>
  <c r="A280" i="34"/>
  <c r="S280" i="34"/>
  <c r="Q280" i="34"/>
  <c r="R280" i="34"/>
  <c r="A276" i="34"/>
  <c r="S276" i="34"/>
  <c r="Q276" i="34"/>
  <c r="R276" i="34"/>
  <c r="A272" i="34"/>
  <c r="S272" i="34"/>
  <c r="Q272" i="34"/>
  <c r="R272" i="34"/>
  <c r="A268" i="34"/>
  <c r="S268" i="34"/>
  <c r="Q268" i="34"/>
  <c r="R268" i="34"/>
  <c r="A264" i="34"/>
  <c r="S264" i="34"/>
  <c r="Q264" i="34"/>
  <c r="R264" i="34"/>
  <c r="A260" i="34"/>
  <c r="S260" i="34"/>
  <c r="Q260" i="34"/>
  <c r="R260" i="34"/>
  <c r="A256" i="34"/>
  <c r="S256" i="34"/>
  <c r="Q256" i="34"/>
  <c r="R256" i="34"/>
  <c r="A251" i="34"/>
  <c r="Q251" i="34"/>
  <c r="R251" i="34"/>
  <c r="S251" i="34"/>
  <c r="A247" i="34"/>
  <c r="Q247" i="34"/>
  <c r="R247" i="34"/>
  <c r="S247" i="34"/>
  <c r="A243" i="34"/>
  <c r="Q243" i="34"/>
  <c r="U243" i="34"/>
  <c r="R243" i="34"/>
  <c r="V243" i="34"/>
  <c r="S243" i="34"/>
  <c r="T243" i="34"/>
  <c r="A239" i="34"/>
  <c r="Q239" i="34"/>
  <c r="R239" i="34"/>
  <c r="S239" i="34"/>
  <c r="A235" i="34"/>
  <c r="Q235" i="34"/>
  <c r="R235" i="34"/>
  <c r="S235" i="34"/>
  <c r="A231" i="34"/>
  <c r="Q231" i="34"/>
  <c r="R231" i="34"/>
  <c r="S231" i="34"/>
  <c r="A227" i="34"/>
  <c r="Q227" i="34"/>
  <c r="R227" i="34"/>
  <c r="S227" i="34"/>
  <c r="A223" i="34"/>
  <c r="Q223" i="34"/>
  <c r="R223" i="34"/>
  <c r="S223" i="34"/>
  <c r="A219" i="34"/>
  <c r="S219" i="34"/>
  <c r="R219" i="34"/>
  <c r="Q219" i="34"/>
  <c r="A215" i="34"/>
  <c r="S215" i="34"/>
  <c r="Q215" i="34"/>
  <c r="R215" i="34"/>
  <c r="A211" i="34"/>
  <c r="S211" i="34"/>
  <c r="Q211" i="34"/>
  <c r="R211" i="34"/>
  <c r="A207" i="34"/>
  <c r="S207" i="34"/>
  <c r="Q207" i="34"/>
  <c r="R207" i="34"/>
  <c r="A687" i="34"/>
  <c r="S687" i="34"/>
  <c r="Q687" i="34"/>
  <c r="R687" i="34"/>
  <c r="A683" i="34"/>
  <c r="S683" i="34"/>
  <c r="Q683" i="34"/>
  <c r="R683" i="34"/>
  <c r="A679" i="34"/>
  <c r="S679" i="34"/>
  <c r="Q679" i="34"/>
  <c r="R679" i="34"/>
  <c r="A675" i="34"/>
  <c r="S675" i="34"/>
  <c r="Q675" i="34"/>
  <c r="R675" i="34"/>
  <c r="A671" i="34"/>
  <c r="S671" i="34"/>
  <c r="Q671" i="34"/>
  <c r="R671" i="34"/>
  <c r="A667" i="34"/>
  <c r="S667" i="34"/>
  <c r="Q667" i="34"/>
  <c r="R667" i="34"/>
  <c r="A75" i="34"/>
  <c r="Q75" i="34"/>
  <c r="R75" i="34"/>
  <c r="S75" i="34"/>
  <c r="A71" i="34"/>
  <c r="Q71" i="34"/>
  <c r="R71" i="34"/>
  <c r="S71" i="34"/>
  <c r="A67" i="34"/>
  <c r="Q67" i="34"/>
  <c r="R67" i="34"/>
  <c r="S67" i="34"/>
  <c r="A63" i="34"/>
  <c r="Q63" i="34"/>
  <c r="R63" i="34"/>
  <c r="S63" i="34"/>
  <c r="A59" i="34"/>
  <c r="Q59" i="34"/>
  <c r="R59" i="34"/>
  <c r="S59" i="34"/>
  <c r="A55" i="34"/>
  <c r="Q55" i="34"/>
  <c r="R55" i="34"/>
  <c r="S55" i="34"/>
  <c r="A51" i="34"/>
  <c r="Q51" i="34"/>
  <c r="R51" i="34"/>
  <c r="S51" i="34"/>
  <c r="A47" i="34"/>
  <c r="Q47" i="34"/>
  <c r="R47" i="34"/>
  <c r="S47" i="34"/>
  <c r="A43" i="34"/>
  <c r="Q43" i="34"/>
  <c r="R43" i="34"/>
  <c r="S43" i="34"/>
  <c r="A39" i="34"/>
  <c r="Q39" i="34"/>
  <c r="R39" i="34"/>
  <c r="S39" i="34"/>
  <c r="A35" i="34"/>
  <c r="Q35" i="34"/>
  <c r="R35" i="34"/>
  <c r="S35" i="34"/>
  <c r="A31" i="34"/>
  <c r="Q31" i="34"/>
  <c r="R31" i="34"/>
  <c r="S31" i="34"/>
  <c r="A27" i="34"/>
  <c r="Q27" i="34"/>
  <c r="R27" i="34"/>
  <c r="S27" i="34"/>
  <c r="A78" i="34"/>
  <c r="S78" i="34"/>
  <c r="Q78" i="34"/>
  <c r="R78" i="34"/>
  <c r="A935" i="34"/>
  <c r="R935" i="34"/>
  <c r="S935" i="34"/>
  <c r="Q935" i="34"/>
  <c r="A923" i="34"/>
  <c r="R923" i="34"/>
  <c r="S923" i="34"/>
  <c r="Q923" i="34"/>
  <c r="A911" i="34"/>
  <c r="R911" i="34"/>
  <c r="S911" i="34"/>
  <c r="Q911" i="34"/>
  <c r="A899" i="34"/>
  <c r="R899" i="34"/>
  <c r="S899" i="34"/>
  <c r="Q899" i="34"/>
  <c r="A891" i="34"/>
  <c r="R891" i="34"/>
  <c r="S891" i="34"/>
  <c r="Q891" i="34"/>
  <c r="A883" i="34"/>
  <c r="R883" i="34"/>
  <c r="S883" i="34"/>
  <c r="Q883" i="34"/>
  <c r="A871" i="34"/>
  <c r="R871" i="34"/>
  <c r="S871" i="34"/>
  <c r="Q871" i="34"/>
  <c r="A859" i="34"/>
  <c r="R859" i="34"/>
  <c r="S859" i="34"/>
  <c r="Q859" i="34"/>
  <c r="A847" i="34"/>
  <c r="S847" i="34"/>
  <c r="Q847" i="34"/>
  <c r="R847" i="34"/>
  <c r="A835" i="34"/>
  <c r="S835" i="34"/>
  <c r="Q835" i="34"/>
  <c r="R835" i="34"/>
  <c r="A823" i="34"/>
  <c r="S823" i="34"/>
  <c r="Q823" i="34"/>
  <c r="R823" i="34"/>
  <c r="A811" i="34"/>
  <c r="S811" i="34"/>
  <c r="Q811" i="34"/>
  <c r="R811" i="34"/>
  <c r="A799" i="34"/>
  <c r="S799" i="34"/>
  <c r="Q799" i="34"/>
  <c r="R799" i="34"/>
  <c r="A705" i="34"/>
  <c r="S705" i="34"/>
  <c r="Q705" i="34"/>
  <c r="R705" i="34"/>
  <c r="A713" i="34"/>
  <c r="S713" i="34"/>
  <c r="Q713" i="34"/>
  <c r="R713" i="34"/>
  <c r="A691" i="34"/>
  <c r="S691" i="34"/>
  <c r="Q691" i="34"/>
  <c r="R691" i="34"/>
  <c r="A472" i="34"/>
  <c r="S472" i="34"/>
  <c r="Q472" i="34"/>
  <c r="R472" i="34"/>
  <c r="A460" i="34"/>
  <c r="S460" i="34"/>
  <c r="Q460" i="34"/>
  <c r="R460" i="34"/>
  <c r="A448" i="34"/>
  <c r="S448" i="34"/>
  <c r="Q448" i="34"/>
  <c r="R448" i="34"/>
  <c r="A423" i="34"/>
  <c r="Q423" i="34"/>
  <c r="R423" i="34"/>
  <c r="S423" i="34"/>
  <c r="A414" i="34"/>
  <c r="S414" i="34"/>
  <c r="Q414" i="34"/>
  <c r="R414" i="34"/>
  <c r="A375" i="34"/>
  <c r="Q375" i="34"/>
  <c r="U375" i="34"/>
  <c r="R375" i="34"/>
  <c r="V375" i="34"/>
  <c r="S375" i="34"/>
  <c r="T375" i="34"/>
  <c r="A386" i="34"/>
  <c r="S386" i="34"/>
  <c r="Q386" i="34"/>
  <c r="R386" i="34"/>
  <c r="A366" i="34"/>
  <c r="S366" i="34"/>
  <c r="Q366" i="34"/>
  <c r="R366" i="34"/>
  <c r="A353" i="34"/>
  <c r="Q353" i="34"/>
  <c r="S353" i="34"/>
  <c r="R353" i="34"/>
  <c r="A341" i="34"/>
  <c r="Q341" i="34"/>
  <c r="U341" i="34"/>
  <c r="S341" i="34"/>
  <c r="R341" i="34"/>
  <c r="T341" i="34"/>
  <c r="V341" i="34"/>
  <c r="A326" i="34"/>
  <c r="S326" i="34"/>
  <c r="Q326" i="34"/>
  <c r="R326" i="34"/>
  <c r="A311" i="34"/>
  <c r="Q311" i="34"/>
  <c r="R311" i="34"/>
  <c r="S311" i="34"/>
  <c r="A299" i="34"/>
  <c r="Q299" i="34"/>
  <c r="R299" i="34"/>
  <c r="S299" i="34"/>
  <c r="A285" i="34"/>
  <c r="Q285" i="34"/>
  <c r="R285" i="34"/>
  <c r="S285" i="34"/>
  <c r="A257" i="34"/>
  <c r="Q257" i="34"/>
  <c r="R257" i="34"/>
  <c r="S257" i="34"/>
  <c r="A244" i="34"/>
  <c r="S244" i="34"/>
  <c r="T244" i="34"/>
  <c r="Q244" i="34"/>
  <c r="U244" i="34"/>
  <c r="R244" i="34"/>
  <c r="V244" i="34"/>
  <c r="A236" i="34"/>
  <c r="S236" i="34"/>
  <c r="Q236" i="34"/>
  <c r="R236" i="34"/>
  <c r="A224" i="34"/>
  <c r="S224" i="34"/>
  <c r="Q224" i="34"/>
  <c r="R224" i="34"/>
  <c r="A208" i="34"/>
  <c r="Q208" i="34"/>
  <c r="R208" i="34"/>
  <c r="S208" i="34"/>
  <c r="A684" i="34"/>
  <c r="Q684" i="34"/>
  <c r="R684" i="34"/>
  <c r="S684" i="34"/>
  <c r="A668" i="34"/>
  <c r="Q668" i="34"/>
  <c r="R668" i="34"/>
  <c r="S668" i="34"/>
  <c r="A64" i="34"/>
  <c r="S64" i="34"/>
  <c r="Q64" i="34"/>
  <c r="R64" i="34"/>
  <c r="A52" i="34"/>
  <c r="S52" i="34"/>
  <c r="Q52" i="34"/>
  <c r="R52" i="34"/>
  <c r="A44" i="34"/>
  <c r="S44" i="34"/>
  <c r="Q44" i="34"/>
  <c r="R44" i="34"/>
  <c r="A32" i="34"/>
  <c r="S32" i="34"/>
  <c r="Q32" i="34"/>
  <c r="R32" i="34"/>
  <c r="A79" i="34"/>
  <c r="Q79" i="34"/>
  <c r="R79" i="34"/>
  <c r="S79" i="34"/>
  <c r="A941" i="34"/>
  <c r="R941" i="34"/>
  <c r="S941" i="34"/>
  <c r="Q941" i="34"/>
  <c r="A937" i="34"/>
  <c r="R937" i="34"/>
  <c r="S937" i="34"/>
  <c r="Q937" i="34"/>
  <c r="A933" i="34"/>
  <c r="R933" i="34"/>
  <c r="S933" i="34"/>
  <c r="Q933" i="34"/>
  <c r="A929" i="34"/>
  <c r="R929" i="34"/>
  <c r="S929" i="34"/>
  <c r="Q929" i="34"/>
  <c r="A925" i="34"/>
  <c r="R925" i="34"/>
  <c r="S925" i="34"/>
  <c r="Q925" i="34"/>
  <c r="A921" i="34"/>
  <c r="R921" i="34"/>
  <c r="S921" i="34"/>
  <c r="Q921" i="34"/>
  <c r="A917" i="34"/>
  <c r="R917" i="34"/>
  <c r="S917" i="34"/>
  <c r="Q917" i="34"/>
  <c r="A913" i="34"/>
  <c r="R913" i="34"/>
  <c r="S913" i="34"/>
  <c r="Q913" i="34"/>
  <c r="A909" i="34"/>
  <c r="R909" i="34"/>
  <c r="S909" i="34"/>
  <c r="Q909" i="34"/>
  <c r="A905" i="34"/>
  <c r="R905" i="34"/>
  <c r="S905" i="34"/>
  <c r="Q905" i="34"/>
  <c r="A901" i="34"/>
  <c r="R901" i="34"/>
  <c r="S901" i="34"/>
  <c r="Q901" i="34"/>
  <c r="A897" i="34"/>
  <c r="R897" i="34"/>
  <c r="S897" i="34"/>
  <c r="Q897" i="34"/>
  <c r="A893" i="34"/>
  <c r="R893" i="34"/>
  <c r="S893" i="34"/>
  <c r="Q893" i="34"/>
  <c r="A889" i="34"/>
  <c r="R889" i="34"/>
  <c r="S889" i="34"/>
  <c r="Q889" i="34"/>
  <c r="A885" i="34"/>
  <c r="R885" i="34"/>
  <c r="S885" i="34"/>
  <c r="Q885" i="34"/>
  <c r="A881" i="34"/>
  <c r="R881" i="34"/>
  <c r="S881" i="34"/>
  <c r="Q881" i="34"/>
  <c r="A877" i="34"/>
  <c r="R877" i="34"/>
  <c r="S877" i="34"/>
  <c r="Q877" i="34"/>
  <c r="A873" i="34"/>
  <c r="R873" i="34"/>
  <c r="S873" i="34"/>
  <c r="Q873" i="34"/>
  <c r="A869" i="34"/>
  <c r="R869" i="34"/>
  <c r="S869" i="34"/>
  <c r="Q869" i="34"/>
  <c r="A865" i="34"/>
  <c r="R865" i="34"/>
  <c r="S865" i="34"/>
  <c r="Q865" i="34"/>
  <c r="A861" i="34"/>
  <c r="R861" i="34"/>
  <c r="S861" i="34"/>
  <c r="Q861" i="34"/>
  <c r="A857" i="34"/>
  <c r="S857" i="34"/>
  <c r="R857" i="34"/>
  <c r="Q857" i="34"/>
  <c r="A853" i="34"/>
  <c r="S853" i="34"/>
  <c r="R853" i="34"/>
  <c r="Q853" i="34"/>
  <c r="A849" i="34"/>
  <c r="S849" i="34"/>
  <c r="R849" i="34"/>
  <c r="Q849" i="34"/>
  <c r="A845" i="34"/>
  <c r="S845" i="34"/>
  <c r="Q845" i="34"/>
  <c r="R845" i="34"/>
  <c r="A841" i="34"/>
  <c r="S841" i="34"/>
  <c r="Q841" i="34"/>
  <c r="R841" i="34"/>
  <c r="A837" i="34"/>
  <c r="S837" i="34"/>
  <c r="Q837" i="34"/>
  <c r="R837" i="34"/>
  <c r="A833" i="34"/>
  <c r="S833" i="34"/>
  <c r="Q833" i="34"/>
  <c r="R833" i="34"/>
  <c r="A829" i="34"/>
  <c r="S829" i="34"/>
  <c r="Q829" i="34"/>
  <c r="R829" i="34"/>
  <c r="A825" i="34"/>
  <c r="S825" i="34"/>
  <c r="Q825" i="34"/>
  <c r="R825" i="34"/>
  <c r="A821" i="34"/>
  <c r="S821" i="34"/>
  <c r="Q821" i="34"/>
  <c r="R821" i="34"/>
  <c r="A817" i="34"/>
  <c r="S817" i="34"/>
  <c r="Q817" i="34"/>
  <c r="R817" i="34"/>
  <c r="A813" i="34"/>
  <c r="S813" i="34"/>
  <c r="Q813" i="34"/>
  <c r="R813" i="34"/>
  <c r="A809" i="34"/>
  <c r="S809" i="34"/>
  <c r="Q809" i="34"/>
  <c r="R809" i="34"/>
  <c r="A805" i="34"/>
  <c r="S805" i="34"/>
  <c r="Q805" i="34"/>
  <c r="R805" i="34"/>
  <c r="A801" i="34"/>
  <c r="S801" i="34"/>
  <c r="Q801" i="34"/>
  <c r="R801" i="34"/>
  <c r="A135" i="34"/>
  <c r="Q135" i="34"/>
  <c r="R135" i="34"/>
  <c r="S135" i="34"/>
  <c r="A711" i="34"/>
  <c r="S711" i="34"/>
  <c r="Q711" i="34"/>
  <c r="R711" i="34"/>
  <c r="A707" i="34"/>
  <c r="S707" i="34"/>
  <c r="Q707" i="34"/>
  <c r="R707" i="34"/>
  <c r="A703" i="34"/>
  <c r="S703" i="34"/>
  <c r="Q703" i="34"/>
  <c r="R703" i="34"/>
  <c r="A712" i="34"/>
  <c r="Q712" i="34"/>
  <c r="R712" i="34"/>
  <c r="S712" i="34"/>
  <c r="A419" i="34"/>
  <c r="Q419" i="34"/>
  <c r="R419" i="34"/>
  <c r="S419" i="34"/>
  <c r="A697" i="34"/>
  <c r="S697" i="34"/>
  <c r="Q697" i="34"/>
  <c r="R697" i="34"/>
  <c r="A693" i="34"/>
  <c r="S693" i="34"/>
  <c r="Q693" i="34"/>
  <c r="R693" i="34"/>
  <c r="A689" i="34"/>
  <c r="S689" i="34"/>
  <c r="Q689" i="34"/>
  <c r="R689" i="34"/>
  <c r="A478" i="34"/>
  <c r="S478" i="34"/>
  <c r="Q478" i="34"/>
  <c r="R478" i="34"/>
  <c r="A474" i="34"/>
  <c r="S474" i="34"/>
  <c r="Q474" i="34"/>
  <c r="R474" i="34"/>
  <c r="A470" i="34"/>
  <c r="S470" i="34"/>
  <c r="Q470" i="34"/>
  <c r="R470" i="34"/>
  <c r="A466" i="34"/>
  <c r="S466" i="34"/>
  <c r="Q466" i="34"/>
  <c r="R466" i="34"/>
  <c r="A462" i="34"/>
  <c r="S462" i="34"/>
  <c r="T462" i="34"/>
  <c r="Q462" i="34"/>
  <c r="U462" i="34"/>
  <c r="R462" i="34"/>
  <c r="V462" i="34"/>
  <c r="A458" i="34"/>
  <c r="S458" i="34"/>
  <c r="Q458" i="34"/>
  <c r="R458" i="34"/>
  <c r="A454" i="34"/>
  <c r="S454" i="34"/>
  <c r="T454" i="34"/>
  <c r="Q454" i="34"/>
  <c r="U454" i="34"/>
  <c r="R454" i="34"/>
  <c r="V454" i="34"/>
  <c r="A450" i="34"/>
  <c r="S450" i="34"/>
  <c r="T450" i="34"/>
  <c r="Q450" i="34"/>
  <c r="U450" i="34"/>
  <c r="R450" i="34"/>
  <c r="V450" i="34"/>
  <c r="A442" i="34"/>
  <c r="T442" i="34"/>
  <c r="Q442" i="34"/>
  <c r="U442" i="34"/>
  <c r="S442" i="34"/>
  <c r="V442" i="34"/>
  <c r="R442" i="34"/>
  <c r="A438" i="34"/>
  <c r="S438" i="34"/>
  <c r="Q438" i="34"/>
  <c r="R438" i="34"/>
  <c r="A434" i="34"/>
  <c r="S434" i="34"/>
  <c r="Q434" i="34"/>
  <c r="R434" i="34"/>
  <c r="A430" i="34"/>
  <c r="S430" i="34"/>
  <c r="Q430" i="34"/>
  <c r="R430" i="34"/>
  <c r="A421" i="34"/>
  <c r="Q421" i="34"/>
  <c r="R421" i="34"/>
  <c r="S421" i="34"/>
  <c r="A416" i="34"/>
  <c r="S416" i="34"/>
  <c r="T416" i="34"/>
  <c r="Q416" i="34"/>
  <c r="U416" i="34"/>
  <c r="R416" i="34"/>
  <c r="V416" i="34"/>
  <c r="A412" i="34"/>
  <c r="S412" i="34"/>
  <c r="Q412" i="34"/>
  <c r="R412" i="34"/>
  <c r="A402" i="34"/>
  <c r="S402" i="34"/>
  <c r="Q402" i="34"/>
  <c r="R402" i="34"/>
  <c r="A398" i="34"/>
  <c r="S398" i="34"/>
  <c r="Q398" i="34"/>
  <c r="R398" i="34"/>
  <c r="A396" i="34"/>
  <c r="S396" i="34"/>
  <c r="Q396" i="34"/>
  <c r="R396" i="34"/>
  <c r="A392" i="34"/>
  <c r="S392" i="34"/>
  <c r="Q392" i="34"/>
  <c r="R392" i="34"/>
  <c r="A388" i="34"/>
  <c r="S388" i="34"/>
  <c r="Q388" i="34"/>
  <c r="R388" i="34"/>
  <c r="A384" i="34"/>
  <c r="S384" i="34"/>
  <c r="Q384" i="34"/>
  <c r="R384" i="34"/>
  <c r="A380" i="34"/>
  <c r="S380" i="34"/>
  <c r="Q380" i="34"/>
  <c r="R380" i="34"/>
  <c r="A372" i="34"/>
  <c r="S372" i="34"/>
  <c r="Q372" i="34"/>
  <c r="R372" i="34"/>
  <c r="A368" i="34"/>
  <c r="S368" i="34"/>
  <c r="Q368" i="34"/>
  <c r="R368" i="34"/>
  <c r="A363" i="34"/>
  <c r="Q363" i="34"/>
  <c r="S363" i="34"/>
  <c r="R363" i="34"/>
  <c r="A359" i="34"/>
  <c r="Q359" i="34"/>
  <c r="S359" i="34"/>
  <c r="R359" i="34"/>
  <c r="A355" i="34"/>
  <c r="Q355" i="34"/>
  <c r="S355" i="34"/>
  <c r="R355" i="34"/>
  <c r="A351" i="34"/>
  <c r="Q351" i="34"/>
  <c r="S351" i="34"/>
  <c r="R351" i="34"/>
  <c r="A347" i="34"/>
  <c r="Q347" i="34"/>
  <c r="S347" i="34"/>
  <c r="R347" i="34"/>
  <c r="A343" i="34"/>
  <c r="Q343" i="34"/>
  <c r="U343" i="34"/>
  <c r="S343" i="34"/>
  <c r="V343" i="34"/>
  <c r="R343" i="34"/>
  <c r="T343" i="34"/>
  <c r="A339" i="34"/>
  <c r="Q339" i="34"/>
  <c r="U339" i="34"/>
  <c r="S339" i="34"/>
  <c r="R339" i="34"/>
  <c r="T339" i="34"/>
  <c r="V339" i="34"/>
  <c r="A335" i="34"/>
  <c r="Q335" i="34"/>
  <c r="U335" i="34"/>
  <c r="S335" i="34"/>
  <c r="R335" i="34"/>
  <c r="T335" i="34"/>
  <c r="V335" i="34"/>
  <c r="A329" i="34"/>
  <c r="Q329" i="34"/>
  <c r="R329" i="34"/>
  <c r="S329" i="34"/>
  <c r="A324" i="34"/>
  <c r="S324" i="34"/>
  <c r="Q324" i="34"/>
  <c r="R324" i="34"/>
  <c r="A317" i="34"/>
  <c r="Q317" i="34"/>
  <c r="R317" i="34"/>
  <c r="S317" i="34"/>
  <c r="A313" i="34"/>
  <c r="Q313" i="34"/>
  <c r="R313" i="34"/>
  <c r="S313" i="34"/>
  <c r="A309" i="34"/>
  <c r="Q309" i="34"/>
  <c r="R309" i="34"/>
  <c r="S309" i="34"/>
  <c r="A303" i="34"/>
  <c r="Q303" i="34"/>
  <c r="R303" i="34"/>
  <c r="S303" i="34"/>
  <c r="A304" i="34"/>
  <c r="S304" i="34"/>
  <c r="Q304" i="34"/>
  <c r="R304" i="34"/>
  <c r="A296" i="34"/>
  <c r="S296" i="34"/>
  <c r="Q296" i="34"/>
  <c r="R296" i="34"/>
  <c r="A292" i="34"/>
  <c r="S292" i="34"/>
  <c r="T292" i="34"/>
  <c r="Q292" i="34"/>
  <c r="U292" i="34"/>
  <c r="R292" i="34"/>
  <c r="V292" i="34"/>
  <c r="A287" i="34"/>
  <c r="Q287" i="34"/>
  <c r="R287" i="34"/>
  <c r="S287" i="34"/>
  <c r="A283" i="34"/>
  <c r="Q283" i="34"/>
  <c r="R283" i="34"/>
  <c r="S283" i="34"/>
  <c r="A279" i="34"/>
  <c r="Q279" i="34"/>
  <c r="R279" i="34"/>
  <c r="S279" i="34"/>
  <c r="A275" i="34"/>
  <c r="Q275" i="34"/>
  <c r="R275" i="34"/>
  <c r="S275" i="34"/>
  <c r="A271" i="34"/>
  <c r="Q271" i="34"/>
  <c r="R271" i="34"/>
  <c r="S271" i="34"/>
  <c r="A267" i="34"/>
  <c r="Q267" i="34"/>
  <c r="R267" i="34"/>
  <c r="S267" i="34"/>
  <c r="A263" i="34"/>
  <c r="Q263" i="34"/>
  <c r="R263" i="34"/>
  <c r="S263" i="34"/>
  <c r="A259" i="34"/>
  <c r="Q259" i="34"/>
  <c r="R259" i="34"/>
  <c r="S259" i="34"/>
  <c r="A254" i="34"/>
  <c r="S254" i="34"/>
  <c r="Q254" i="34"/>
  <c r="R254" i="34"/>
  <c r="A250" i="34"/>
  <c r="S250" i="34"/>
  <c r="Q250" i="34"/>
  <c r="R250" i="34"/>
  <c r="A246" i="34"/>
  <c r="S246" i="34"/>
  <c r="T246" i="34"/>
  <c r="Q246" i="34"/>
  <c r="U246" i="34"/>
  <c r="R246" i="34"/>
  <c r="V246" i="34"/>
  <c r="A242" i="34"/>
  <c r="S242" i="34"/>
  <c r="T242" i="34"/>
  <c r="Q242" i="34"/>
  <c r="U242" i="34"/>
  <c r="R242" i="34"/>
  <c r="V242" i="34"/>
  <c r="A238" i="34"/>
  <c r="S238" i="34"/>
  <c r="Q238" i="34"/>
  <c r="R238" i="34"/>
  <c r="A234" i="34"/>
  <c r="S234" i="34"/>
  <c r="Q234" i="34"/>
  <c r="R234" i="34"/>
  <c r="A230" i="34"/>
  <c r="S230" i="34"/>
  <c r="Q230" i="34"/>
  <c r="R230" i="34"/>
  <c r="A226" i="34"/>
  <c r="S226" i="34"/>
  <c r="Q226" i="34"/>
  <c r="R226" i="34"/>
  <c r="A222" i="34"/>
  <c r="S222" i="34"/>
  <c r="Q222" i="34"/>
  <c r="R222" i="34"/>
  <c r="A218" i="34"/>
  <c r="Q218" i="34"/>
  <c r="R218" i="34"/>
  <c r="S218" i="34"/>
  <c r="A214" i="34"/>
  <c r="Q214" i="34"/>
  <c r="R214" i="34"/>
  <c r="S214" i="34"/>
  <c r="A210" i="34"/>
  <c r="Q210" i="34"/>
  <c r="R210" i="34"/>
  <c r="S210" i="34"/>
  <c r="A206" i="34"/>
  <c r="Q206" i="34"/>
  <c r="R206" i="34"/>
  <c r="S206" i="34"/>
  <c r="A686" i="34"/>
  <c r="Q686" i="34"/>
  <c r="R686" i="34"/>
  <c r="S686" i="34"/>
  <c r="A682" i="34"/>
  <c r="Q682" i="34"/>
  <c r="R682" i="34"/>
  <c r="S682" i="34"/>
  <c r="A678" i="34"/>
  <c r="Q678" i="34"/>
  <c r="R678" i="34"/>
  <c r="S678" i="34"/>
  <c r="A674" i="34"/>
  <c r="Q674" i="34"/>
  <c r="R674" i="34"/>
  <c r="S674" i="34"/>
  <c r="A670" i="34"/>
  <c r="Q670" i="34"/>
  <c r="R670" i="34"/>
  <c r="S670" i="34"/>
  <c r="A666" i="34"/>
  <c r="Q666" i="34"/>
  <c r="R666" i="34"/>
  <c r="S666" i="34"/>
  <c r="A74" i="34"/>
  <c r="S74" i="34"/>
  <c r="Q74" i="34"/>
  <c r="R74" i="34"/>
  <c r="A70" i="34"/>
  <c r="S70" i="34"/>
  <c r="Q70" i="34"/>
  <c r="R70" i="34"/>
  <c r="A66" i="34"/>
  <c r="S66" i="34"/>
  <c r="Q66" i="34"/>
  <c r="R66" i="34"/>
  <c r="A62" i="34"/>
  <c r="S62" i="34"/>
  <c r="Q62" i="34"/>
  <c r="R62" i="34"/>
  <c r="A58" i="34"/>
  <c r="S58" i="34"/>
  <c r="Q58" i="34"/>
  <c r="R58" i="34"/>
  <c r="A54" i="34"/>
  <c r="S54" i="34"/>
  <c r="Q54" i="34"/>
  <c r="R54" i="34"/>
  <c r="A50" i="34"/>
  <c r="S50" i="34"/>
  <c r="Q50" i="34"/>
  <c r="R50" i="34"/>
  <c r="A46" i="34"/>
  <c r="S46" i="34"/>
  <c r="Q46" i="34"/>
  <c r="R46" i="34"/>
  <c r="A42" i="34"/>
  <c r="S42" i="34"/>
  <c r="Q42" i="34"/>
  <c r="R42" i="34"/>
  <c r="A38" i="34"/>
  <c r="S38" i="34"/>
  <c r="Q38" i="34"/>
  <c r="R38" i="34"/>
  <c r="A34" i="34"/>
  <c r="S34" i="34"/>
  <c r="Q34" i="34"/>
  <c r="R34" i="34"/>
  <c r="A30" i="34"/>
  <c r="S30" i="34"/>
  <c r="Q30" i="34"/>
  <c r="R30" i="34"/>
  <c r="A26" i="34"/>
  <c r="S26" i="34"/>
  <c r="Q26" i="34"/>
  <c r="R26" i="34"/>
  <c r="A77" i="34"/>
  <c r="Q77" i="34"/>
  <c r="R77" i="34"/>
  <c r="S77" i="34"/>
  <c r="A939" i="34"/>
  <c r="R939" i="34"/>
  <c r="S939" i="34"/>
  <c r="Q939" i="34"/>
  <c r="A927" i="34"/>
  <c r="R927" i="34"/>
  <c r="S927" i="34"/>
  <c r="Q927" i="34"/>
  <c r="A915" i="34"/>
  <c r="R915" i="34"/>
  <c r="S915" i="34"/>
  <c r="Q915" i="34"/>
  <c r="A903" i="34"/>
  <c r="R903" i="34"/>
  <c r="S903" i="34"/>
  <c r="Q903" i="34"/>
  <c r="A887" i="34"/>
  <c r="R887" i="34"/>
  <c r="S887" i="34"/>
  <c r="Q887" i="34"/>
  <c r="A875" i="34"/>
  <c r="R875" i="34"/>
  <c r="S875" i="34"/>
  <c r="Q875" i="34"/>
  <c r="A863" i="34"/>
  <c r="R863" i="34"/>
  <c r="S863" i="34"/>
  <c r="Q863" i="34"/>
  <c r="A851" i="34"/>
  <c r="S851" i="34"/>
  <c r="R851" i="34"/>
  <c r="Q851" i="34"/>
  <c r="A839" i="34"/>
  <c r="S839" i="34"/>
  <c r="Q839" i="34"/>
  <c r="R839" i="34"/>
  <c r="A827" i="34"/>
  <c r="S827" i="34"/>
  <c r="Q827" i="34"/>
  <c r="R827" i="34"/>
  <c r="A815" i="34"/>
  <c r="S815" i="34"/>
  <c r="Q815" i="34"/>
  <c r="R815" i="34"/>
  <c r="A131" i="34"/>
  <c r="Q131" i="34"/>
  <c r="R131" i="34"/>
  <c r="S131" i="34"/>
  <c r="A701" i="34"/>
  <c r="S701" i="34"/>
  <c r="Q701" i="34"/>
  <c r="R701" i="34"/>
  <c r="A699" i="34"/>
  <c r="S699" i="34"/>
  <c r="Q699" i="34"/>
  <c r="R699" i="34"/>
  <c r="A480" i="34"/>
  <c r="S480" i="34"/>
  <c r="Q480" i="34"/>
  <c r="R480" i="34"/>
  <c r="A468" i="34"/>
  <c r="S468" i="34"/>
  <c r="Q468" i="34"/>
  <c r="R468" i="34"/>
  <c r="A456" i="34"/>
  <c r="S456" i="34"/>
  <c r="Q456" i="34"/>
  <c r="R456" i="34"/>
  <c r="A440" i="34"/>
  <c r="T440" i="34"/>
  <c r="Q440" i="34"/>
  <c r="U440" i="34"/>
  <c r="R440" i="34"/>
  <c r="S440" i="34"/>
  <c r="V440" i="34"/>
  <c r="A432" i="34"/>
  <c r="S432" i="34"/>
  <c r="Q432" i="34"/>
  <c r="R432" i="34"/>
  <c r="A410" i="34"/>
  <c r="S410" i="34"/>
  <c r="Q410" i="34"/>
  <c r="R410" i="34"/>
  <c r="A394" i="34"/>
  <c r="S394" i="34"/>
  <c r="Q394" i="34"/>
  <c r="R394" i="34"/>
  <c r="A374" i="34"/>
  <c r="S374" i="34"/>
  <c r="R374" i="34"/>
  <c r="Q374" i="34"/>
  <c r="A361" i="34"/>
  <c r="Q361" i="34"/>
  <c r="S361" i="34"/>
  <c r="R361" i="34"/>
  <c r="A349" i="34"/>
  <c r="Q349" i="34"/>
  <c r="S349" i="34"/>
  <c r="R349" i="34"/>
  <c r="A336" i="34"/>
  <c r="S336" i="34"/>
  <c r="Q336" i="34"/>
  <c r="U336" i="34"/>
  <c r="T336" i="34"/>
  <c r="V336" i="34"/>
  <c r="R336" i="34"/>
  <c r="A319" i="34"/>
  <c r="Q319" i="34"/>
  <c r="R319" i="34"/>
  <c r="S319" i="34"/>
  <c r="A306" i="34"/>
  <c r="S306" i="34"/>
  <c r="Q306" i="34"/>
  <c r="R306" i="34"/>
  <c r="A289" i="34"/>
  <c r="Q289" i="34"/>
  <c r="R289" i="34"/>
  <c r="S289" i="34"/>
  <c r="A277" i="34"/>
  <c r="Q277" i="34"/>
  <c r="R277" i="34"/>
  <c r="S277" i="34"/>
  <c r="A273" i="34"/>
  <c r="Q273" i="34"/>
  <c r="R273" i="34"/>
  <c r="S273" i="34"/>
  <c r="A265" i="34"/>
  <c r="Q265" i="34"/>
  <c r="R265" i="34"/>
  <c r="S265" i="34"/>
  <c r="A252" i="34"/>
  <c r="S252" i="34"/>
  <c r="Q252" i="34"/>
  <c r="R252" i="34"/>
  <c r="A240" i="34"/>
  <c r="S240" i="34"/>
  <c r="Q240" i="34"/>
  <c r="R240" i="34"/>
  <c r="A228" i="34"/>
  <c r="S228" i="34"/>
  <c r="Q228" i="34"/>
  <c r="R228" i="34"/>
  <c r="A216" i="34"/>
  <c r="Q216" i="34"/>
  <c r="U216" i="34"/>
  <c r="S216" i="34"/>
  <c r="T216" i="34"/>
  <c r="R216" i="34"/>
  <c r="V216" i="34"/>
  <c r="A688" i="34"/>
  <c r="Q688" i="34"/>
  <c r="R688" i="34"/>
  <c r="S688" i="34"/>
  <c r="A676" i="34"/>
  <c r="Q676" i="34"/>
  <c r="R676" i="34"/>
  <c r="S676" i="34"/>
  <c r="A664" i="34"/>
  <c r="Q664" i="34"/>
  <c r="R664" i="34"/>
  <c r="S664" i="34"/>
  <c r="A68" i="34"/>
  <c r="S68" i="34"/>
  <c r="Q68" i="34"/>
  <c r="R68" i="34"/>
  <c r="A56" i="34"/>
  <c r="S56" i="34"/>
  <c r="Q56" i="34"/>
  <c r="R56" i="34"/>
  <c r="A40" i="34"/>
  <c r="S40" i="34"/>
  <c r="Q40" i="34"/>
  <c r="R40" i="34"/>
  <c r="A28" i="34"/>
  <c r="S28" i="34"/>
  <c r="Q28" i="34"/>
  <c r="R28" i="34"/>
  <c r="A944" i="34"/>
  <c r="Q944" i="34"/>
  <c r="R944" i="34"/>
  <c r="S944" i="34"/>
  <c r="A940" i="34"/>
  <c r="Q940" i="34"/>
  <c r="R940" i="34"/>
  <c r="S940" i="34"/>
  <c r="A936" i="34"/>
  <c r="Q936" i="34"/>
  <c r="R936" i="34"/>
  <c r="S936" i="34"/>
  <c r="A932" i="34"/>
  <c r="Q932" i="34"/>
  <c r="R932" i="34"/>
  <c r="S932" i="34"/>
  <c r="A928" i="34"/>
  <c r="Q928" i="34"/>
  <c r="R928" i="34"/>
  <c r="S928" i="34"/>
  <c r="A924" i="34"/>
  <c r="Q924" i="34"/>
  <c r="R924" i="34"/>
  <c r="S924" i="34"/>
  <c r="A920" i="34"/>
  <c r="Q920" i="34"/>
  <c r="R920" i="34"/>
  <c r="S920" i="34"/>
  <c r="A916" i="34"/>
  <c r="Q916" i="34"/>
  <c r="R916" i="34"/>
  <c r="S916" i="34"/>
  <c r="A912" i="34"/>
  <c r="Q912" i="34"/>
  <c r="R912" i="34"/>
  <c r="S912" i="34"/>
  <c r="A908" i="34"/>
  <c r="Q908" i="34"/>
  <c r="R908" i="34"/>
  <c r="S908" i="34"/>
  <c r="A904" i="34"/>
  <c r="Q904" i="34"/>
  <c r="R904" i="34"/>
  <c r="S904" i="34"/>
  <c r="A900" i="34"/>
  <c r="Q900" i="34"/>
  <c r="R900" i="34"/>
  <c r="S900" i="34"/>
  <c r="A896" i="34"/>
  <c r="Q896" i="34"/>
  <c r="R896" i="34"/>
  <c r="S896" i="34"/>
  <c r="A892" i="34"/>
  <c r="Q892" i="34"/>
  <c r="R892" i="34"/>
  <c r="S892" i="34"/>
  <c r="A888" i="34"/>
  <c r="Q888" i="34"/>
  <c r="R888" i="34"/>
  <c r="S888" i="34"/>
  <c r="A884" i="34"/>
  <c r="Q884" i="34"/>
  <c r="R884" i="34"/>
  <c r="S884" i="34"/>
  <c r="A880" i="34"/>
  <c r="Q880" i="34"/>
  <c r="R880" i="34"/>
  <c r="S880" i="34"/>
  <c r="A876" i="34"/>
  <c r="Q876" i="34"/>
  <c r="R876" i="34"/>
  <c r="S876" i="34"/>
  <c r="A872" i="34"/>
  <c r="Q872" i="34"/>
  <c r="R872" i="34"/>
  <c r="S872" i="34"/>
  <c r="A868" i="34"/>
  <c r="Q868" i="34"/>
  <c r="R868" i="34"/>
  <c r="S868" i="34"/>
  <c r="A864" i="34"/>
  <c r="Q864" i="34"/>
  <c r="R864" i="34"/>
  <c r="S864" i="34"/>
  <c r="A860" i="34"/>
  <c r="Q860" i="34"/>
  <c r="R860" i="34"/>
  <c r="S860" i="34"/>
  <c r="A856" i="34"/>
  <c r="Q856" i="34"/>
  <c r="R856" i="34"/>
  <c r="S856" i="34"/>
  <c r="A852" i="34"/>
  <c r="Q852" i="34"/>
  <c r="S852" i="34"/>
  <c r="R852" i="34"/>
  <c r="A848" i="34"/>
  <c r="Q848" i="34"/>
  <c r="R848" i="34"/>
  <c r="S848" i="34"/>
  <c r="A844" i="34"/>
  <c r="Q844" i="34"/>
  <c r="R844" i="34"/>
  <c r="S844" i="34"/>
  <c r="A840" i="34"/>
  <c r="Q840" i="34"/>
  <c r="R840" i="34"/>
  <c r="S840" i="34"/>
  <c r="A836" i="34"/>
  <c r="Q836" i="34"/>
  <c r="R836" i="34"/>
  <c r="S836" i="34"/>
  <c r="A832" i="34"/>
  <c r="Q832" i="34"/>
  <c r="R832" i="34"/>
  <c r="S832" i="34"/>
  <c r="A828" i="34"/>
  <c r="Q828" i="34"/>
  <c r="R828" i="34"/>
  <c r="S828" i="34"/>
  <c r="A824" i="34"/>
  <c r="Q824" i="34"/>
  <c r="R824" i="34"/>
  <c r="S824" i="34"/>
  <c r="A820" i="34"/>
  <c r="Q820" i="34"/>
  <c r="R820" i="34"/>
  <c r="S820" i="34"/>
  <c r="A816" i="34"/>
  <c r="Q816" i="34"/>
  <c r="R816" i="34"/>
  <c r="S816" i="34"/>
  <c r="A812" i="34"/>
  <c r="Q812" i="34"/>
  <c r="R812" i="34"/>
  <c r="S812" i="34"/>
  <c r="A808" i="34"/>
  <c r="Q808" i="34"/>
  <c r="R808" i="34"/>
  <c r="S808" i="34"/>
  <c r="A804" i="34"/>
  <c r="Q804" i="34"/>
  <c r="R804" i="34"/>
  <c r="S804" i="34"/>
  <c r="A800" i="34"/>
  <c r="Q800" i="34"/>
  <c r="R800" i="34"/>
  <c r="S800" i="34"/>
  <c r="A132" i="34"/>
  <c r="R132" i="34"/>
  <c r="S132" i="34"/>
  <c r="Q132" i="34"/>
  <c r="A710" i="34"/>
  <c r="Q710" i="34"/>
  <c r="R710" i="34"/>
  <c r="S710" i="34"/>
  <c r="A706" i="34"/>
  <c r="Q706" i="34"/>
  <c r="R706" i="34"/>
  <c r="S706" i="34"/>
  <c r="A702" i="34"/>
  <c r="Q702" i="34"/>
  <c r="R702" i="34"/>
  <c r="S702" i="34"/>
  <c r="A714" i="34"/>
  <c r="Q714" i="34"/>
  <c r="R714" i="34"/>
  <c r="S714" i="34"/>
  <c r="A408" i="34"/>
  <c r="S408" i="34"/>
  <c r="Q408" i="34"/>
  <c r="R408" i="34"/>
  <c r="A696" i="34"/>
  <c r="Q696" i="34"/>
  <c r="R696" i="34"/>
  <c r="S696" i="34"/>
  <c r="A692" i="34"/>
  <c r="Q692" i="34"/>
  <c r="R692" i="34"/>
  <c r="S692" i="34"/>
  <c r="A481" i="34"/>
  <c r="Q481" i="34"/>
  <c r="R481" i="34"/>
  <c r="S481" i="34"/>
  <c r="A477" i="34"/>
  <c r="Q477" i="34"/>
  <c r="R477" i="34"/>
  <c r="S477" i="34"/>
  <c r="A473" i="34"/>
  <c r="Q473" i="34"/>
  <c r="R473" i="34"/>
  <c r="S473" i="34"/>
  <c r="A469" i="34"/>
  <c r="Q469" i="34"/>
  <c r="R469" i="34"/>
  <c r="S469" i="34"/>
  <c r="A465" i="34"/>
  <c r="Q465" i="34"/>
  <c r="R465" i="34"/>
  <c r="S465" i="34"/>
  <c r="A461" i="34"/>
  <c r="Q461" i="34"/>
  <c r="R461" i="34"/>
  <c r="S461" i="34"/>
  <c r="A457" i="34"/>
  <c r="Q457" i="34"/>
  <c r="R457" i="34"/>
  <c r="S457" i="34"/>
  <c r="A453" i="34"/>
  <c r="Q453" i="34"/>
  <c r="U453" i="34"/>
  <c r="R453" i="34"/>
  <c r="V453" i="34"/>
  <c r="S453" i="34"/>
  <c r="T453" i="34"/>
  <c r="A449" i="34"/>
  <c r="Q449" i="34"/>
  <c r="R449" i="34"/>
  <c r="S449" i="34"/>
  <c r="A441" i="34"/>
  <c r="R441" i="34"/>
  <c r="S441" i="34"/>
  <c r="Q441" i="34"/>
  <c r="A437" i="34"/>
  <c r="Q437" i="34"/>
  <c r="R437" i="34"/>
  <c r="S437" i="34"/>
  <c r="A433" i="34"/>
  <c r="Q433" i="34"/>
  <c r="R433" i="34"/>
  <c r="S433" i="34"/>
  <c r="A424" i="34"/>
  <c r="S424" i="34"/>
  <c r="Q424" i="34"/>
  <c r="R424" i="34"/>
  <c r="A420" i="34"/>
  <c r="S420" i="34"/>
  <c r="Q420" i="34"/>
  <c r="R420" i="34"/>
  <c r="A415" i="34"/>
  <c r="Q415" i="34"/>
  <c r="U415" i="34"/>
  <c r="R415" i="34"/>
  <c r="V415" i="34"/>
  <c r="S415" i="34"/>
  <c r="T415" i="34"/>
  <c r="A411" i="34"/>
  <c r="Q411" i="34"/>
  <c r="R411" i="34"/>
  <c r="S411" i="34"/>
  <c r="A401" i="34"/>
  <c r="Q401" i="34"/>
  <c r="R401" i="34"/>
  <c r="S401" i="34"/>
  <c r="A378" i="34"/>
  <c r="S378" i="34"/>
  <c r="T378" i="34"/>
  <c r="Q378" i="34"/>
  <c r="U378" i="34"/>
  <c r="R378" i="34"/>
  <c r="V378" i="34"/>
  <c r="A395" i="34"/>
  <c r="Q395" i="34"/>
  <c r="R395" i="34"/>
  <c r="S395" i="34"/>
  <c r="A391" i="34"/>
  <c r="Q391" i="34"/>
  <c r="R391" i="34"/>
  <c r="S391" i="34"/>
  <c r="A387" i="34"/>
  <c r="Q387" i="34"/>
  <c r="R387" i="34"/>
  <c r="S387" i="34"/>
  <c r="A383" i="34"/>
  <c r="Q383" i="34"/>
  <c r="U383" i="34"/>
  <c r="R383" i="34"/>
  <c r="V383" i="34"/>
  <c r="S383" i="34"/>
  <c r="T383" i="34"/>
  <c r="A379" i="34"/>
  <c r="Q379" i="34"/>
  <c r="R379" i="34"/>
  <c r="S379" i="34"/>
  <c r="A371" i="34"/>
  <c r="Q371" i="34"/>
  <c r="R371" i="34"/>
  <c r="S371" i="34"/>
  <c r="A367" i="34"/>
  <c r="Q367" i="34"/>
  <c r="R367" i="34"/>
  <c r="S367" i="34"/>
  <c r="A362" i="34"/>
  <c r="S362" i="34"/>
  <c r="Q362" i="34"/>
  <c r="R362" i="34"/>
  <c r="A358" i="34"/>
  <c r="S358" i="34"/>
  <c r="Q358" i="34"/>
  <c r="R358" i="34"/>
  <c r="A354" i="34"/>
  <c r="S354" i="34"/>
  <c r="Q354" i="34"/>
  <c r="R354" i="34"/>
  <c r="A350" i="34"/>
  <c r="S350" i="34"/>
  <c r="Q350" i="34"/>
  <c r="R350" i="34"/>
  <c r="A346" i="34"/>
  <c r="S346" i="34"/>
  <c r="Q346" i="34"/>
  <c r="R346" i="34"/>
  <c r="A342" i="34"/>
  <c r="S342" i="34"/>
  <c r="Q342" i="34"/>
  <c r="U342" i="34"/>
  <c r="T342" i="34"/>
  <c r="V342" i="34"/>
  <c r="R342" i="34"/>
  <c r="A338" i="34"/>
  <c r="S338" i="34"/>
  <c r="Q338" i="34"/>
  <c r="U338" i="34"/>
  <c r="V338" i="34"/>
  <c r="R338" i="34"/>
  <c r="T338" i="34"/>
  <c r="A334" i="34"/>
  <c r="S334" i="34"/>
  <c r="Q334" i="34"/>
  <c r="U334" i="34"/>
  <c r="R334" i="34"/>
  <c r="T334" i="34"/>
  <c r="V334" i="34"/>
  <c r="A327" i="34"/>
  <c r="Q327" i="34"/>
  <c r="R327" i="34"/>
  <c r="S327" i="34"/>
  <c r="A323" i="34"/>
  <c r="Q323" i="34"/>
  <c r="R323" i="34"/>
  <c r="S323" i="34"/>
  <c r="A316" i="34"/>
  <c r="S316" i="34"/>
  <c r="Q316" i="34"/>
  <c r="R316" i="34"/>
  <c r="A312" i="34"/>
  <c r="S312" i="34"/>
  <c r="Q312" i="34"/>
  <c r="R312" i="34"/>
  <c r="A307" i="34"/>
  <c r="Q307" i="34"/>
  <c r="R307" i="34"/>
  <c r="S307" i="34"/>
  <c r="A302" i="34"/>
  <c r="S302" i="34"/>
  <c r="Q302" i="34"/>
  <c r="R302" i="34"/>
  <c r="A300" i="34"/>
  <c r="S300" i="34"/>
  <c r="Q300" i="34"/>
  <c r="R300" i="34"/>
  <c r="A295" i="34"/>
  <c r="Q295" i="34"/>
  <c r="U295" i="34"/>
  <c r="R295" i="34"/>
  <c r="V295" i="34"/>
  <c r="S295" i="34"/>
  <c r="T295" i="34"/>
  <c r="A291" i="34"/>
  <c r="Q291" i="34"/>
  <c r="U291" i="34"/>
  <c r="R291" i="34"/>
  <c r="V291" i="34"/>
  <c r="S291" i="34"/>
  <c r="T291" i="34"/>
  <c r="A286" i="34"/>
  <c r="S286" i="34"/>
  <c r="Q286" i="34"/>
  <c r="R286" i="34"/>
  <c r="A282" i="34"/>
  <c r="S282" i="34"/>
  <c r="Q282" i="34"/>
  <c r="R282" i="34"/>
  <c r="A278" i="34"/>
  <c r="S278" i="34"/>
  <c r="Q278" i="34"/>
  <c r="R278" i="34"/>
  <c r="A274" i="34"/>
  <c r="S274" i="34"/>
  <c r="Q274" i="34"/>
  <c r="R274" i="34"/>
  <c r="A270" i="34"/>
  <c r="S270" i="34"/>
  <c r="Q270" i="34"/>
  <c r="R270" i="34"/>
  <c r="A266" i="34"/>
  <c r="S266" i="34"/>
  <c r="Q266" i="34"/>
  <c r="R266" i="34"/>
  <c r="A262" i="34"/>
  <c r="S262" i="34"/>
  <c r="T262" i="34"/>
  <c r="Q262" i="34"/>
  <c r="U262" i="34"/>
  <c r="R262" i="34"/>
  <c r="V262" i="34"/>
  <c r="A258" i="34"/>
  <c r="S258" i="34"/>
  <c r="Q258" i="34"/>
  <c r="R258" i="34"/>
  <c r="A253" i="34"/>
  <c r="Q253" i="34"/>
  <c r="R253" i="34"/>
  <c r="S253" i="34"/>
  <c r="A249" i="34"/>
  <c r="Q249" i="34"/>
  <c r="R249" i="34"/>
  <c r="S249" i="34"/>
  <c r="A245" i="34"/>
  <c r="Q245" i="34"/>
  <c r="U245" i="34"/>
  <c r="R245" i="34"/>
  <c r="V245" i="34"/>
  <c r="S245" i="34"/>
  <c r="T245" i="34"/>
  <c r="A241" i="34"/>
  <c r="Q241" i="34"/>
  <c r="R241" i="34"/>
  <c r="S241" i="34"/>
  <c r="A237" i="34"/>
  <c r="Q237" i="34"/>
  <c r="R237" i="34"/>
  <c r="S237" i="34"/>
  <c r="A233" i="34"/>
  <c r="Q233" i="34"/>
  <c r="R233" i="34"/>
  <c r="S233" i="34"/>
  <c r="A229" i="34"/>
  <c r="Q229" i="34"/>
  <c r="R229" i="34"/>
  <c r="S229" i="34"/>
  <c r="A225" i="34"/>
  <c r="Q225" i="34"/>
  <c r="R225" i="34"/>
  <c r="S225" i="34"/>
  <c r="A221" i="34"/>
  <c r="Q221" i="34"/>
  <c r="R221" i="34"/>
  <c r="S221" i="34"/>
  <c r="A217" i="34"/>
  <c r="S217" i="34"/>
  <c r="R217" i="34"/>
  <c r="V217" i="34"/>
  <c r="T217" i="34"/>
  <c r="U217" i="34"/>
  <c r="Q217" i="34"/>
  <c r="A213" i="34"/>
  <c r="S213" i="34"/>
  <c r="Q213" i="34"/>
  <c r="R213" i="34"/>
  <c r="A209" i="34"/>
  <c r="S209" i="34"/>
  <c r="Q209" i="34"/>
  <c r="R209" i="34"/>
  <c r="A205" i="34"/>
  <c r="S205" i="34"/>
  <c r="Q205" i="34"/>
  <c r="R205" i="34"/>
  <c r="A685" i="34"/>
  <c r="S685" i="34"/>
  <c r="Q685" i="34"/>
  <c r="R685" i="34"/>
  <c r="A681" i="34"/>
  <c r="S681" i="34"/>
  <c r="Q681" i="34"/>
  <c r="R681" i="34"/>
  <c r="A677" i="34"/>
  <c r="S677" i="34"/>
  <c r="Q677" i="34"/>
  <c r="R677" i="34"/>
  <c r="A673" i="34"/>
  <c r="S673" i="34"/>
  <c r="Q673" i="34"/>
  <c r="R673" i="34"/>
  <c r="A669" i="34"/>
  <c r="S669" i="34"/>
  <c r="Q669" i="34"/>
  <c r="R669" i="34"/>
  <c r="A665" i="34"/>
  <c r="S665" i="34"/>
  <c r="Q665" i="34"/>
  <c r="R665" i="34"/>
  <c r="A73" i="34"/>
  <c r="Q73" i="34"/>
  <c r="R73" i="34"/>
  <c r="S73" i="34"/>
  <c r="A69" i="34"/>
  <c r="Q69" i="34"/>
  <c r="R69" i="34"/>
  <c r="S69" i="34"/>
  <c r="A65" i="34"/>
  <c r="Q65" i="34"/>
  <c r="R65" i="34"/>
  <c r="S65" i="34"/>
  <c r="A61" i="34"/>
  <c r="Q61" i="34"/>
  <c r="R61" i="34"/>
  <c r="S61" i="34"/>
  <c r="A57" i="34"/>
  <c r="Q57" i="34"/>
  <c r="R57" i="34"/>
  <c r="S57" i="34"/>
  <c r="A53" i="34"/>
  <c r="Q53" i="34"/>
  <c r="R53" i="34"/>
  <c r="S53" i="34"/>
  <c r="A49" i="34"/>
  <c r="Q49" i="34"/>
  <c r="R49" i="34"/>
  <c r="S49" i="34"/>
  <c r="A45" i="34"/>
  <c r="Q45" i="34"/>
  <c r="R45" i="34"/>
  <c r="S45" i="34"/>
  <c r="A41" i="34"/>
  <c r="Q41" i="34"/>
  <c r="R41" i="34"/>
  <c r="S41" i="34"/>
  <c r="A37" i="34"/>
  <c r="Q37" i="34"/>
  <c r="R37" i="34"/>
  <c r="S37" i="34"/>
  <c r="A33" i="34"/>
  <c r="Q33" i="34"/>
  <c r="R33" i="34"/>
  <c r="S33" i="34"/>
  <c r="A29" i="34"/>
  <c r="Q29" i="34"/>
  <c r="R29" i="34"/>
  <c r="S29" i="34"/>
  <c r="A25" i="34"/>
  <c r="Q25" i="34"/>
  <c r="R25" i="34"/>
  <c r="S25" i="34"/>
  <c r="A76" i="34"/>
  <c r="S76" i="34"/>
  <c r="Q76" i="34"/>
  <c r="R76" i="34"/>
  <c r="M203" i="34"/>
  <c r="C203" i="34"/>
  <c r="AD203" i="34" s="1"/>
  <c r="M186" i="34"/>
  <c r="M184" i="34"/>
  <c r="C186" i="34"/>
  <c r="AD186" i="34" s="1"/>
  <c r="M185" i="34"/>
  <c r="C185" i="34"/>
  <c r="AD185" i="34" s="1"/>
  <c r="C184" i="34"/>
  <c r="AD184" i="34" s="1"/>
  <c r="J115" i="34"/>
  <c r="B186" i="34" l="1"/>
  <c r="B185" i="34"/>
  <c r="B203" i="34"/>
  <c r="B184" i="34"/>
  <c r="M100" i="34"/>
  <c r="M101" i="34"/>
  <c r="M102" i="34"/>
  <c r="M103" i="34"/>
  <c r="M99" i="34"/>
  <c r="A203" i="34" l="1"/>
  <c r="S203" i="34"/>
  <c r="Q203" i="34"/>
  <c r="R203" i="34"/>
  <c r="A185" i="34"/>
  <c r="S185" i="34"/>
  <c r="Q185" i="34"/>
  <c r="R185" i="34"/>
  <c r="A186" i="34"/>
  <c r="Q186" i="34"/>
  <c r="R186" i="34"/>
  <c r="S186" i="34"/>
  <c r="A184" i="34"/>
  <c r="Q184" i="34"/>
  <c r="R184" i="34"/>
  <c r="S184" i="34"/>
  <c r="C445" i="34"/>
  <c r="AD445" i="34" s="1"/>
  <c r="C446" i="34"/>
  <c r="AD446" i="34" s="1"/>
  <c r="M445" i="34"/>
  <c r="M244" i="34"/>
  <c r="M243" i="34"/>
  <c r="M443" i="34"/>
  <c r="M444" i="34"/>
  <c r="M447" i="34"/>
  <c r="M376" i="34"/>
  <c r="M377" i="34"/>
  <c r="M425" i="34"/>
  <c r="M426" i="34"/>
  <c r="M427" i="34"/>
  <c r="M428" i="34"/>
  <c r="M403" i="34"/>
  <c r="M404" i="34"/>
  <c r="M405" i="34"/>
  <c r="M406" i="34"/>
  <c r="C404" i="34"/>
  <c r="AD404" i="34" s="1"/>
  <c r="C405" i="34"/>
  <c r="AD405" i="34" s="1"/>
  <c r="C406" i="34"/>
  <c r="AD406" i="34" s="1"/>
  <c r="C407" i="34"/>
  <c r="AD407" i="34" s="1"/>
  <c r="C425" i="34"/>
  <c r="AD425" i="34" s="1"/>
  <c r="C426" i="34"/>
  <c r="AD426" i="34" s="1"/>
  <c r="C427" i="34"/>
  <c r="AD427" i="34" s="1"/>
  <c r="C428" i="34"/>
  <c r="AD428" i="34" s="1"/>
  <c r="C429" i="34"/>
  <c r="AD429" i="34" s="1"/>
  <c r="C376" i="34"/>
  <c r="AD376" i="34" s="1"/>
  <c r="C377" i="34"/>
  <c r="AD377" i="34" s="1"/>
  <c r="C443" i="34"/>
  <c r="AD443" i="34" s="1"/>
  <c r="C444" i="34"/>
  <c r="AD444" i="34" s="1"/>
  <c r="C403" i="34"/>
  <c r="AD403" i="34" s="1"/>
  <c r="B376" i="34" l="1"/>
  <c r="B443" i="34"/>
  <c r="B403" i="34"/>
  <c r="B426" i="34"/>
  <c r="B405" i="34"/>
  <c r="B444" i="34"/>
  <c r="B429" i="34"/>
  <c r="B425" i="34"/>
  <c r="B404" i="34"/>
  <c r="B428" i="34"/>
  <c r="B446" i="34"/>
  <c r="B407" i="34"/>
  <c r="B377" i="34"/>
  <c r="B427" i="34"/>
  <c r="B406" i="34"/>
  <c r="B445" i="34"/>
  <c r="A406" i="34" l="1"/>
  <c r="S406" i="34"/>
  <c r="Q406" i="34"/>
  <c r="R406" i="34"/>
  <c r="A446" i="34"/>
  <c r="R446" i="34"/>
  <c r="S446" i="34"/>
  <c r="Q446" i="34"/>
  <c r="A429" i="34"/>
  <c r="Q429" i="34"/>
  <c r="R429" i="34"/>
  <c r="S429" i="34"/>
  <c r="A403" i="34"/>
  <c r="Q403" i="34"/>
  <c r="R403" i="34"/>
  <c r="S403" i="34"/>
  <c r="A427" i="34"/>
  <c r="Q427" i="34"/>
  <c r="R427" i="34"/>
  <c r="S427" i="34"/>
  <c r="A428" i="34"/>
  <c r="S428" i="34"/>
  <c r="Q428" i="34"/>
  <c r="R428" i="34"/>
  <c r="A444" i="34"/>
  <c r="T444" i="34"/>
  <c r="S444" i="34"/>
  <c r="U444" i="34"/>
  <c r="Q444" i="34"/>
  <c r="V444" i="34"/>
  <c r="R444" i="34"/>
  <c r="A443" i="34"/>
  <c r="R443" i="34"/>
  <c r="V443" i="34"/>
  <c r="T443" i="34"/>
  <c r="U443" i="34"/>
  <c r="Q443" i="34"/>
  <c r="S443" i="34"/>
  <c r="A377" i="34"/>
  <c r="Q377" i="34"/>
  <c r="U377" i="34"/>
  <c r="R377" i="34"/>
  <c r="V377" i="34"/>
  <c r="S377" i="34"/>
  <c r="T377" i="34"/>
  <c r="A404" i="34"/>
  <c r="S404" i="34"/>
  <c r="Q404" i="34"/>
  <c r="R404" i="34"/>
  <c r="A405" i="34"/>
  <c r="Q405" i="34"/>
  <c r="R405" i="34"/>
  <c r="S405" i="34"/>
  <c r="A376" i="34"/>
  <c r="S376" i="34"/>
  <c r="T376" i="34"/>
  <c r="Q376" i="34"/>
  <c r="U376" i="34"/>
  <c r="R376" i="34"/>
  <c r="V376" i="34"/>
  <c r="A445" i="34"/>
  <c r="R445" i="34"/>
  <c r="V445" i="34"/>
  <c r="S445" i="34"/>
  <c r="T445" i="34"/>
  <c r="U445" i="34"/>
  <c r="Q445" i="34"/>
  <c r="A407" i="34"/>
  <c r="Q407" i="34"/>
  <c r="R407" i="34"/>
  <c r="S407" i="34"/>
  <c r="A425" i="34"/>
  <c r="Q425" i="34"/>
  <c r="R425" i="34"/>
  <c r="S425" i="34"/>
  <c r="A426" i="34"/>
  <c r="S426" i="34"/>
  <c r="Q426" i="34"/>
  <c r="R426" i="34"/>
  <c r="U11" i="34"/>
  <c r="U12" i="34"/>
  <c r="U13" i="34"/>
  <c r="U14" i="34"/>
  <c r="U15" i="34"/>
  <c r="U16" i="34"/>
  <c r="U17" i="34"/>
  <c r="U18" i="34"/>
  <c r="U19" i="34"/>
  <c r="U10" i="34"/>
  <c r="V11" i="34"/>
  <c r="V12" i="34"/>
  <c r="V13" i="34"/>
  <c r="V14" i="34"/>
  <c r="V15" i="34"/>
  <c r="V16" i="34"/>
  <c r="V17" i="34"/>
  <c r="V18" i="34"/>
  <c r="V19" i="34"/>
  <c r="V10" i="34"/>
  <c r="T11" i="34"/>
  <c r="T12" i="34"/>
  <c r="T13" i="34"/>
  <c r="T14" i="34"/>
  <c r="T15" i="34"/>
  <c r="T16" i="34"/>
  <c r="T17" i="34"/>
  <c r="T18" i="34"/>
  <c r="T19" i="34"/>
  <c r="T10" i="34"/>
  <c r="I6" i="43"/>
  <c r="M430" i="34"/>
  <c r="M431" i="34"/>
  <c r="M432" i="34"/>
  <c r="M433" i="34"/>
  <c r="M434" i="34"/>
  <c r="M435" i="34"/>
  <c r="M436" i="34"/>
  <c r="M437" i="34"/>
  <c r="M466" i="34"/>
  <c r="M378" i="34"/>
  <c r="M452" i="34"/>
  <c r="M453" i="34"/>
  <c r="M454" i="34"/>
  <c r="M455" i="34"/>
  <c r="M424" i="34"/>
  <c r="M450" i="34"/>
  <c r="M375" i="34"/>
  <c r="M442" i="34"/>
  <c r="M402" i="34"/>
  <c r="C87" i="34" l="1"/>
  <c r="AD87" i="34" s="1"/>
  <c r="C88" i="34"/>
  <c r="AD88" i="34" s="1"/>
  <c r="C89" i="34"/>
  <c r="AD89" i="34" s="1"/>
  <c r="C92" i="34"/>
  <c r="AD92" i="34" s="1"/>
  <c r="M87" i="34"/>
  <c r="M92" i="34"/>
  <c r="M89" i="34"/>
  <c r="M88" i="34"/>
  <c r="E33" i="34"/>
  <c r="AA33" i="34" s="1"/>
  <c r="E32" i="34"/>
  <c r="AA32" i="34" s="1"/>
  <c r="E31" i="34"/>
  <c r="AA31" i="34" s="1"/>
  <c r="E30" i="34"/>
  <c r="AA30" i="34" s="1"/>
  <c r="E29" i="34"/>
  <c r="AA29" i="34" s="1"/>
  <c r="E28" i="34"/>
  <c r="AA28" i="34" s="1"/>
  <c r="K79" i="34"/>
  <c r="M79" i="34" s="1"/>
  <c r="E79" i="34"/>
  <c r="AA79" i="34" s="1"/>
  <c r="K78" i="34"/>
  <c r="E78" i="34"/>
  <c r="AA78" i="34" s="1"/>
  <c r="I28" i="45" l="1" a="1"/>
  <c r="I28" i="45" s="1"/>
  <c r="I30" i="45" a="1"/>
  <c r="I30" i="45" s="1"/>
  <c r="I32" i="45" a="1"/>
  <c r="I32" i="45" s="1"/>
  <c r="I31" i="45" a="1"/>
  <c r="I31" i="45" s="1"/>
  <c r="K28" i="45" a="1"/>
  <c r="K28" i="45" s="1"/>
  <c r="O28" i="45" s="1"/>
  <c r="K30" i="45" a="1"/>
  <c r="K30" i="45" s="1"/>
  <c r="O30" i="45" s="1"/>
  <c r="K32" i="45" a="1"/>
  <c r="K32" i="45" s="1"/>
  <c r="I27" i="45" a="1"/>
  <c r="I27" i="45" s="1"/>
  <c r="I29" i="45" a="1"/>
  <c r="I29" i="45" s="1"/>
  <c r="K27" i="45" a="1"/>
  <c r="K27" i="45" s="1"/>
  <c r="K29" i="45" a="1"/>
  <c r="K29" i="45" s="1"/>
  <c r="K31" i="45" a="1"/>
  <c r="K31" i="45" s="1"/>
  <c r="M78" i="34"/>
  <c r="G12" i="62" a="1"/>
  <c r="G12" i="62" s="1"/>
  <c r="G13" i="62" a="1"/>
  <c r="G13" i="62" s="1"/>
  <c r="G14" i="62" a="1"/>
  <c r="G14" i="62" s="1"/>
  <c r="G15" i="62" a="1"/>
  <c r="G15" i="62" s="1"/>
  <c r="I12" i="62" a="1"/>
  <c r="I12" i="62" s="1"/>
  <c r="I13" i="62" a="1"/>
  <c r="I13" i="62" s="1"/>
  <c r="I14" i="62" a="1"/>
  <c r="I14" i="62" s="1"/>
  <c r="I15" i="62" a="1"/>
  <c r="I15" i="62" s="1"/>
  <c r="B88" i="34"/>
  <c r="B87" i="34"/>
  <c r="B92" i="34"/>
  <c r="B89" i="34"/>
  <c r="AG10" i="48"/>
  <c r="AE10" i="48"/>
  <c r="AC10" i="48"/>
  <c r="AA10" i="48"/>
  <c r="Y10" i="48"/>
  <c r="W10" i="48"/>
  <c r="U10" i="48"/>
  <c r="S10" i="48"/>
  <c r="Q10" i="48"/>
  <c r="O10" i="48"/>
  <c r="M10" i="48"/>
  <c r="K10" i="48"/>
  <c r="CC10" i="48"/>
  <c r="CB10" i="48"/>
  <c r="CA10" i="48"/>
  <c r="BV39" i="48"/>
  <c r="BW39" i="48"/>
  <c r="BV40" i="48"/>
  <c r="BW40" i="48"/>
  <c r="BV41" i="48"/>
  <c r="BW41" i="48"/>
  <c r="BV42" i="48"/>
  <c r="BW42" i="48"/>
  <c r="BV43" i="48"/>
  <c r="BW43" i="48"/>
  <c r="BV44" i="48"/>
  <c r="BW44" i="48"/>
  <c r="BV45" i="48"/>
  <c r="BW45" i="48"/>
  <c r="BV46" i="48"/>
  <c r="BW46" i="48"/>
  <c r="BV47" i="48"/>
  <c r="BW47" i="48"/>
  <c r="BV48" i="48"/>
  <c r="BW48" i="48"/>
  <c r="BV49" i="48"/>
  <c r="BW49" i="48"/>
  <c r="BV50" i="48"/>
  <c r="BW50" i="48"/>
  <c r="BV51" i="48"/>
  <c r="BW51" i="48"/>
  <c r="BW10" i="48"/>
  <c r="BV10" i="48"/>
  <c r="BZ10" i="48"/>
  <c r="BY10" i="48"/>
  <c r="BX10" i="48"/>
  <c r="BU10" i="48"/>
  <c r="BT10" i="48"/>
  <c r="BS10" i="48"/>
  <c r="BR10" i="48"/>
  <c r="BQ10" i="48"/>
  <c r="BP10" i="48"/>
  <c r="BO10" i="48"/>
  <c r="BN10" i="48"/>
  <c r="BM10" i="48"/>
  <c r="BL10" i="48"/>
  <c r="BK10" i="48"/>
  <c r="BJ10" i="48"/>
  <c r="BI10" i="48"/>
  <c r="BH10" i="48"/>
  <c r="BG10" i="48"/>
  <c r="BF10" i="48"/>
  <c r="BE10" i="48"/>
  <c r="BD10" i="48"/>
  <c r="AW10" i="48"/>
  <c r="AV10" i="48"/>
  <c r="AU10" i="48"/>
  <c r="AT10" i="48"/>
  <c r="AT39" i="48"/>
  <c r="AU39" i="48"/>
  <c r="AT40" i="48"/>
  <c r="AU40" i="48"/>
  <c r="AT41" i="48"/>
  <c r="AU41" i="48"/>
  <c r="AT42" i="48"/>
  <c r="AU42" i="48"/>
  <c r="AT43" i="48"/>
  <c r="AU43" i="48"/>
  <c r="AT44" i="48"/>
  <c r="AU44" i="48"/>
  <c r="AT45" i="48"/>
  <c r="AU45" i="48"/>
  <c r="AT46" i="48"/>
  <c r="AU46" i="48"/>
  <c r="AT47" i="48"/>
  <c r="AU47" i="48"/>
  <c r="AT48" i="48"/>
  <c r="AU48" i="48"/>
  <c r="AT49" i="48"/>
  <c r="AU49" i="48"/>
  <c r="AT50" i="48"/>
  <c r="AU50" i="48"/>
  <c r="AT51" i="48"/>
  <c r="AU51" i="48"/>
  <c r="AS10" i="48"/>
  <c r="AR10" i="48"/>
  <c r="AQ10" i="48"/>
  <c r="AP10" i="48"/>
  <c r="AM10" i="48"/>
  <c r="AO10" i="48"/>
  <c r="AN10" i="48"/>
  <c r="AL10" i="48"/>
  <c r="AK10" i="48"/>
  <c r="AJ10" i="48"/>
  <c r="AI10" i="48"/>
  <c r="AH10" i="48"/>
  <c r="AF10" i="48"/>
  <c r="AD10" i="48"/>
  <c r="AB10" i="48"/>
  <c r="Z10" i="48"/>
  <c r="X10" i="48"/>
  <c r="V10" i="48"/>
  <c r="T10" i="48"/>
  <c r="R10" i="48"/>
  <c r="P10" i="48"/>
  <c r="N10" i="48"/>
  <c r="L10" i="48"/>
  <c r="J10"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V39" i="48"/>
  <c r="AW39" i="48"/>
  <c r="AX39" i="48"/>
  <c r="AY39" i="48"/>
  <c r="AZ39" i="48"/>
  <c r="BA39" i="48"/>
  <c r="BB39" i="48"/>
  <c r="BC39" i="48"/>
  <c r="BD39" i="48"/>
  <c r="BE39" i="48"/>
  <c r="BF39" i="48"/>
  <c r="BG39" i="48"/>
  <c r="BH39" i="48"/>
  <c r="BI39" i="48"/>
  <c r="BJ39" i="48"/>
  <c r="BK39" i="48"/>
  <c r="BL39" i="48"/>
  <c r="BM39" i="48"/>
  <c r="BN39" i="48"/>
  <c r="BO39" i="48"/>
  <c r="BP39" i="48"/>
  <c r="BQ39" i="48"/>
  <c r="BR39" i="48"/>
  <c r="BS39" i="48"/>
  <c r="BT39" i="48"/>
  <c r="BU39" i="48"/>
  <c r="BX39" i="48"/>
  <c r="BY39" i="48"/>
  <c r="BZ39" i="48"/>
  <c r="CC39" i="48"/>
  <c r="CD39" i="48"/>
  <c r="CE39" i="48"/>
  <c r="CF39" i="48"/>
  <c r="CG39" i="48"/>
  <c r="CH39" i="48"/>
  <c r="CI39" i="48"/>
  <c r="CJ39" i="48"/>
  <c r="CK39" i="48"/>
  <c r="CL39" i="48"/>
  <c r="CM39" i="48"/>
  <c r="CN39" i="48"/>
  <c r="CO39" i="48"/>
  <c r="CP39" i="48"/>
  <c r="CQ39" i="48"/>
  <c r="CR39" i="48"/>
  <c r="CS39" i="48"/>
  <c r="CT39" i="48"/>
  <c r="CU39" i="48"/>
  <c r="CV39" i="48"/>
  <c r="CW39" i="48"/>
  <c r="CX39" i="48"/>
  <c r="CY39" i="48"/>
  <c r="CZ39" i="48"/>
  <c r="DA39" i="48"/>
  <c r="J40" i="48"/>
  <c r="K40" i="48"/>
  <c r="L40" i="48"/>
  <c r="M40" i="48"/>
  <c r="N40" i="48"/>
  <c r="O40" i="48"/>
  <c r="P40" i="48"/>
  <c r="Q40" i="48"/>
  <c r="R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V40" i="48"/>
  <c r="AW40" i="48"/>
  <c r="AY40" i="48"/>
  <c r="AZ40" i="48"/>
  <c r="BA40" i="48"/>
  <c r="BB40" i="48"/>
  <c r="BC40" i="48"/>
  <c r="BD40" i="48"/>
  <c r="BE40" i="48"/>
  <c r="BF40" i="48"/>
  <c r="BG40" i="48"/>
  <c r="BH40" i="48"/>
  <c r="BI40" i="48"/>
  <c r="BJ40" i="48"/>
  <c r="BK40" i="48"/>
  <c r="BL40" i="48"/>
  <c r="BM40" i="48"/>
  <c r="BN40" i="48"/>
  <c r="BO40" i="48"/>
  <c r="BP40" i="48"/>
  <c r="BQ40" i="48"/>
  <c r="BR40" i="48"/>
  <c r="BS40" i="48"/>
  <c r="BT40" i="48"/>
  <c r="BU40" i="48"/>
  <c r="BX40" i="48"/>
  <c r="BY40" i="48"/>
  <c r="BZ40" i="48"/>
  <c r="CA40" i="48"/>
  <c r="CB40" i="48"/>
  <c r="CC40" i="48"/>
  <c r="CD40" i="48"/>
  <c r="CE40" i="48"/>
  <c r="CF40" i="48"/>
  <c r="CG40" i="48"/>
  <c r="CH40" i="48"/>
  <c r="CI40" i="48"/>
  <c r="CJ40" i="48"/>
  <c r="CK40" i="48"/>
  <c r="CL40" i="48"/>
  <c r="CM40" i="48"/>
  <c r="CN40" i="48"/>
  <c r="CO40" i="48"/>
  <c r="CP40" i="48"/>
  <c r="CQ40" i="48"/>
  <c r="CR40" i="48"/>
  <c r="CS40" i="48"/>
  <c r="CT40" i="48"/>
  <c r="CU40" i="48"/>
  <c r="CV40" i="48"/>
  <c r="CW40" i="48"/>
  <c r="CX40" i="48"/>
  <c r="CY40" i="48"/>
  <c r="CZ40" i="48"/>
  <c r="DA40"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V41" i="48"/>
  <c r="AW41" i="48"/>
  <c r="AX41" i="48"/>
  <c r="AY41" i="48"/>
  <c r="AZ41" i="48"/>
  <c r="BA41" i="48"/>
  <c r="BB41" i="48"/>
  <c r="BC41" i="48"/>
  <c r="BD41" i="48"/>
  <c r="BE41" i="48"/>
  <c r="BF41" i="48"/>
  <c r="BG41" i="48"/>
  <c r="BH41" i="48"/>
  <c r="BI41" i="48"/>
  <c r="BJ41" i="48"/>
  <c r="BK41" i="48"/>
  <c r="BL41" i="48"/>
  <c r="BM41" i="48"/>
  <c r="BN41" i="48"/>
  <c r="BO41" i="48"/>
  <c r="BP41" i="48"/>
  <c r="BQ41" i="48"/>
  <c r="BR41" i="48"/>
  <c r="BS41" i="48"/>
  <c r="BT41" i="48"/>
  <c r="BU41" i="48"/>
  <c r="BX41" i="48"/>
  <c r="BY41" i="48"/>
  <c r="BZ41" i="48"/>
  <c r="CA41" i="48"/>
  <c r="CB41" i="48"/>
  <c r="CC41" i="48"/>
  <c r="CD41" i="48"/>
  <c r="CE41" i="48"/>
  <c r="CF41" i="48"/>
  <c r="CG41" i="48"/>
  <c r="CH41" i="48"/>
  <c r="CI41" i="48"/>
  <c r="CJ41" i="48"/>
  <c r="CK41" i="48"/>
  <c r="CL41" i="48"/>
  <c r="CN41" i="48"/>
  <c r="CO41" i="48"/>
  <c r="CP41" i="48"/>
  <c r="CQ41" i="48"/>
  <c r="CR41" i="48"/>
  <c r="CS41" i="48"/>
  <c r="CT41" i="48"/>
  <c r="CU41" i="48"/>
  <c r="CV41" i="48"/>
  <c r="CW41" i="48"/>
  <c r="CX41" i="48"/>
  <c r="CY41" i="48"/>
  <c r="DA41"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V42" i="48"/>
  <c r="AW42" i="48"/>
  <c r="AX42" i="48"/>
  <c r="AY42" i="48"/>
  <c r="AZ42" i="48"/>
  <c r="BA42" i="48"/>
  <c r="BB42" i="48"/>
  <c r="BC42" i="48"/>
  <c r="BD42" i="48"/>
  <c r="BE42" i="48"/>
  <c r="BF42" i="48"/>
  <c r="BG42" i="48"/>
  <c r="BH42" i="48"/>
  <c r="BI42" i="48"/>
  <c r="BJ42" i="48"/>
  <c r="BK42" i="48"/>
  <c r="BL42" i="48"/>
  <c r="BM42" i="48"/>
  <c r="BN42" i="48"/>
  <c r="BO42" i="48"/>
  <c r="BP42" i="48"/>
  <c r="BQ42" i="48"/>
  <c r="BR42" i="48"/>
  <c r="BS42" i="48"/>
  <c r="BT42" i="48"/>
  <c r="BU42" i="48"/>
  <c r="BX42" i="48"/>
  <c r="BY42" i="48"/>
  <c r="BZ42" i="48"/>
  <c r="CA42" i="48"/>
  <c r="CB42" i="48"/>
  <c r="CC42" i="48"/>
  <c r="CD42" i="48"/>
  <c r="CE42" i="48"/>
  <c r="CF42" i="48"/>
  <c r="CG42" i="48"/>
  <c r="CH42" i="48"/>
  <c r="CI42" i="48"/>
  <c r="CJ42" i="48"/>
  <c r="CK42" i="48"/>
  <c r="CL42" i="48"/>
  <c r="CM42" i="48"/>
  <c r="CN42" i="48"/>
  <c r="CP42" i="48"/>
  <c r="CQ42" i="48"/>
  <c r="CR42" i="48"/>
  <c r="CS42" i="48"/>
  <c r="CT42" i="48"/>
  <c r="CU42" i="48"/>
  <c r="CV42" i="48"/>
  <c r="CW42" i="48"/>
  <c r="CX42" i="48"/>
  <c r="CY42" i="48"/>
  <c r="DA42"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V43" i="48"/>
  <c r="AW43" i="48"/>
  <c r="AX43" i="48"/>
  <c r="AY43" i="48"/>
  <c r="AZ43" i="48"/>
  <c r="BA43" i="48"/>
  <c r="BB43" i="48"/>
  <c r="BC43" i="48"/>
  <c r="BD43" i="48"/>
  <c r="BE43" i="48"/>
  <c r="BF43" i="48"/>
  <c r="BG43" i="48"/>
  <c r="BH43" i="48"/>
  <c r="BI43" i="48"/>
  <c r="BJ43" i="48"/>
  <c r="BK43" i="48"/>
  <c r="BL43" i="48"/>
  <c r="BM43" i="48"/>
  <c r="BN43" i="48"/>
  <c r="BO43" i="48"/>
  <c r="BP43" i="48"/>
  <c r="BQ43" i="48"/>
  <c r="BR43" i="48"/>
  <c r="BS43" i="48"/>
  <c r="BT43" i="48"/>
  <c r="BU43" i="48"/>
  <c r="BX43" i="48"/>
  <c r="BY43" i="48"/>
  <c r="BZ43" i="48"/>
  <c r="CA43" i="48"/>
  <c r="CB43" i="48"/>
  <c r="CC43" i="48"/>
  <c r="CD43" i="48"/>
  <c r="CE43" i="48"/>
  <c r="CF43" i="48"/>
  <c r="CG43" i="48"/>
  <c r="CH43" i="48"/>
  <c r="CI43" i="48"/>
  <c r="CJ43" i="48"/>
  <c r="CK43" i="48"/>
  <c r="CL43" i="48"/>
  <c r="CM43" i="48"/>
  <c r="CN43" i="48"/>
  <c r="CO43" i="48"/>
  <c r="CP43" i="48"/>
  <c r="CR43" i="48"/>
  <c r="CS43" i="48"/>
  <c r="CT43" i="48"/>
  <c r="CU43" i="48"/>
  <c r="CV43" i="48"/>
  <c r="CW43" i="48"/>
  <c r="CX43" i="48"/>
  <c r="CY43" i="48"/>
  <c r="DA43"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V44" i="48"/>
  <c r="AW44" i="48"/>
  <c r="AX44" i="48"/>
  <c r="AY44" i="48"/>
  <c r="AZ44" i="48"/>
  <c r="BA44" i="48"/>
  <c r="BB44" i="48"/>
  <c r="BC44" i="48"/>
  <c r="BD44" i="48"/>
  <c r="BE44" i="48"/>
  <c r="BF44" i="48"/>
  <c r="BG44" i="48"/>
  <c r="BH44" i="48"/>
  <c r="BI44" i="48"/>
  <c r="BJ44" i="48"/>
  <c r="BK44" i="48"/>
  <c r="BL44" i="48"/>
  <c r="BM44" i="48"/>
  <c r="BN44" i="48"/>
  <c r="BO44" i="48"/>
  <c r="BP44" i="48"/>
  <c r="BQ44" i="48"/>
  <c r="BR44" i="48"/>
  <c r="BS44" i="48"/>
  <c r="BT44" i="48"/>
  <c r="BU44" i="48"/>
  <c r="BX44" i="48"/>
  <c r="BY44" i="48"/>
  <c r="BZ44" i="48"/>
  <c r="CA44" i="48"/>
  <c r="CB44" i="48"/>
  <c r="CC44" i="48"/>
  <c r="CD44" i="48"/>
  <c r="CE44" i="48"/>
  <c r="CF44" i="48"/>
  <c r="CG44" i="48"/>
  <c r="CH44" i="48"/>
  <c r="CI44" i="48"/>
  <c r="CJ44" i="48"/>
  <c r="CK44" i="48"/>
  <c r="CL44" i="48"/>
  <c r="CM44" i="48"/>
  <c r="CN44" i="48"/>
  <c r="CO44" i="48"/>
  <c r="CP44" i="48"/>
  <c r="CQ44" i="48"/>
  <c r="CR44" i="48"/>
  <c r="CT44" i="48"/>
  <c r="CU44" i="48"/>
  <c r="CV44" i="48"/>
  <c r="CW44" i="48"/>
  <c r="CX44" i="48"/>
  <c r="CY44" i="48"/>
  <c r="DA44"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V45" i="48"/>
  <c r="AW45" i="48"/>
  <c r="AX45" i="48"/>
  <c r="AY45" i="48"/>
  <c r="AZ45" i="48"/>
  <c r="BA45" i="48"/>
  <c r="BB45" i="48"/>
  <c r="BC45" i="48"/>
  <c r="BD45" i="48"/>
  <c r="BE45" i="48"/>
  <c r="BF45" i="48"/>
  <c r="BG45" i="48"/>
  <c r="BH45" i="48"/>
  <c r="BI45" i="48"/>
  <c r="BJ45" i="48"/>
  <c r="BK45" i="48"/>
  <c r="BL45" i="48"/>
  <c r="BM45" i="48"/>
  <c r="BN45" i="48"/>
  <c r="BO45" i="48"/>
  <c r="BP45" i="48"/>
  <c r="BQ45" i="48"/>
  <c r="BR45" i="48"/>
  <c r="BS45" i="48"/>
  <c r="BT45" i="48"/>
  <c r="BU45" i="48"/>
  <c r="BX45" i="48"/>
  <c r="BY45" i="48"/>
  <c r="BZ45" i="48"/>
  <c r="CA45" i="48"/>
  <c r="CB45" i="48"/>
  <c r="CC45" i="48"/>
  <c r="CD45" i="48"/>
  <c r="CE45" i="48"/>
  <c r="CF45" i="48"/>
  <c r="CG45" i="48"/>
  <c r="CH45" i="48"/>
  <c r="CI45" i="48"/>
  <c r="CJ45" i="48"/>
  <c r="CK45" i="48"/>
  <c r="CL45" i="48"/>
  <c r="CM45" i="48"/>
  <c r="CN45" i="48"/>
  <c r="CO45" i="48"/>
  <c r="CP45" i="48"/>
  <c r="CQ45" i="48"/>
  <c r="CR45" i="48"/>
  <c r="CS45" i="48"/>
  <c r="CT45" i="48"/>
  <c r="CU45" i="48"/>
  <c r="CV45" i="48"/>
  <c r="CW45" i="48"/>
  <c r="CX45" i="48"/>
  <c r="CY45" i="48"/>
  <c r="CZ45" i="48"/>
  <c r="DA45"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V46" i="48"/>
  <c r="AW46" i="48"/>
  <c r="AX46" i="48"/>
  <c r="AY46" i="48"/>
  <c r="AZ46" i="48"/>
  <c r="BA46" i="48"/>
  <c r="BB46" i="48"/>
  <c r="BC46" i="48"/>
  <c r="BD46" i="48"/>
  <c r="BE46" i="48"/>
  <c r="BF46" i="48"/>
  <c r="BG46" i="48"/>
  <c r="BH46" i="48"/>
  <c r="BI46" i="48"/>
  <c r="BJ46" i="48"/>
  <c r="BK46" i="48"/>
  <c r="BL46" i="48"/>
  <c r="BM46" i="48"/>
  <c r="BN46" i="48"/>
  <c r="BO46" i="48"/>
  <c r="BP46" i="48"/>
  <c r="BQ46" i="48"/>
  <c r="BR46" i="48"/>
  <c r="BS46" i="48"/>
  <c r="BT46" i="48"/>
  <c r="BU46" i="48"/>
  <c r="BX46" i="48"/>
  <c r="BY46" i="48"/>
  <c r="BZ46" i="48"/>
  <c r="CA46" i="48"/>
  <c r="CB46" i="48"/>
  <c r="CC46" i="48"/>
  <c r="CD46" i="48"/>
  <c r="CE46" i="48"/>
  <c r="CF46" i="48"/>
  <c r="CG46" i="48"/>
  <c r="CI46" i="48"/>
  <c r="CJ46" i="48"/>
  <c r="CK46" i="48"/>
  <c r="CL46" i="48"/>
  <c r="CM46" i="48"/>
  <c r="CN46" i="48"/>
  <c r="CO46" i="48"/>
  <c r="CP46" i="48"/>
  <c r="CQ46" i="48"/>
  <c r="CR46" i="48"/>
  <c r="CS46" i="48"/>
  <c r="CT46" i="48"/>
  <c r="CU46" i="48"/>
  <c r="CV46" i="48"/>
  <c r="CW46" i="48"/>
  <c r="CX46" i="48"/>
  <c r="CY46" i="48"/>
  <c r="CZ46"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V47" i="48"/>
  <c r="AW47" i="48"/>
  <c r="AX47" i="48"/>
  <c r="AY47" i="48"/>
  <c r="AZ47" i="48"/>
  <c r="BA47" i="48"/>
  <c r="BB47" i="48"/>
  <c r="BC47" i="48"/>
  <c r="BD47" i="48"/>
  <c r="BE47" i="48"/>
  <c r="BF47" i="48"/>
  <c r="BG47" i="48"/>
  <c r="BH47" i="48"/>
  <c r="BI47" i="48"/>
  <c r="BJ47" i="48"/>
  <c r="BK47" i="48"/>
  <c r="BL47" i="48"/>
  <c r="BM47" i="48"/>
  <c r="BN47" i="48"/>
  <c r="BO47" i="48"/>
  <c r="BP47" i="48"/>
  <c r="BQ47" i="48"/>
  <c r="BR47" i="48"/>
  <c r="BS47" i="48"/>
  <c r="BT47" i="48"/>
  <c r="BU47" i="48"/>
  <c r="BX47" i="48"/>
  <c r="BY47" i="48"/>
  <c r="BZ47" i="48"/>
  <c r="CA47" i="48"/>
  <c r="CB47" i="48"/>
  <c r="CC47" i="48"/>
  <c r="CE47" i="48"/>
  <c r="CF47" i="48"/>
  <c r="CG47" i="48"/>
  <c r="CH47" i="48"/>
  <c r="CI47" i="48"/>
  <c r="CJ47" i="48"/>
  <c r="CK47" i="48"/>
  <c r="CL47" i="48"/>
  <c r="CM47" i="48"/>
  <c r="CN47" i="48"/>
  <c r="CO47" i="48"/>
  <c r="CP47" i="48"/>
  <c r="CQ47" i="48"/>
  <c r="CR47" i="48"/>
  <c r="CS47" i="48"/>
  <c r="CT47" i="48"/>
  <c r="CU47" i="48"/>
  <c r="CV47" i="48"/>
  <c r="CW47" i="48"/>
  <c r="CX47" i="48"/>
  <c r="CY47" i="48"/>
  <c r="CZ47"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V48" i="48"/>
  <c r="AW48" i="48"/>
  <c r="AX48" i="48"/>
  <c r="AY48" i="48"/>
  <c r="AZ48" i="48"/>
  <c r="BA48" i="48"/>
  <c r="BB48" i="48"/>
  <c r="BC48" i="48"/>
  <c r="BD48" i="48"/>
  <c r="BE48" i="48"/>
  <c r="BF48" i="48"/>
  <c r="BG48" i="48"/>
  <c r="BH48" i="48"/>
  <c r="BI48" i="48"/>
  <c r="BJ48" i="48"/>
  <c r="BK48" i="48"/>
  <c r="BL48" i="48"/>
  <c r="BM48" i="48"/>
  <c r="BN48" i="48"/>
  <c r="BO48" i="48"/>
  <c r="BP48" i="48"/>
  <c r="BQ48" i="48"/>
  <c r="BR48" i="48"/>
  <c r="BS48" i="48"/>
  <c r="BT48" i="48"/>
  <c r="BU48" i="48"/>
  <c r="BX48" i="48"/>
  <c r="BY48" i="48"/>
  <c r="BZ48" i="48"/>
  <c r="CA48" i="48"/>
  <c r="CB48" i="48"/>
  <c r="CC48" i="48"/>
  <c r="CD48" i="48"/>
  <c r="CE48" i="48"/>
  <c r="CG48" i="48"/>
  <c r="CH48" i="48"/>
  <c r="CI48" i="48"/>
  <c r="CJ48" i="48"/>
  <c r="CK48" i="48"/>
  <c r="CL48" i="48"/>
  <c r="CM48" i="48"/>
  <c r="CN48" i="48"/>
  <c r="CO48" i="48"/>
  <c r="CP48" i="48"/>
  <c r="CQ48" i="48"/>
  <c r="CR48" i="48"/>
  <c r="CS48" i="48"/>
  <c r="CT48" i="48"/>
  <c r="CU48" i="48"/>
  <c r="CV48" i="48"/>
  <c r="CW48" i="48"/>
  <c r="CX48" i="48"/>
  <c r="CY48" i="48"/>
  <c r="CZ48"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V49" i="48"/>
  <c r="AW49" i="48"/>
  <c r="AX49" i="48"/>
  <c r="AY49" i="48"/>
  <c r="AZ49" i="48"/>
  <c r="BA49" i="48"/>
  <c r="BB49" i="48"/>
  <c r="BC49" i="48"/>
  <c r="BD49" i="48"/>
  <c r="BE49" i="48"/>
  <c r="BF49" i="48"/>
  <c r="BG49" i="48"/>
  <c r="BH49" i="48"/>
  <c r="BI49" i="48"/>
  <c r="BJ49" i="48"/>
  <c r="BK49" i="48"/>
  <c r="BL49" i="48"/>
  <c r="BM49" i="48"/>
  <c r="BN49" i="48"/>
  <c r="BO49" i="48"/>
  <c r="BP49" i="48"/>
  <c r="BQ49" i="48"/>
  <c r="BR49" i="48"/>
  <c r="BS49" i="48"/>
  <c r="BT49" i="48"/>
  <c r="BU49" i="48"/>
  <c r="BX49" i="48"/>
  <c r="BY49" i="48"/>
  <c r="BZ49" i="48"/>
  <c r="CA49" i="48"/>
  <c r="CB49" i="48"/>
  <c r="CC49" i="48"/>
  <c r="CD49" i="48"/>
  <c r="CE49" i="48"/>
  <c r="CF49" i="48"/>
  <c r="CG49" i="48"/>
  <c r="CH49" i="48"/>
  <c r="CI49" i="48"/>
  <c r="CJ49" i="48"/>
  <c r="CK49" i="48"/>
  <c r="CL49" i="48"/>
  <c r="CM49" i="48"/>
  <c r="CN49" i="48"/>
  <c r="CO49" i="48"/>
  <c r="CP49" i="48"/>
  <c r="CQ49" i="48"/>
  <c r="CR49" i="48"/>
  <c r="CS49" i="48"/>
  <c r="CU49" i="48"/>
  <c r="CV49" i="48"/>
  <c r="CW49" i="48"/>
  <c r="CX49" i="48"/>
  <c r="CY49" i="48"/>
  <c r="CZ49"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V50" i="48"/>
  <c r="AW50" i="48"/>
  <c r="AX50" i="48"/>
  <c r="AY50" i="48"/>
  <c r="AZ50" i="48"/>
  <c r="BA50" i="48"/>
  <c r="BB50" i="48"/>
  <c r="BC50" i="48"/>
  <c r="BD50" i="48"/>
  <c r="BE50" i="48"/>
  <c r="BF50" i="48"/>
  <c r="BG50" i="48"/>
  <c r="BH50" i="48"/>
  <c r="BI50" i="48"/>
  <c r="BJ50" i="48"/>
  <c r="BK50" i="48"/>
  <c r="BL50" i="48"/>
  <c r="BM50" i="48"/>
  <c r="BN50" i="48"/>
  <c r="BO50" i="48"/>
  <c r="BP50" i="48"/>
  <c r="BQ50" i="48"/>
  <c r="BR50" i="48"/>
  <c r="BS50" i="48"/>
  <c r="BT50" i="48"/>
  <c r="BU50" i="48"/>
  <c r="BX50" i="48"/>
  <c r="BY50" i="48"/>
  <c r="BZ50" i="48"/>
  <c r="CA50" i="48"/>
  <c r="CB50" i="48"/>
  <c r="CC50" i="48"/>
  <c r="CD50" i="48"/>
  <c r="CE50" i="48"/>
  <c r="CF50" i="48"/>
  <c r="CG50" i="48"/>
  <c r="CH50" i="48"/>
  <c r="CI50" i="48"/>
  <c r="CJ50" i="48"/>
  <c r="CK50" i="48"/>
  <c r="CL50" i="48"/>
  <c r="CM50" i="48"/>
  <c r="CN50" i="48"/>
  <c r="CO50" i="48"/>
  <c r="CP50" i="48"/>
  <c r="CQ50" i="48"/>
  <c r="CR50" i="48"/>
  <c r="CS50" i="48"/>
  <c r="CT50" i="48"/>
  <c r="CU50" i="48"/>
  <c r="CV50" i="48"/>
  <c r="CX50" i="48"/>
  <c r="CY50" i="48"/>
  <c r="DA50" i="48"/>
  <c r="D39" i="48"/>
  <c r="D40" i="48"/>
  <c r="D41" i="48"/>
  <c r="D42" i="48"/>
  <c r="D43" i="48"/>
  <c r="D44" i="48"/>
  <c r="F39" i="48"/>
  <c r="CA39" i="48" s="1"/>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V51" i="48"/>
  <c r="AW51" i="48"/>
  <c r="AX51" i="48"/>
  <c r="AY51" i="48"/>
  <c r="AZ51" i="48"/>
  <c r="BA51" i="48"/>
  <c r="BB51" i="48"/>
  <c r="BC51" i="48"/>
  <c r="BD51" i="48"/>
  <c r="BE51" i="48"/>
  <c r="BF51" i="48"/>
  <c r="BG51" i="48"/>
  <c r="BH51" i="48"/>
  <c r="BI51" i="48"/>
  <c r="BJ51" i="48"/>
  <c r="BK51" i="48"/>
  <c r="BL51" i="48"/>
  <c r="BM51" i="48"/>
  <c r="BN51" i="48"/>
  <c r="BO51" i="48"/>
  <c r="BP51" i="48"/>
  <c r="BQ51" i="48"/>
  <c r="BR51" i="48"/>
  <c r="BS51" i="48"/>
  <c r="BT51" i="48"/>
  <c r="BU51" i="48"/>
  <c r="BX51" i="48"/>
  <c r="BY51" i="48"/>
  <c r="BZ51" i="48"/>
  <c r="CA51" i="48"/>
  <c r="CB51" i="48"/>
  <c r="CC51" i="48"/>
  <c r="CD51" i="48"/>
  <c r="CE51" i="48"/>
  <c r="CF51" i="48"/>
  <c r="CG51" i="48"/>
  <c r="CH51" i="48"/>
  <c r="CI51" i="48"/>
  <c r="CJ51" i="48"/>
  <c r="CK51" i="48"/>
  <c r="CL51" i="48"/>
  <c r="CM51" i="48"/>
  <c r="CN51" i="48"/>
  <c r="CO51" i="48"/>
  <c r="CP51" i="48"/>
  <c r="CQ51" i="48"/>
  <c r="CR51" i="48"/>
  <c r="CS51" i="48"/>
  <c r="CT51" i="48"/>
  <c r="CU51" i="48"/>
  <c r="CV51" i="48"/>
  <c r="CW51" i="48"/>
  <c r="CX51" i="48"/>
  <c r="CY51" i="48"/>
  <c r="CZ51" i="48"/>
  <c r="DA51" i="48"/>
  <c r="A10" i="48" a="1"/>
  <c r="A10" i="48" s="1"/>
  <c r="A92" i="34" l="1"/>
  <c r="S92" i="34"/>
  <c r="R92" i="34"/>
  <c r="Q92" i="34"/>
  <c r="A87" i="34"/>
  <c r="Q87" i="34"/>
  <c r="R87" i="34"/>
  <c r="S87" i="34"/>
  <c r="A88" i="34"/>
  <c r="S88" i="34"/>
  <c r="Q88" i="34"/>
  <c r="R88" i="34"/>
  <c r="A89" i="34"/>
  <c r="Q89" i="34"/>
  <c r="R89" i="34"/>
  <c r="S89" i="34"/>
  <c r="O32" i="45"/>
  <c r="O31" i="45"/>
  <c r="M15" i="62"/>
  <c r="O29" i="45"/>
  <c r="O27" i="45"/>
  <c r="M27" i="45"/>
  <c r="M31" i="45"/>
  <c r="M32" i="45"/>
  <c r="M30" i="45"/>
  <c r="M29" i="45"/>
  <c r="M28" i="45"/>
  <c r="M14" i="62"/>
  <c r="M13" i="62"/>
  <c r="M12" i="62"/>
  <c r="K14" i="62"/>
  <c r="K13" i="62"/>
  <c r="K12" i="62"/>
  <c r="K15" i="62"/>
  <c r="CB39" i="48"/>
  <c r="I25" i="12" l="1"/>
  <c r="I26" i="12"/>
  <c r="I27" i="12"/>
  <c r="I28" i="12"/>
  <c r="I29" i="12"/>
  <c r="I30" i="12"/>
  <c r="I31" i="12"/>
  <c r="I32" i="12"/>
  <c r="I23" i="12"/>
  <c r="I33" i="12"/>
  <c r="I34" i="12"/>
  <c r="I35" i="12"/>
  <c r="I36" i="12"/>
  <c r="I37" i="12"/>
  <c r="I38" i="12"/>
  <c r="I39" i="12"/>
  <c r="I40" i="12"/>
  <c r="I41" i="12"/>
  <c r="I42" i="12"/>
  <c r="I43" i="12"/>
  <c r="I44" i="12"/>
  <c r="I45" i="12"/>
  <c r="I46" i="12"/>
  <c r="I47" i="12"/>
  <c r="I48" i="12"/>
  <c r="I24" i="12"/>
  <c r="P12" i="34" l="1"/>
  <c r="P13" i="34"/>
  <c r="P14" i="34"/>
  <c r="P15" i="34"/>
  <c r="P16" i="34"/>
  <c r="P17" i="34"/>
  <c r="P18" i="34"/>
  <c r="P19" i="34"/>
  <c r="C290" i="34"/>
  <c r="AD290" i="34" s="1"/>
  <c r="C298" i="34"/>
  <c r="AD298" i="34" s="1"/>
  <c r="C328" i="34"/>
  <c r="AD328" i="34" s="1"/>
  <c r="C365" i="34"/>
  <c r="AD365" i="34" s="1"/>
  <c r="C255" i="34"/>
  <c r="AD255" i="34" s="1"/>
  <c r="A48" i="12"/>
  <c r="A5" i="12"/>
  <c r="A6" i="12"/>
  <c r="A7" i="12"/>
  <c r="A8" i="12"/>
  <c r="A9" i="12"/>
  <c r="A10" i="12"/>
  <c r="A11" i="12"/>
  <c r="A12" i="12"/>
  <c r="A13" i="12"/>
  <c r="A14" i="12"/>
  <c r="A15" i="12"/>
  <c r="A16" i="12"/>
  <c r="A17" i="12"/>
  <c r="A18" i="12"/>
  <c r="A19" i="12"/>
  <c r="A20" i="12"/>
  <c r="A21" i="12"/>
  <c r="A24" i="12"/>
  <c r="A25" i="12"/>
  <c r="A26" i="12"/>
  <c r="A27" i="12"/>
  <c r="A28" i="12"/>
  <c r="A29" i="12"/>
  <c r="A30" i="12"/>
  <c r="A31" i="12"/>
  <c r="A32" i="12"/>
  <c r="A23" i="12"/>
  <c r="A33" i="12"/>
  <c r="A34" i="12"/>
  <c r="A35" i="12"/>
  <c r="A36" i="12"/>
  <c r="A37" i="12"/>
  <c r="A38" i="12"/>
  <c r="A39" i="12"/>
  <c r="A40" i="12"/>
  <c r="A41" i="12"/>
  <c r="A42" i="12"/>
  <c r="A43" i="12"/>
  <c r="A44" i="12"/>
  <c r="A45" i="12"/>
  <c r="A46" i="12"/>
  <c r="A47" i="12"/>
  <c r="A4" i="12"/>
  <c r="C724" i="34"/>
  <c r="AD724" i="34" s="1"/>
  <c r="M182" i="34"/>
  <c r="C182" i="34"/>
  <c r="AD182" i="34" s="1"/>
  <c r="M183" i="34"/>
  <c r="C183" i="34"/>
  <c r="AD183" i="34" s="1"/>
  <c r="M181" i="34"/>
  <c r="C181" i="34"/>
  <c r="AD181" i="34" s="1"/>
  <c r="M180" i="34"/>
  <c r="C180" i="34"/>
  <c r="AD180" i="34" s="1"/>
  <c r="M179" i="34"/>
  <c r="C179" i="34"/>
  <c r="AD179" i="34" s="1"/>
  <c r="M178" i="34"/>
  <c r="C178" i="34"/>
  <c r="AD178" i="34" s="1"/>
  <c r="M177" i="34"/>
  <c r="C177" i="34"/>
  <c r="AD177" i="34" s="1"/>
  <c r="M176" i="34"/>
  <c r="C176" i="34"/>
  <c r="AD176" i="34" s="1"/>
  <c r="M175" i="34"/>
  <c r="C175" i="34"/>
  <c r="AD175" i="34" s="1"/>
  <c r="M174" i="34"/>
  <c r="C174" i="34"/>
  <c r="AD174" i="34" s="1"/>
  <c r="M173" i="34"/>
  <c r="C173" i="34"/>
  <c r="AD173" i="34" s="1"/>
  <c r="M172" i="34"/>
  <c r="C172" i="34"/>
  <c r="AD172" i="34" s="1"/>
  <c r="C717" i="34"/>
  <c r="AD717" i="34" s="1"/>
  <c r="C718" i="34"/>
  <c r="AD718" i="34" s="1"/>
  <c r="C719" i="34"/>
  <c r="AD719" i="34" s="1"/>
  <c r="C720" i="34"/>
  <c r="AD720" i="34" s="1"/>
  <c r="C721" i="34"/>
  <c r="AD721" i="34" s="1"/>
  <c r="C722" i="34"/>
  <c r="AD722" i="34" s="1"/>
  <c r="C723" i="34"/>
  <c r="AD723" i="34" s="1"/>
  <c r="C716" i="34"/>
  <c r="AD716" i="34" s="1"/>
  <c r="B722" i="34" l="1"/>
  <c r="B175" i="34"/>
  <c r="B717" i="34"/>
  <c r="B328" i="34"/>
  <c r="B716" i="34"/>
  <c r="B720" i="34"/>
  <c r="B172" i="34"/>
  <c r="B174" i="34"/>
  <c r="B176" i="34"/>
  <c r="B178" i="34"/>
  <c r="B180" i="34"/>
  <c r="B724" i="34"/>
  <c r="B298" i="34"/>
  <c r="B723" i="34"/>
  <c r="B719" i="34"/>
  <c r="B255" i="34"/>
  <c r="B290" i="34"/>
  <c r="B173" i="34"/>
  <c r="B177" i="34"/>
  <c r="B179" i="34"/>
  <c r="B181" i="34"/>
  <c r="B182" i="34"/>
  <c r="B365" i="34"/>
  <c r="B718" i="34"/>
  <c r="B721" i="34"/>
  <c r="B183" i="34"/>
  <c r="W12" i="34"/>
  <c r="Y12" i="34"/>
  <c r="AB12" i="34"/>
  <c r="AC12" i="34"/>
  <c r="W13" i="34"/>
  <c r="Y13" i="34"/>
  <c r="AB13" i="34"/>
  <c r="AC13" i="34"/>
  <c r="W14" i="34"/>
  <c r="Y14" i="34"/>
  <c r="AB14" i="34"/>
  <c r="AC14" i="34"/>
  <c r="W15" i="34"/>
  <c r="Y15" i="34"/>
  <c r="AB15" i="34"/>
  <c r="AC15" i="34"/>
  <c r="W16" i="34"/>
  <c r="Y16" i="34"/>
  <c r="AB16" i="34"/>
  <c r="AC16" i="34"/>
  <c r="W17" i="34"/>
  <c r="Y17" i="34"/>
  <c r="AB17" i="34"/>
  <c r="AC17" i="34"/>
  <c r="W18" i="34"/>
  <c r="Y18" i="34"/>
  <c r="AB18" i="34"/>
  <c r="AC18" i="34"/>
  <c r="W19" i="34"/>
  <c r="Y19" i="34"/>
  <c r="AB19" i="34"/>
  <c r="AC19" i="34"/>
  <c r="F56" i="55"/>
  <c r="F45" i="55"/>
  <c r="E44" i="55"/>
  <c r="G39" i="55" a="1"/>
  <c r="G39" i="55" s="1"/>
  <c r="G40" i="55" a="1"/>
  <c r="G40" i="55" s="1"/>
  <c r="G41" i="55" a="1"/>
  <c r="G41" i="55" s="1"/>
  <c r="G42" i="55" a="1"/>
  <c r="G42" i="55" s="1"/>
  <c r="G46" i="55" a="1"/>
  <c r="G46" i="55" s="1"/>
  <c r="G47" i="55" a="1"/>
  <c r="G47" i="55" s="1"/>
  <c r="M162" i="34"/>
  <c r="M163" i="34"/>
  <c r="M164" i="34"/>
  <c r="M165" i="34"/>
  <c r="C162" i="34"/>
  <c r="AD162" i="34" s="1"/>
  <c r="C163" i="34"/>
  <c r="AD163" i="34" s="1"/>
  <c r="C164" i="34"/>
  <c r="AD164" i="34" s="1"/>
  <c r="C165" i="34"/>
  <c r="AD165" i="34" s="1"/>
  <c r="C152" i="34"/>
  <c r="AD152" i="34" s="1"/>
  <c r="C153" i="34"/>
  <c r="AD153" i="34" s="1"/>
  <c r="C154" i="34"/>
  <c r="AD154" i="34" s="1"/>
  <c r="C155" i="34"/>
  <c r="AD155" i="34" s="1"/>
  <c r="C156" i="34"/>
  <c r="AD156" i="34" s="1"/>
  <c r="C157" i="34"/>
  <c r="AD157" i="34" s="1"/>
  <c r="C158" i="34"/>
  <c r="AD158" i="34" s="1"/>
  <c r="C159" i="34"/>
  <c r="AD159" i="34" s="1"/>
  <c r="C160" i="34"/>
  <c r="AD160" i="34" s="1"/>
  <c r="C161" i="34"/>
  <c r="AD161" i="34" s="1"/>
  <c r="C151" i="34"/>
  <c r="AD151" i="34" s="1"/>
  <c r="M152" i="34"/>
  <c r="M153" i="34"/>
  <c r="M154" i="34"/>
  <c r="M155" i="34"/>
  <c r="M156" i="34"/>
  <c r="M157" i="34"/>
  <c r="M158" i="34"/>
  <c r="M159" i="34"/>
  <c r="M160" i="34"/>
  <c r="M151" i="34"/>
  <c r="M161" i="34"/>
  <c r="M119" i="34"/>
  <c r="C119" i="34"/>
  <c r="AD119" i="34" s="1"/>
  <c r="V21" i="60"/>
  <c r="V22" i="60"/>
  <c r="A30" i="55"/>
  <c r="A36" i="55"/>
  <c r="A27" i="55"/>
  <c r="B30" i="55"/>
  <c r="B31" i="55"/>
  <c r="A31" i="55" s="1"/>
  <c r="B32" i="55"/>
  <c r="A32" i="55" s="1"/>
  <c r="B33" i="55"/>
  <c r="A33" i="55" s="1"/>
  <c r="B34" i="55"/>
  <c r="A34" i="55" s="1"/>
  <c r="B35" i="55"/>
  <c r="A35" i="55" s="1"/>
  <c r="B13" i="55"/>
  <c r="B14" i="55"/>
  <c r="B15" i="55"/>
  <c r="B16" i="55"/>
  <c r="B17" i="55"/>
  <c r="B18" i="55"/>
  <c r="B19" i="55"/>
  <c r="B20" i="55"/>
  <c r="A20" i="55" s="1"/>
  <c r="B21" i="55"/>
  <c r="A21" i="55" s="1"/>
  <c r="B22" i="55"/>
  <c r="A22" i="55" s="1"/>
  <c r="B23" i="55"/>
  <c r="A23" i="55" s="1"/>
  <c r="B24" i="55"/>
  <c r="A24" i="55" s="1"/>
  <c r="B25" i="55"/>
  <c r="A25" i="55" s="1"/>
  <c r="B26" i="55"/>
  <c r="A26" i="55" s="1"/>
  <c r="B27" i="55"/>
  <c r="B28" i="55"/>
  <c r="A28" i="55" s="1"/>
  <c r="B29" i="55"/>
  <c r="A29" i="55" s="1"/>
  <c r="B12" i="55"/>
  <c r="G20" i="55" a="1"/>
  <c r="G20" i="55" s="1"/>
  <c r="I20" i="55" a="1"/>
  <c r="I20" i="55" s="1"/>
  <c r="G21" i="55" a="1"/>
  <c r="G21" i="55" s="1"/>
  <c r="I21" i="55" a="1"/>
  <c r="I21" i="55" s="1"/>
  <c r="G22" i="55" a="1"/>
  <c r="G22" i="55" s="1"/>
  <c r="I22" i="55" a="1"/>
  <c r="I22" i="55" s="1"/>
  <c r="G23" i="55" a="1"/>
  <c r="G23" i="55" s="1"/>
  <c r="I23" i="55" a="1"/>
  <c r="I23" i="55" s="1"/>
  <c r="E36" i="55"/>
  <c r="F37" i="55"/>
  <c r="V41" i="60"/>
  <c r="V40" i="60"/>
  <c r="V39" i="60"/>
  <c r="L29" i="60" s="1"/>
  <c r="V36" i="60"/>
  <c r="V35" i="60"/>
  <c r="V34" i="60"/>
  <c r="V33" i="60"/>
  <c r="V32" i="60"/>
  <c r="V31" i="60"/>
  <c r="V30" i="60"/>
  <c r="V29" i="60"/>
  <c r="V23" i="60"/>
  <c r="V20" i="60"/>
  <c r="L8" i="60" s="1"/>
  <c r="V19" i="60"/>
  <c r="V18" i="60"/>
  <c r="V11" i="60"/>
  <c r="V10" i="60"/>
  <c r="V9" i="60"/>
  <c r="V8" i="60"/>
  <c r="V7" i="60"/>
  <c r="D48" i="60"/>
  <c r="G48" i="60" s="1"/>
  <c r="D47" i="60"/>
  <c r="A47" i="60"/>
  <c r="A48" i="60" s="1"/>
  <c r="A49" i="60" s="1"/>
  <c r="P30" i="60"/>
  <c r="C30" i="60"/>
  <c r="D30" i="60" s="1"/>
  <c r="G30" i="60" s="1"/>
  <c r="A30" i="60"/>
  <c r="D29" i="60"/>
  <c r="G29" i="60" s="1"/>
  <c r="A29" i="60"/>
  <c r="D9" i="60"/>
  <c r="G9" i="60" s="1"/>
  <c r="D8" i="60"/>
  <c r="G8" i="60" s="1"/>
  <c r="D7" i="60"/>
  <c r="G7" i="60" s="1"/>
  <c r="A7" i="60"/>
  <c r="A8" i="60" s="1"/>
  <c r="A9" i="60" s="1"/>
  <c r="A718" i="34" l="1"/>
  <c r="Q718" i="34"/>
  <c r="R718" i="34"/>
  <c r="S718" i="34"/>
  <c r="A179" i="34"/>
  <c r="S179" i="34"/>
  <c r="Q179" i="34"/>
  <c r="R179" i="34"/>
  <c r="A255" i="34"/>
  <c r="Q255" i="34"/>
  <c r="R255" i="34"/>
  <c r="S255" i="34"/>
  <c r="A724" i="34"/>
  <c r="Q724" i="34"/>
  <c r="R724" i="34"/>
  <c r="S724" i="34"/>
  <c r="A174" i="34"/>
  <c r="Q174" i="34"/>
  <c r="R174" i="34"/>
  <c r="S174" i="34"/>
  <c r="A328" i="34"/>
  <c r="S328" i="34"/>
  <c r="Q328" i="34"/>
  <c r="R328" i="34"/>
  <c r="A365" i="34"/>
  <c r="Q365" i="34"/>
  <c r="S365" i="34"/>
  <c r="R365" i="34"/>
  <c r="A177" i="34"/>
  <c r="S177" i="34"/>
  <c r="Q177" i="34"/>
  <c r="R177" i="34"/>
  <c r="A719" i="34"/>
  <c r="S719" i="34"/>
  <c r="Q719" i="34"/>
  <c r="R719" i="34"/>
  <c r="A180" i="34"/>
  <c r="Q180" i="34"/>
  <c r="R180" i="34"/>
  <c r="S180" i="34"/>
  <c r="A172" i="34"/>
  <c r="Q172" i="34"/>
  <c r="R172" i="34"/>
  <c r="S172" i="34"/>
  <c r="A717" i="34"/>
  <c r="S717" i="34"/>
  <c r="Q717" i="34"/>
  <c r="R717" i="34"/>
  <c r="A183" i="34"/>
  <c r="S183" i="34"/>
  <c r="Q183" i="34"/>
  <c r="R183" i="34"/>
  <c r="A182" i="34"/>
  <c r="Q182" i="34"/>
  <c r="R182" i="34"/>
  <c r="S182" i="34"/>
  <c r="A173" i="34"/>
  <c r="S173" i="34"/>
  <c r="Q173" i="34"/>
  <c r="R173" i="34"/>
  <c r="A723" i="34"/>
  <c r="S723" i="34"/>
  <c r="Q723" i="34"/>
  <c r="R723" i="34"/>
  <c r="A178" i="34"/>
  <c r="Q178" i="34"/>
  <c r="R178" i="34"/>
  <c r="S178" i="34"/>
  <c r="A720" i="34"/>
  <c r="Q720" i="34"/>
  <c r="R720" i="34"/>
  <c r="S720" i="34"/>
  <c r="A175" i="34"/>
  <c r="S175" i="34"/>
  <c r="Q175" i="34"/>
  <c r="R175" i="34"/>
  <c r="A721" i="34"/>
  <c r="S721" i="34"/>
  <c r="Q721" i="34"/>
  <c r="R721" i="34"/>
  <c r="A181" i="34"/>
  <c r="S181" i="34"/>
  <c r="Q181" i="34"/>
  <c r="R181" i="34"/>
  <c r="A290" i="34"/>
  <c r="S290" i="34"/>
  <c r="Q290" i="34"/>
  <c r="R290" i="34"/>
  <c r="A298" i="34"/>
  <c r="S298" i="34"/>
  <c r="Q298" i="34"/>
  <c r="R298" i="34"/>
  <c r="A176" i="34"/>
  <c r="Q176" i="34"/>
  <c r="R176" i="34"/>
  <c r="S176" i="34"/>
  <c r="A716" i="34"/>
  <c r="Q716" i="34"/>
  <c r="R716" i="34"/>
  <c r="S716" i="34"/>
  <c r="A722" i="34"/>
  <c r="Q722" i="34"/>
  <c r="R722" i="34"/>
  <c r="S722" i="34"/>
  <c r="L7" i="60"/>
  <c r="L9" i="60"/>
  <c r="B151" i="34"/>
  <c r="B158" i="34"/>
  <c r="B154" i="34"/>
  <c r="B164" i="34"/>
  <c r="B161" i="34"/>
  <c r="B157" i="34"/>
  <c r="B153" i="34"/>
  <c r="B163" i="34"/>
  <c r="B160" i="34"/>
  <c r="B156" i="34"/>
  <c r="B152" i="34"/>
  <c r="B162" i="34"/>
  <c r="B119" i="34"/>
  <c r="B159" i="34"/>
  <c r="B155" i="34"/>
  <c r="B165" i="34"/>
  <c r="V38" i="60"/>
  <c r="V17" i="60"/>
  <c r="K23" i="55"/>
  <c r="K22" i="55"/>
  <c r="K21" i="55"/>
  <c r="K20" i="55"/>
  <c r="A160" i="34" l="1"/>
  <c r="Q160" i="34"/>
  <c r="R160" i="34"/>
  <c r="S160" i="34"/>
  <c r="A163" i="34"/>
  <c r="S163" i="34"/>
  <c r="Q163" i="34"/>
  <c r="R163" i="34"/>
  <c r="A155" i="34"/>
  <c r="S155" i="34"/>
  <c r="Q155" i="34"/>
  <c r="R155" i="34"/>
  <c r="A152" i="34"/>
  <c r="R152" i="34"/>
  <c r="S152" i="34"/>
  <c r="Q152" i="34"/>
  <c r="A154" i="34"/>
  <c r="Q154" i="34"/>
  <c r="R154" i="34"/>
  <c r="S154" i="34"/>
  <c r="A159" i="34"/>
  <c r="S159" i="34"/>
  <c r="R159" i="34"/>
  <c r="Q159" i="34"/>
  <c r="A156" i="34"/>
  <c r="Q156" i="34"/>
  <c r="R156" i="34"/>
  <c r="S156" i="34"/>
  <c r="A157" i="34"/>
  <c r="S157" i="34"/>
  <c r="Q157" i="34"/>
  <c r="R157" i="34"/>
  <c r="A158" i="34"/>
  <c r="Q158" i="34"/>
  <c r="S158" i="34"/>
  <c r="R158" i="34"/>
  <c r="A161" i="34"/>
  <c r="S161" i="34"/>
  <c r="Q161" i="34"/>
  <c r="R161" i="34"/>
  <c r="A162" i="34"/>
  <c r="Q162" i="34"/>
  <c r="R162" i="34"/>
  <c r="S162" i="34"/>
  <c r="A119" i="34"/>
  <c r="Q119" i="34"/>
  <c r="R119" i="34"/>
  <c r="S119" i="34"/>
  <c r="A151" i="34"/>
  <c r="Q151" i="34"/>
  <c r="S151" i="34"/>
  <c r="R151" i="34"/>
  <c r="A165" i="34"/>
  <c r="S165" i="34"/>
  <c r="Q165" i="34"/>
  <c r="R165" i="34"/>
  <c r="A164" i="34"/>
  <c r="Q164" i="34"/>
  <c r="R164" i="34"/>
  <c r="S164" i="34"/>
  <c r="A153" i="34"/>
  <c r="S153" i="34"/>
  <c r="Q153" i="34"/>
  <c r="R153" i="34"/>
  <c r="M20" i="34"/>
  <c r="M18" i="34"/>
  <c r="M19" i="34"/>
  <c r="M16" i="34"/>
  <c r="M17" i="34"/>
  <c r="M11" i="34"/>
  <c r="M10" i="34" l="1"/>
  <c r="C11" i="34"/>
  <c r="AD11" i="34" s="1"/>
  <c r="C12" i="34"/>
  <c r="AD12" i="34" s="1"/>
  <c r="C13" i="34"/>
  <c r="AD13" i="34" s="1"/>
  <c r="C14" i="34"/>
  <c r="AD14" i="34" s="1"/>
  <c r="C15" i="34"/>
  <c r="AD15" i="34" s="1"/>
  <c r="C21" i="34"/>
  <c r="AD21" i="34" s="1"/>
  <c r="C16" i="34"/>
  <c r="AD16" i="34" s="1"/>
  <c r="C17" i="34"/>
  <c r="AD17" i="34" s="1"/>
  <c r="C18" i="34"/>
  <c r="AD18" i="34" s="1"/>
  <c r="C19" i="34"/>
  <c r="AD19" i="34" s="1"/>
  <c r="C20" i="34"/>
  <c r="AD20" i="34" s="1"/>
  <c r="C10" i="34"/>
  <c r="AD10" i="34" s="1"/>
  <c r="E76" i="34"/>
  <c r="AA76" i="34" s="1"/>
  <c r="B20" i="34" l="1"/>
  <c r="B18" i="34"/>
  <c r="A18" i="34" s="1"/>
  <c r="B17" i="34"/>
  <c r="B16" i="34"/>
  <c r="A16" i="34" s="1"/>
  <c r="B19" i="34"/>
  <c r="A19" i="34" s="1"/>
  <c r="A20" i="34" l="1"/>
  <c r="S20" i="34"/>
  <c r="Q20" i="34"/>
  <c r="R20" i="34"/>
  <c r="S17" i="34"/>
  <c r="A17" i="34"/>
  <c r="Q17" i="34"/>
  <c r="R17" i="34"/>
  <c r="S16" i="34"/>
  <c r="Q16" i="34"/>
  <c r="R16" i="34"/>
  <c r="S18" i="34"/>
  <c r="Q18" i="34"/>
  <c r="R18" i="34"/>
  <c r="S19" i="34"/>
  <c r="Q19" i="34"/>
  <c r="R19" i="34"/>
  <c r="G7" i="57"/>
  <c r="D49" i="12"/>
  <c r="C49" i="12"/>
  <c r="E6" i="43" l="1"/>
  <c r="I111" i="42"/>
  <c r="G90" i="43"/>
  <c r="S9" i="43" l="1"/>
  <c r="S8" i="43"/>
  <c r="D74" i="15" l="1"/>
  <c r="C74" i="15"/>
  <c r="C23" i="15"/>
  <c r="D23" i="15"/>
  <c r="C35" i="15"/>
  <c r="D35" i="15"/>
  <c r="D32" i="15"/>
  <c r="C32" i="15"/>
  <c r="C50" i="15"/>
  <c r="D50" i="15"/>
  <c r="C43" i="15"/>
  <c r="D43" i="15"/>
  <c r="D55" i="15" l="1"/>
  <c r="L338" i="34"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1" i="60"/>
  <c r="V280" i="60"/>
  <c r="V279" i="60"/>
  <c r="V278" i="60"/>
  <c r="V277" i="60"/>
  <c r="V276" i="60"/>
  <c r="V275" i="60"/>
  <c r="W274" i="60"/>
  <c r="V272" i="60"/>
  <c r="V271" i="60"/>
  <c r="V270" i="60"/>
  <c r="O270" i="60"/>
  <c r="L270" i="60"/>
  <c r="E270" i="60"/>
  <c r="V269" i="60"/>
  <c r="A269" i="60"/>
  <c r="V268" i="60"/>
  <c r="M268" i="60"/>
  <c r="C268" i="60"/>
  <c r="D268" i="60" s="1"/>
  <c r="G268" i="60" s="1"/>
  <c r="A268" i="60"/>
  <c r="V267" i="60"/>
  <c r="C267" i="60"/>
  <c r="D267" i="60" s="1"/>
  <c r="G267" i="60" s="1"/>
  <c r="A267" i="60"/>
  <c r="V266" i="60"/>
  <c r="M266" i="60"/>
  <c r="C266" i="60"/>
  <c r="D266" i="60" s="1"/>
  <c r="G266" i="60" s="1"/>
  <c r="A266" i="60"/>
  <c r="V265" i="60"/>
  <c r="C265" i="60"/>
  <c r="D265" i="60" s="1"/>
  <c r="G265" i="60" s="1"/>
  <c r="A265" i="60"/>
  <c r="V264" i="60"/>
  <c r="C264" i="60"/>
  <c r="D264" i="60" s="1"/>
  <c r="G264" i="60" s="1"/>
  <c r="A264" i="60"/>
  <c r="V263" i="60"/>
  <c r="M263" i="60"/>
  <c r="M270" i="60" s="1"/>
  <c r="C263" i="60"/>
  <c r="D263" i="60" s="1"/>
  <c r="A263" i="60"/>
  <c r="V255" i="60"/>
  <c r="L243" i="60" s="1"/>
  <c r="V254" i="60"/>
  <c r="L242" i="60" s="1"/>
  <c r="V253" i="60"/>
  <c r="L241" i="60" s="1"/>
  <c r="V252" i="60"/>
  <c r="L240" i="60" s="1"/>
  <c r="V251" i="60"/>
  <c r="L239" i="60" s="1"/>
  <c r="V250" i="60"/>
  <c r="L238" i="60" s="1"/>
  <c r="W249" i="60"/>
  <c r="V247" i="60"/>
  <c r="V246" i="60"/>
  <c r="V245" i="60"/>
  <c r="O245" i="60"/>
  <c r="N245" i="60"/>
  <c r="E245" i="60"/>
  <c r="V244" i="60"/>
  <c r="A244" i="60"/>
  <c r="V243" i="60"/>
  <c r="P243" i="60"/>
  <c r="M243" i="60"/>
  <c r="D243" i="60"/>
  <c r="G243" i="60" s="1"/>
  <c r="A243" i="60"/>
  <c r="V242" i="60"/>
  <c r="P242" i="60"/>
  <c r="C242" i="60"/>
  <c r="D242" i="60" s="1"/>
  <c r="G242" i="60" s="1"/>
  <c r="A242" i="60"/>
  <c r="V241" i="60"/>
  <c r="P241" i="60"/>
  <c r="M241" i="60"/>
  <c r="C241" i="60"/>
  <c r="D241" i="60" s="1"/>
  <c r="G241" i="60" s="1"/>
  <c r="A241" i="60"/>
  <c r="V240" i="60"/>
  <c r="P240" i="60"/>
  <c r="C240" i="60"/>
  <c r="D240" i="60" s="1"/>
  <c r="G240" i="60" s="1"/>
  <c r="A240" i="60"/>
  <c r="V239" i="60"/>
  <c r="P239" i="60"/>
  <c r="C239" i="60"/>
  <c r="D239" i="60" s="1"/>
  <c r="G239" i="60" s="1"/>
  <c r="A239" i="60"/>
  <c r="V238" i="60"/>
  <c r="P238" i="60"/>
  <c r="M238" i="60"/>
  <c r="M245" i="60" s="1"/>
  <c r="C238" i="60"/>
  <c r="D238" i="60" s="1"/>
  <c r="A238" i="60"/>
  <c r="V231" i="60"/>
  <c r="V230" i="60"/>
  <c r="V229" i="60"/>
  <c r="V228" i="60"/>
  <c r="V227" i="60"/>
  <c r="V226" i="60"/>
  <c r="V225" i="60"/>
  <c r="V224" i="60"/>
  <c r="W223" i="60"/>
  <c r="V221" i="60"/>
  <c r="V220" i="60"/>
  <c r="V219" i="60"/>
  <c r="O219" i="60"/>
  <c r="L219" i="60"/>
  <c r="E219" i="60"/>
  <c r="V218" i="60"/>
  <c r="A218" i="60"/>
  <c r="V217" i="60"/>
  <c r="C217" i="60"/>
  <c r="D217" i="60" s="1"/>
  <c r="G217" i="60" s="1"/>
  <c r="A217" i="60"/>
  <c r="V216" i="60"/>
  <c r="C216" i="60"/>
  <c r="D216" i="60" s="1"/>
  <c r="G216" i="60" s="1"/>
  <c r="A216" i="60"/>
  <c r="V215" i="60"/>
  <c r="C215" i="60"/>
  <c r="D215" i="60" s="1"/>
  <c r="G215" i="60" s="1"/>
  <c r="A215" i="60"/>
  <c r="V214" i="60"/>
  <c r="C214" i="60"/>
  <c r="D214" i="60" s="1"/>
  <c r="G214" i="60" s="1"/>
  <c r="A214" i="60"/>
  <c r="V213" i="60"/>
  <c r="M213" i="60"/>
  <c r="M219" i="60" s="1"/>
  <c r="C213" i="60"/>
  <c r="D213" i="60" s="1"/>
  <c r="G213" i="60" s="1"/>
  <c r="A213" i="60"/>
  <c r="V212" i="60"/>
  <c r="C212" i="60"/>
  <c r="D212" i="60" s="1"/>
  <c r="A212" i="60"/>
  <c r="V204" i="60"/>
  <c r="V203" i="60"/>
  <c r="V202" i="60"/>
  <c r="V201" i="60"/>
  <c r="V200" i="60"/>
  <c r="V199" i="60"/>
  <c r="V198" i="60"/>
  <c r="V197" i="60"/>
  <c r="W196" i="60"/>
  <c r="V194" i="60"/>
  <c r="V193" i="60"/>
  <c r="V192" i="60"/>
  <c r="V191" i="60"/>
  <c r="O191" i="60"/>
  <c r="L191" i="60"/>
  <c r="E191" i="60"/>
  <c r="H185" i="60" s="1"/>
  <c r="V190" i="60"/>
  <c r="A190" i="60"/>
  <c r="V189" i="60"/>
  <c r="H189" i="60"/>
  <c r="C189" i="60"/>
  <c r="D189" i="60" s="1"/>
  <c r="G189" i="60" s="1"/>
  <c r="A189" i="60"/>
  <c r="V188" i="60"/>
  <c r="H188" i="60"/>
  <c r="C188" i="60"/>
  <c r="D188" i="60" s="1"/>
  <c r="G188" i="60" s="1"/>
  <c r="A188" i="60"/>
  <c r="V187" i="60"/>
  <c r="H187" i="60"/>
  <c r="C187" i="60"/>
  <c r="D187" i="60" s="1"/>
  <c r="G187" i="60" s="1"/>
  <c r="A187" i="60"/>
  <c r="V186" i="60"/>
  <c r="C186" i="60"/>
  <c r="D186" i="60" s="1"/>
  <c r="G186" i="60" s="1"/>
  <c r="A186" i="60"/>
  <c r="V185" i="60"/>
  <c r="M185" i="60"/>
  <c r="M191" i="60" s="1"/>
  <c r="C185" i="60"/>
  <c r="D185" i="60" s="1"/>
  <c r="A185" i="60"/>
  <c r="V178" i="60"/>
  <c r="V177" i="60"/>
  <c r="V176" i="60"/>
  <c r="V175" i="60"/>
  <c r="V174" i="60"/>
  <c r="V173" i="60"/>
  <c r="V172" i="60"/>
  <c r="V171" i="60"/>
  <c r="W170" i="60"/>
  <c r="V168" i="60"/>
  <c r="V167" i="60"/>
  <c r="V166" i="60"/>
  <c r="V165" i="60"/>
  <c r="V164" i="60"/>
  <c r="V163" i="60"/>
  <c r="O163" i="60"/>
  <c r="L163" i="60"/>
  <c r="E163" i="60"/>
  <c r="V162" i="60"/>
  <c r="C162" i="60"/>
  <c r="A162" i="60"/>
  <c r="V161" i="60"/>
  <c r="M161" i="60"/>
  <c r="C161" i="60"/>
  <c r="D161" i="60" s="1"/>
  <c r="G161" i="60" s="1"/>
  <c r="A161" i="60"/>
  <c r="V160" i="60"/>
  <c r="M160" i="60"/>
  <c r="C160" i="60"/>
  <c r="D160" i="60" s="1"/>
  <c r="G160" i="60" s="1"/>
  <c r="A160" i="60"/>
  <c r="V159" i="60"/>
  <c r="C159" i="60"/>
  <c r="D159" i="60" s="1"/>
  <c r="G159" i="60" s="1"/>
  <c r="A159" i="60"/>
  <c r="V158" i="60"/>
  <c r="M158" i="60"/>
  <c r="M163" i="60" s="1"/>
  <c r="C158" i="60"/>
  <c r="D158" i="60" s="1"/>
  <c r="A158" i="60"/>
  <c r="V152" i="60"/>
  <c r="V151" i="60"/>
  <c r="V150" i="60"/>
  <c r="V149" i="60"/>
  <c r="V148" i="60"/>
  <c r="V147" i="60"/>
  <c r="W146" i="60"/>
  <c r="V144" i="60"/>
  <c r="V143" i="60"/>
  <c r="V142" i="60"/>
  <c r="V141" i="60"/>
  <c r="V140" i="60"/>
  <c r="V139" i="60"/>
  <c r="O139" i="60"/>
  <c r="L139" i="60"/>
  <c r="V138" i="60"/>
  <c r="M138" i="60"/>
  <c r="D138" i="60"/>
  <c r="G138" i="60" s="1"/>
  <c r="A138" i="60"/>
  <c r="V137" i="60"/>
  <c r="C137" i="60"/>
  <c r="D137" i="60" s="1"/>
  <c r="G137" i="60" s="1"/>
  <c r="A137" i="60"/>
  <c r="V136" i="60"/>
  <c r="C136" i="60"/>
  <c r="D136" i="60" s="1"/>
  <c r="G136" i="60" s="1"/>
  <c r="A136" i="60"/>
  <c r="V135" i="60"/>
  <c r="M135" i="60"/>
  <c r="M139" i="60" s="1"/>
  <c r="C135" i="60"/>
  <c r="D135" i="60" s="1"/>
  <c r="A135" i="60"/>
  <c r="V128" i="60"/>
  <c r="V127" i="60"/>
  <c r="V126" i="60"/>
  <c r="V125" i="60"/>
  <c r="V124" i="60"/>
  <c r="V123" i="60"/>
  <c r="V122" i="60"/>
  <c r="W121" i="60"/>
  <c r="V119" i="60"/>
  <c r="V118" i="60"/>
  <c r="V117" i="60"/>
  <c r="V116" i="60"/>
  <c r="V115" i="60"/>
  <c r="V114" i="60"/>
  <c r="V113" i="60"/>
  <c r="V112" i="60"/>
  <c r="O112" i="60"/>
  <c r="L112" i="60"/>
  <c r="V111" i="60"/>
  <c r="A111" i="60"/>
  <c r="V110" i="60"/>
  <c r="M110" i="60"/>
  <c r="C110" i="60"/>
  <c r="D110" i="60" s="1"/>
  <c r="G110" i="60" s="1"/>
  <c r="A110" i="60"/>
  <c r="V109" i="60"/>
  <c r="C109" i="60"/>
  <c r="D109" i="60" s="1"/>
  <c r="G109" i="60" s="1"/>
  <c r="A109" i="60"/>
  <c r="V108" i="60"/>
  <c r="C108" i="60"/>
  <c r="D108" i="60" s="1"/>
  <c r="G108" i="60" s="1"/>
  <c r="A108" i="60"/>
  <c r="V107" i="60"/>
  <c r="M107" i="60"/>
  <c r="M112" i="60" s="1"/>
  <c r="C107" i="60"/>
  <c r="D107" i="60" s="1"/>
  <c r="A107" i="60"/>
  <c r="V100" i="60"/>
  <c r="V99" i="60"/>
  <c r="V98" i="60"/>
  <c r="V97" i="60"/>
  <c r="V96" i="60"/>
  <c r="W95" i="60"/>
  <c r="V93" i="60"/>
  <c r="V92" i="60"/>
  <c r="V91" i="60"/>
  <c r="V90" i="60"/>
  <c r="O90" i="60"/>
  <c r="L90" i="60"/>
  <c r="E90" i="60"/>
  <c r="V89" i="60"/>
  <c r="A89" i="60"/>
  <c r="V88" i="60"/>
  <c r="C88" i="60"/>
  <c r="D88" i="60" s="1"/>
  <c r="G88" i="60" s="1"/>
  <c r="A88" i="60"/>
  <c r="V87" i="60"/>
  <c r="M87" i="60"/>
  <c r="M90" i="60" s="1"/>
  <c r="C87" i="60"/>
  <c r="D87" i="60" s="1"/>
  <c r="A87" i="60"/>
  <c r="V81" i="60"/>
  <c r="V80" i="60"/>
  <c r="V79" i="60"/>
  <c r="V78" i="60"/>
  <c r="W77" i="60"/>
  <c r="V75" i="60"/>
  <c r="V74" i="60"/>
  <c r="V73" i="60"/>
  <c r="V72" i="60"/>
  <c r="O72" i="60"/>
  <c r="V71" i="60"/>
  <c r="V69" i="60"/>
  <c r="V68" i="60"/>
  <c r="M72" i="60"/>
  <c r="A68" i="60"/>
  <c r="A69" i="60" s="1"/>
  <c r="V62" i="60"/>
  <c r="V61" i="60"/>
  <c r="V60" i="60"/>
  <c r="V59" i="60"/>
  <c r="L49" i="60" s="1"/>
  <c r="V58" i="60"/>
  <c r="V57" i="60"/>
  <c r="W56" i="60"/>
  <c r="V54" i="60"/>
  <c r="V53" i="60"/>
  <c r="V52" i="60"/>
  <c r="V51" i="60"/>
  <c r="O52" i="60"/>
  <c r="M52" i="60"/>
  <c r="E52" i="60"/>
  <c r="V50" i="60"/>
  <c r="A51" i="60"/>
  <c r="V49" i="60"/>
  <c r="V48" i="60"/>
  <c r="V47" i="60"/>
  <c r="W38" i="60"/>
  <c r="O32" i="60"/>
  <c r="M32" i="60"/>
  <c r="L32" i="60"/>
  <c r="I32" i="60"/>
  <c r="G32" i="60"/>
  <c r="E32" i="60"/>
  <c r="D32" i="60"/>
  <c r="A31" i="60"/>
  <c r="W17" i="60"/>
  <c r="O11" i="60"/>
  <c r="M11" i="60"/>
  <c r="L11" i="60"/>
  <c r="I11" i="60"/>
  <c r="G11" i="60"/>
  <c r="D11" i="60"/>
  <c r="P10" i="60"/>
  <c r="A10" i="60"/>
  <c r="A31" i="58"/>
  <c r="I13" i="58"/>
  <c r="C8" i="58"/>
  <c r="A31" i="57"/>
  <c r="L13" i="57"/>
  <c r="K13" i="57"/>
  <c r="I7" i="57"/>
  <c r="A27" i="56"/>
  <c r="A12" i="56"/>
  <c r="D7" i="56"/>
  <c r="C7" i="56"/>
  <c r="D5" i="56"/>
  <c r="A56" i="55"/>
  <c r="F55" i="55"/>
  <c r="E56" i="55" s="1"/>
  <c r="E55" i="55"/>
  <c r="A55" i="55"/>
  <c r="B54" i="55"/>
  <c r="A54" i="55" s="1"/>
  <c r="I53" i="55" a="1"/>
  <c r="I53" i="55" s="1"/>
  <c r="G53" i="55" a="1"/>
  <c r="G53" i="55" s="1"/>
  <c r="I52" i="55" a="1"/>
  <c r="I52" i="55" s="1"/>
  <c r="G52" i="55" a="1"/>
  <c r="G52" i="55" s="1"/>
  <c r="I51" i="55" a="1"/>
  <c r="I51" i="55" s="1"/>
  <c r="G51" i="55" a="1"/>
  <c r="G51" i="55" s="1"/>
  <c r="I50" i="55" a="1"/>
  <c r="I50" i="55" s="1"/>
  <c r="G50" i="55" a="1"/>
  <c r="G50" i="55" s="1"/>
  <c r="I49" i="55" a="1"/>
  <c r="I49" i="55" s="1"/>
  <c r="G49" i="55" a="1"/>
  <c r="G49" i="55" s="1"/>
  <c r="I48" i="55" a="1"/>
  <c r="I48" i="55" s="1"/>
  <c r="G48" i="55" a="1"/>
  <c r="G48" i="55" s="1"/>
  <c r="I47" i="55" a="1"/>
  <c r="I47" i="55" s="1"/>
  <c r="I46" i="55" a="1"/>
  <c r="I46" i="55" s="1"/>
  <c r="B46" i="55"/>
  <c r="B47" i="55" s="1"/>
  <c r="F44" i="55"/>
  <c r="E45" i="55" s="1"/>
  <c r="A44" i="55"/>
  <c r="B43" i="55"/>
  <c r="A43" i="55" s="1"/>
  <c r="I42" i="55" a="1"/>
  <c r="I42" i="55" s="1"/>
  <c r="B42" i="55"/>
  <c r="A42" i="55" s="1"/>
  <c r="I41" i="55" a="1"/>
  <c r="I41" i="55" s="1"/>
  <c r="B41" i="55"/>
  <c r="A41" i="55" s="1"/>
  <c r="I40" i="55" a="1"/>
  <c r="I40" i="55" s="1"/>
  <c r="B40" i="55"/>
  <c r="A40" i="55" s="1"/>
  <c r="I39" i="55" a="1"/>
  <c r="I39" i="55" s="1"/>
  <c r="I38" i="55" a="1"/>
  <c r="I38" i="55" s="1"/>
  <c r="G38" i="55" a="1"/>
  <c r="G38" i="55" s="1"/>
  <c r="G44" i="55" s="1"/>
  <c r="B38" i="55"/>
  <c r="A38" i="55" s="1"/>
  <c r="F36" i="55"/>
  <c r="E37" i="55" s="1"/>
  <c r="I34" i="55" a="1"/>
  <c r="I34" i="55" s="1"/>
  <c r="G34" i="55" a="1"/>
  <c r="G34" i="55" s="1"/>
  <c r="I33" i="55" a="1"/>
  <c r="I33" i="55" s="1"/>
  <c r="G33" i="55" a="1"/>
  <c r="G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24" i="55" a="1"/>
  <c r="I24" i="55" s="1"/>
  <c r="G24" i="55" a="1"/>
  <c r="G24"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L13" i="54"/>
  <c r="L18" i="54" s="1"/>
  <c r="A25" i="52"/>
  <c r="N16" i="52"/>
  <c r="M16" i="52"/>
  <c r="L16" i="52"/>
  <c r="K16" i="52"/>
  <c r="J9" i="52"/>
  <c r="A8" i="52"/>
  <c r="H34" i="45"/>
  <c r="F34"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51" i="63"/>
  <c r="O16" i="63"/>
  <c r="N16" i="63"/>
  <c r="M16" i="63"/>
  <c r="L16" i="63"/>
  <c r="F17" i="62"/>
  <c r="E17" i="62"/>
  <c r="D17" i="62"/>
  <c r="C17" i="62"/>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A6" i="42"/>
  <c r="M24" i="39"/>
  <c r="H24" i="39"/>
  <c r="M17" i="39"/>
  <c r="H17" i="39"/>
  <c r="C11" i="39"/>
  <c r="M9" i="39"/>
  <c r="M7" i="39"/>
  <c r="L7" i="39"/>
  <c r="L6" i="39"/>
  <c r="H4" i="39"/>
  <c r="L3" i="39"/>
  <c r="L2" i="39"/>
  <c r="L1" i="39"/>
  <c r="I14" i="47"/>
  <c r="H14" i="47"/>
  <c r="E8" i="47"/>
  <c r="AZ59" i="51"/>
  <c r="A51" i="51" a="1"/>
  <c r="A51" i="51" s="1"/>
  <c r="I51" i="51" s="1"/>
  <c r="A39" i="51" a="1"/>
  <c r="A39" i="51" s="1"/>
  <c r="I39" i="51" s="1"/>
  <c r="A38" i="51" a="1"/>
  <c r="A38" i="51" s="1"/>
  <c r="I38" i="51" s="1"/>
  <c r="A37" i="51" a="1"/>
  <c r="A37" i="51" s="1"/>
  <c r="I37" i="51" s="1"/>
  <c r="A36" i="51" a="1"/>
  <c r="A36" i="51" s="1"/>
  <c r="I36" i="51" s="1"/>
  <c r="A35" i="51" a="1"/>
  <c r="A35" i="51" s="1"/>
  <c r="I35" i="51" s="1"/>
  <c r="A34" i="51" a="1"/>
  <c r="A34" i="51" s="1"/>
  <c r="I34" i="51" s="1"/>
  <c r="A33" i="51" a="1"/>
  <c r="A33" i="51" s="1"/>
  <c r="I33" i="51" s="1"/>
  <c r="A32" i="51" a="1"/>
  <c r="A32" i="51" s="1"/>
  <c r="I32" i="51" s="1"/>
  <c r="A31" i="51" a="1"/>
  <c r="A31" i="51" s="1"/>
  <c r="I31" i="51" s="1"/>
  <c r="A30" i="51" a="1"/>
  <c r="A30" i="51" s="1"/>
  <c r="I30" i="51" s="1"/>
  <c r="A29" i="51" a="1"/>
  <c r="A29" i="51" s="1"/>
  <c r="I29" i="51" s="1"/>
  <c r="A28" i="51" a="1"/>
  <c r="A28" i="51" s="1"/>
  <c r="I28" i="51" s="1"/>
  <c r="A27" i="51" a="1"/>
  <c r="A27" i="51" s="1"/>
  <c r="I27" i="51" s="1"/>
  <c r="A26" i="51" a="1"/>
  <c r="A26" i="51" s="1"/>
  <c r="I26" i="51" s="1"/>
  <c r="A25" i="51" a="1"/>
  <c r="A25" i="51" s="1"/>
  <c r="I25" i="51" s="1"/>
  <c r="A24" i="51" a="1"/>
  <c r="A24" i="51" s="1"/>
  <c r="I24" i="51" s="1"/>
  <c r="A23" i="51" a="1"/>
  <c r="A23" i="51" s="1"/>
  <c r="I23" i="51" s="1"/>
  <c r="A22" i="51" a="1"/>
  <c r="A22" i="51" s="1"/>
  <c r="I22" i="51" s="1"/>
  <c r="A21" i="51" a="1"/>
  <c r="A21" i="51" s="1"/>
  <c r="I21" i="51" s="1"/>
  <c r="A20" i="51" a="1"/>
  <c r="A20" i="51" s="1"/>
  <c r="I20" i="51" s="1"/>
  <c r="A19" i="51" a="1"/>
  <c r="A19" i="51" s="1"/>
  <c r="I19" i="51" s="1"/>
  <c r="A18" i="51" a="1"/>
  <c r="A18" i="51" s="1"/>
  <c r="I18" i="51" s="1"/>
  <c r="A17" i="51" a="1"/>
  <c r="A17" i="51" s="1"/>
  <c r="I17" i="51" s="1"/>
  <c r="A16" i="51" a="1"/>
  <c r="A16" i="51" s="1"/>
  <c r="I16" i="51" s="1"/>
  <c r="A15" i="51" a="1"/>
  <c r="A15" i="51" s="1"/>
  <c r="I15" i="51" s="1"/>
  <c r="A14" i="51" a="1"/>
  <c r="A14" i="51" s="1"/>
  <c r="I14" i="51" s="1"/>
  <c r="A13" i="51" a="1"/>
  <c r="A13" i="51" s="1"/>
  <c r="I13" i="51" s="1"/>
  <c r="A12" i="51" a="1"/>
  <c r="A12" i="51" s="1"/>
  <c r="I12" i="51" s="1"/>
  <c r="AZ59" i="50"/>
  <c r="A51" i="50" a="1"/>
  <c r="A51" i="50" s="1"/>
  <c r="I51" i="50" s="1"/>
  <c r="A39" i="50" a="1"/>
  <c r="A39" i="50" s="1"/>
  <c r="I39" i="50" s="1"/>
  <c r="A38" i="50" a="1"/>
  <c r="A38" i="50" s="1"/>
  <c r="I38" i="50" s="1"/>
  <c r="A37" i="50" a="1"/>
  <c r="A37" i="50" s="1"/>
  <c r="I37" i="50" s="1"/>
  <c r="A36" i="50" a="1"/>
  <c r="A36" i="50" s="1"/>
  <c r="I36" i="50" s="1"/>
  <c r="A35" i="50" a="1"/>
  <c r="A35" i="50" s="1"/>
  <c r="I35" i="50" s="1"/>
  <c r="A34" i="50" a="1"/>
  <c r="A34" i="50" s="1"/>
  <c r="I34" i="50" s="1"/>
  <c r="A33" i="50" a="1"/>
  <c r="A33" i="50" s="1"/>
  <c r="I33" i="50" s="1"/>
  <c r="A32" i="50" a="1"/>
  <c r="A32" i="50" s="1"/>
  <c r="I32" i="50" s="1"/>
  <c r="A31" i="50" a="1"/>
  <c r="A31" i="50" s="1"/>
  <c r="I31" i="50" s="1"/>
  <c r="A30" i="50" a="1"/>
  <c r="A30" i="50" s="1"/>
  <c r="I30" i="50" s="1"/>
  <c r="A29" i="50" a="1"/>
  <c r="A29" i="50" s="1"/>
  <c r="I29" i="50" s="1"/>
  <c r="A28" i="50" a="1"/>
  <c r="A28" i="50" s="1"/>
  <c r="I28" i="50" s="1"/>
  <c r="A27" i="50" a="1"/>
  <c r="A27" i="50" s="1"/>
  <c r="I27" i="50" s="1"/>
  <c r="A26" i="50" a="1"/>
  <c r="A26" i="50" s="1"/>
  <c r="I26" i="50" s="1"/>
  <c r="A25" i="50" a="1"/>
  <c r="A25" i="50" s="1"/>
  <c r="I25" i="50" s="1"/>
  <c r="A24" i="50" a="1"/>
  <c r="A24" i="50" s="1"/>
  <c r="I24" i="50" s="1"/>
  <c r="A23" i="50" a="1"/>
  <c r="A23" i="50" s="1"/>
  <c r="I23" i="50" s="1"/>
  <c r="A22" i="50" a="1"/>
  <c r="A22" i="50" s="1"/>
  <c r="I22" i="50" s="1"/>
  <c r="A21" i="50" a="1"/>
  <c r="A21" i="50" s="1"/>
  <c r="I21" i="50" s="1"/>
  <c r="A20" i="50" a="1"/>
  <c r="A20" i="50" s="1"/>
  <c r="I20" i="50" s="1"/>
  <c r="A19" i="50" a="1"/>
  <c r="A19" i="50" s="1"/>
  <c r="I19" i="50" s="1"/>
  <c r="A18" i="50" a="1"/>
  <c r="A18" i="50" s="1"/>
  <c r="I18" i="50" s="1"/>
  <c r="A17" i="50" a="1"/>
  <c r="A17" i="50" s="1"/>
  <c r="I17" i="50" s="1"/>
  <c r="A16" i="50" a="1"/>
  <c r="A16" i="50" s="1"/>
  <c r="I16" i="50" s="1"/>
  <c r="A15" i="50" a="1"/>
  <c r="A15" i="50" s="1"/>
  <c r="I15" i="50" s="1"/>
  <c r="A14" i="50" a="1"/>
  <c r="A14" i="50" s="1"/>
  <c r="I14" i="50" s="1"/>
  <c r="A13" i="50" a="1"/>
  <c r="A13" i="50" s="1"/>
  <c r="I13" i="50" s="1"/>
  <c r="A12" i="50" a="1"/>
  <c r="A12" i="50" s="1"/>
  <c r="I12" i="50" s="1"/>
  <c r="AZ59" i="49"/>
  <c r="A51" i="49" a="1"/>
  <c r="A51" i="49" s="1"/>
  <c r="I51" i="49" s="1"/>
  <c r="A39" i="49" a="1"/>
  <c r="A39" i="49" s="1"/>
  <c r="I39" i="49" s="1"/>
  <c r="A38" i="49" a="1"/>
  <c r="A38" i="49" s="1"/>
  <c r="I38" i="49" s="1"/>
  <c r="A37" i="49" a="1"/>
  <c r="A37" i="49" s="1"/>
  <c r="I37" i="49" s="1"/>
  <c r="A36" i="49" a="1"/>
  <c r="A36" i="49" s="1"/>
  <c r="I36" i="49" s="1"/>
  <c r="A35" i="49" a="1"/>
  <c r="A35" i="49" s="1"/>
  <c r="I35" i="49" s="1"/>
  <c r="A34" i="49" a="1"/>
  <c r="A34" i="49" s="1"/>
  <c r="I34" i="49" s="1"/>
  <c r="A33" i="49" a="1"/>
  <c r="A33" i="49" s="1"/>
  <c r="I33" i="49" s="1"/>
  <c r="A32" i="49" a="1"/>
  <c r="A32" i="49" s="1"/>
  <c r="I32" i="49" s="1"/>
  <c r="A31" i="49" a="1"/>
  <c r="A31" i="49" s="1"/>
  <c r="I31" i="49" s="1"/>
  <c r="A30" i="49" a="1"/>
  <c r="A30" i="49" s="1"/>
  <c r="I30" i="49" s="1"/>
  <c r="A29" i="49" a="1"/>
  <c r="A29" i="49" s="1"/>
  <c r="I29" i="49" s="1"/>
  <c r="A28" i="49" a="1"/>
  <c r="A28" i="49" s="1"/>
  <c r="I28" i="49" s="1"/>
  <c r="A27" i="49" a="1"/>
  <c r="A27" i="49" s="1"/>
  <c r="I27" i="49" s="1"/>
  <c r="A26" i="49" a="1"/>
  <c r="A26" i="49" s="1"/>
  <c r="I26" i="49" s="1"/>
  <c r="A25" i="49" a="1"/>
  <c r="A25" i="49" s="1"/>
  <c r="I25" i="49" s="1"/>
  <c r="A24" i="49" a="1"/>
  <c r="A24" i="49" s="1"/>
  <c r="I24" i="49" s="1"/>
  <c r="A23" i="49" a="1"/>
  <c r="A23" i="49" s="1"/>
  <c r="I23" i="49" s="1"/>
  <c r="A22" i="49" a="1"/>
  <c r="A22" i="49" s="1"/>
  <c r="I22" i="49" s="1"/>
  <c r="A21" i="49" a="1"/>
  <c r="A21" i="49" s="1"/>
  <c r="I21" i="49" s="1"/>
  <c r="A20" i="49" a="1"/>
  <c r="A20" i="49" s="1"/>
  <c r="I20" i="49" s="1"/>
  <c r="A19" i="49" a="1"/>
  <c r="A19" i="49" s="1"/>
  <c r="I19" i="49" s="1"/>
  <c r="A18" i="49" a="1"/>
  <c r="A18" i="49" s="1"/>
  <c r="I18" i="49" s="1"/>
  <c r="A17" i="49" a="1"/>
  <c r="A17" i="49" s="1"/>
  <c r="I17" i="49" s="1"/>
  <c r="A16" i="49" a="1"/>
  <c r="A16" i="49" s="1"/>
  <c r="I16" i="49" s="1"/>
  <c r="A15" i="49" a="1"/>
  <c r="A15" i="49" s="1"/>
  <c r="I15" i="49" s="1"/>
  <c r="A14" i="49" a="1"/>
  <c r="A14" i="49" s="1"/>
  <c r="I14" i="49" s="1"/>
  <c r="A13" i="49" a="1"/>
  <c r="A13" i="49" s="1"/>
  <c r="I13" i="49" s="1"/>
  <c r="A12" i="49" a="1"/>
  <c r="A12" i="49" s="1"/>
  <c r="I12" i="49" s="1"/>
  <c r="M2" i="49"/>
  <c r="M1" i="49"/>
  <c r="AZ59" i="48"/>
  <c r="A52" i="48" a="1"/>
  <c r="A52" i="48" s="1"/>
  <c r="A51" i="48" a="1"/>
  <c r="A51" i="48" s="1"/>
  <c r="I51" i="48" s="1"/>
  <c r="D50" i="48"/>
  <c r="D49" i="48"/>
  <c r="D48" i="48"/>
  <c r="D47" i="48"/>
  <c r="D46" i="48"/>
  <c r="D45" i="48"/>
  <c r="M335" i="34"/>
  <c r="M334" i="34"/>
  <c r="M246" i="34"/>
  <c r="M216" i="34"/>
  <c r="M333" i="34"/>
  <c r="M332" i="34"/>
  <c r="M323" i="34"/>
  <c r="M309" i="34"/>
  <c r="M306" i="34"/>
  <c r="M302" i="34"/>
  <c r="M301" i="34"/>
  <c r="M263" i="34"/>
  <c r="M252" i="34"/>
  <c r="M251" i="34"/>
  <c r="M236" i="34"/>
  <c r="M235" i="34"/>
  <c r="M234" i="34"/>
  <c r="M233" i="34"/>
  <c r="M242" i="34"/>
  <c r="M329" i="34"/>
  <c r="M319" i="34"/>
  <c r="M308" i="34"/>
  <c r="M304" i="34"/>
  <c r="M262" i="34"/>
  <c r="M86" i="34"/>
  <c r="C86" i="34"/>
  <c r="AD86" i="34" s="1"/>
  <c r="M85" i="34"/>
  <c r="C85" i="34"/>
  <c r="AD85" i="34" s="1"/>
  <c r="M84" i="34"/>
  <c r="C84" i="34"/>
  <c r="AD84" i="34" s="1"/>
  <c r="M83" i="34"/>
  <c r="C83" i="34"/>
  <c r="AD83" i="34" s="1"/>
  <c r="M82" i="34"/>
  <c r="C82" i="34"/>
  <c r="AD82" i="34" s="1"/>
  <c r="M81" i="34"/>
  <c r="C81" i="34"/>
  <c r="AD81" i="34" s="1"/>
  <c r="M80" i="34"/>
  <c r="C80" i="34"/>
  <c r="AD80" i="34" s="1"/>
  <c r="M171" i="34"/>
  <c r="C171" i="34"/>
  <c r="AD171" i="34" s="1"/>
  <c r="M170" i="34"/>
  <c r="C170" i="34"/>
  <c r="AD170" i="34" s="1"/>
  <c r="M169" i="34"/>
  <c r="C169" i="34"/>
  <c r="AD169" i="34" s="1"/>
  <c r="M168" i="34"/>
  <c r="C168" i="34"/>
  <c r="AD168" i="34" s="1"/>
  <c r="M167" i="34"/>
  <c r="C167" i="34"/>
  <c r="AD167" i="34" s="1"/>
  <c r="M166" i="34"/>
  <c r="C166" i="34"/>
  <c r="AD166" i="34" s="1"/>
  <c r="M121" i="34"/>
  <c r="C121" i="34"/>
  <c r="AD121" i="34" s="1"/>
  <c r="M120" i="34"/>
  <c r="C120" i="34"/>
  <c r="AD120" i="34" s="1"/>
  <c r="M118" i="34"/>
  <c r="C118" i="34"/>
  <c r="AD118" i="34" s="1"/>
  <c r="M117" i="34"/>
  <c r="C117" i="34"/>
  <c r="AD117" i="34" s="1"/>
  <c r="M116" i="34"/>
  <c r="C116" i="34"/>
  <c r="AD116" i="34" s="1"/>
  <c r="C115" i="34"/>
  <c r="AD115" i="34" s="1"/>
  <c r="M114" i="34"/>
  <c r="C114" i="34"/>
  <c r="AD114" i="34" s="1"/>
  <c r="M113" i="34"/>
  <c r="C113" i="34"/>
  <c r="AD113" i="34" s="1"/>
  <c r="M112" i="34"/>
  <c r="C112" i="34"/>
  <c r="AD112" i="34" s="1"/>
  <c r="M111" i="34"/>
  <c r="C111" i="34"/>
  <c r="AD111" i="34" s="1"/>
  <c r="M110" i="34"/>
  <c r="C110" i="34"/>
  <c r="AD110" i="34" s="1"/>
  <c r="M109" i="34"/>
  <c r="C109" i="34"/>
  <c r="AD109" i="34" s="1"/>
  <c r="C108" i="34"/>
  <c r="AD108" i="34" s="1"/>
  <c r="C107" i="34"/>
  <c r="AD107" i="34" s="1"/>
  <c r="C106" i="34"/>
  <c r="AD106" i="34" s="1"/>
  <c r="C105" i="34"/>
  <c r="AD105" i="34" s="1"/>
  <c r="C104" i="34"/>
  <c r="AD104" i="34" s="1"/>
  <c r="C103" i="34"/>
  <c r="AD103" i="34" s="1"/>
  <c r="C102" i="34"/>
  <c r="AD102" i="34" s="1"/>
  <c r="C101" i="34"/>
  <c r="AD101" i="34" s="1"/>
  <c r="C100" i="34"/>
  <c r="AD100" i="34" s="1"/>
  <c r="C99" i="34"/>
  <c r="AD99" i="34" s="1"/>
  <c r="C98" i="34"/>
  <c r="AD98" i="34" s="1"/>
  <c r="C97" i="34"/>
  <c r="AD97" i="34" s="1"/>
  <c r="C96" i="34"/>
  <c r="AD96" i="34" s="1"/>
  <c r="C95" i="34"/>
  <c r="AD95" i="34" s="1"/>
  <c r="C94" i="34"/>
  <c r="AD94" i="34" s="1"/>
  <c r="C93" i="34"/>
  <c r="AD93" i="34" s="1"/>
  <c r="M331" i="34"/>
  <c r="C331" i="34"/>
  <c r="AD331" i="34" s="1"/>
  <c r="M330" i="34"/>
  <c r="C330" i="34"/>
  <c r="AD330" i="34" s="1"/>
  <c r="M322" i="34"/>
  <c r="C322" i="34"/>
  <c r="AD322" i="34" s="1"/>
  <c r="M321" i="34"/>
  <c r="C321" i="34"/>
  <c r="AD321" i="34" s="1"/>
  <c r="M320" i="34"/>
  <c r="C320" i="34"/>
  <c r="AD320" i="34" s="1"/>
  <c r="E27" i="34"/>
  <c r="AA27" i="34" s="1"/>
  <c r="E26" i="34"/>
  <c r="AA26" i="34" s="1"/>
  <c r="E25" i="34"/>
  <c r="AA25" i="34" s="1"/>
  <c r="E77" i="34"/>
  <c r="AA77" i="34" s="1"/>
  <c r="B21" i="34"/>
  <c r="B15" i="34"/>
  <c r="A15" i="34" s="1"/>
  <c r="B14" i="34"/>
  <c r="A14" i="34" s="1"/>
  <c r="B13" i="34"/>
  <c r="A13" i="34" s="1"/>
  <c r="B12" i="34"/>
  <c r="A12" i="34" s="1"/>
  <c r="AC11" i="34"/>
  <c r="AB11" i="34"/>
  <c r="AA11" i="34"/>
  <c r="Y11" i="34"/>
  <c r="W11" i="34"/>
  <c r="P11" i="34"/>
  <c r="B11" i="34"/>
  <c r="A11" i="34" s="1"/>
  <c r="AC10" i="34"/>
  <c r="AB10" i="34"/>
  <c r="AA10" i="34"/>
  <c r="Y10" i="34"/>
  <c r="W10" i="34"/>
  <c r="P10" i="34"/>
  <c r="B10" i="34"/>
  <c r="A10" i="34" s="1"/>
  <c r="X7" i="34"/>
  <c r="D53" i="15"/>
  <c r="C53" i="15"/>
  <c r="C12" i="61"/>
  <c r="H12" i="61"/>
  <c r="A21" i="34" l="1"/>
  <c r="Q21" i="34"/>
  <c r="R21" i="34"/>
  <c r="S21" i="34"/>
  <c r="L71" i="60"/>
  <c r="L70" i="60"/>
  <c r="L69" i="60"/>
  <c r="L68" i="60"/>
  <c r="D72" i="15"/>
  <c r="D75" i="15" s="1"/>
  <c r="C72" i="15"/>
  <c r="C75" i="15" s="1"/>
  <c r="B21" i="14"/>
  <c r="D21" i="14"/>
  <c r="G21" i="14"/>
  <c r="A22" i="14"/>
  <c r="C22" i="14"/>
  <c r="E22" i="14"/>
  <c r="H22" i="14"/>
  <c r="B23" i="14"/>
  <c r="D23" i="14"/>
  <c r="G23" i="14"/>
  <c r="A24" i="14"/>
  <c r="C24" i="14"/>
  <c r="E24" i="14"/>
  <c r="H24" i="14"/>
  <c r="B25" i="14"/>
  <c r="D25" i="14"/>
  <c r="G25" i="14"/>
  <c r="A26" i="14"/>
  <c r="C26" i="14"/>
  <c r="E26" i="14"/>
  <c r="H26" i="14"/>
  <c r="A27" i="14"/>
  <c r="C27" i="14"/>
  <c r="E27" i="14"/>
  <c r="H27" i="14"/>
  <c r="A28" i="14"/>
  <c r="C28" i="14"/>
  <c r="E28" i="14"/>
  <c r="H28" i="14"/>
  <c r="A29" i="14"/>
  <c r="C29" i="14"/>
  <c r="E29" i="14"/>
  <c r="H29" i="14"/>
  <c r="B30" i="14"/>
  <c r="D30" i="14"/>
  <c r="G30" i="14"/>
  <c r="B31" i="14"/>
  <c r="D31" i="14"/>
  <c r="G31" i="14"/>
  <c r="B32" i="14"/>
  <c r="D32" i="14"/>
  <c r="G32" i="14"/>
  <c r="A33" i="14"/>
  <c r="C33" i="14"/>
  <c r="E33" i="14"/>
  <c r="H33" i="14"/>
  <c r="A21" i="14"/>
  <c r="C21" i="14"/>
  <c r="E21" i="14"/>
  <c r="H21" i="14"/>
  <c r="B22" i="14"/>
  <c r="D22" i="14"/>
  <c r="G22" i="14"/>
  <c r="A23" i="14"/>
  <c r="C23" i="14"/>
  <c r="E23" i="14"/>
  <c r="H23" i="14"/>
  <c r="B24" i="14"/>
  <c r="D24" i="14"/>
  <c r="G24" i="14"/>
  <c r="A25" i="14"/>
  <c r="C25" i="14"/>
  <c r="E25" i="14"/>
  <c r="H25" i="14"/>
  <c r="B26" i="14"/>
  <c r="D26" i="14"/>
  <c r="G26" i="14"/>
  <c r="B27" i="14"/>
  <c r="D27" i="14"/>
  <c r="G27" i="14"/>
  <c r="B28" i="14"/>
  <c r="D28" i="14"/>
  <c r="G28" i="14"/>
  <c r="B29" i="14"/>
  <c r="D29" i="14"/>
  <c r="G29" i="14"/>
  <c r="A30" i="14"/>
  <c r="C30" i="14"/>
  <c r="E30" i="14"/>
  <c r="H30" i="14"/>
  <c r="A31" i="14"/>
  <c r="C31" i="14"/>
  <c r="E31" i="14"/>
  <c r="H31" i="14"/>
  <c r="A32" i="14"/>
  <c r="C32" i="14"/>
  <c r="E32" i="14"/>
  <c r="H32" i="14"/>
  <c r="B33" i="14"/>
  <c r="D33" i="14"/>
  <c r="G33" i="14"/>
  <c r="A14" i="69"/>
  <c r="H14" i="69"/>
  <c r="A16" i="69"/>
  <c r="D17" i="69"/>
  <c r="H18" i="69"/>
  <c r="A20" i="69"/>
  <c r="D21" i="69"/>
  <c r="H22" i="69"/>
  <c r="A24" i="69"/>
  <c r="D25" i="69"/>
  <c r="H26" i="69"/>
  <c r="A28" i="69"/>
  <c r="D29" i="69"/>
  <c r="H30" i="69"/>
  <c r="A32" i="69"/>
  <c r="D33" i="69"/>
  <c r="H34" i="69"/>
  <c r="A36" i="69"/>
  <c r="D37" i="69"/>
  <c r="H38" i="69"/>
  <c r="A40" i="69"/>
  <c r="I14" i="69"/>
  <c r="B16" i="69"/>
  <c r="G17" i="69"/>
  <c r="I18" i="69"/>
  <c r="B20" i="69"/>
  <c r="G21" i="69"/>
  <c r="I22" i="69"/>
  <c r="B24" i="69"/>
  <c r="G25" i="69"/>
  <c r="I26" i="69"/>
  <c r="B28" i="69"/>
  <c r="G29" i="69"/>
  <c r="I30" i="69"/>
  <c r="B32" i="69"/>
  <c r="G33" i="69"/>
  <c r="I34" i="69"/>
  <c r="B36" i="69"/>
  <c r="G37" i="69"/>
  <c r="I38" i="69"/>
  <c r="B40" i="69"/>
  <c r="H40" i="69"/>
  <c r="A15" i="69"/>
  <c r="D16" i="69"/>
  <c r="H17" i="69"/>
  <c r="A19" i="69"/>
  <c r="D20" i="69"/>
  <c r="H21" i="69"/>
  <c r="A23" i="69"/>
  <c r="D24" i="69"/>
  <c r="H25" i="69"/>
  <c r="A27" i="69"/>
  <c r="D28" i="69"/>
  <c r="H29" i="69"/>
  <c r="A31" i="69"/>
  <c r="D32" i="69"/>
  <c r="H33" i="69"/>
  <c r="A35" i="69"/>
  <c r="D36" i="69"/>
  <c r="H37" i="69"/>
  <c r="A39" i="69"/>
  <c r="D40" i="69"/>
  <c r="B15" i="69"/>
  <c r="G16" i="69"/>
  <c r="I17" i="69"/>
  <c r="B19" i="69"/>
  <c r="G20" i="69"/>
  <c r="I21" i="69"/>
  <c r="B23" i="69"/>
  <c r="G24" i="69"/>
  <c r="I25" i="69"/>
  <c r="B27" i="69"/>
  <c r="G28" i="69"/>
  <c r="I29" i="69"/>
  <c r="B31" i="69"/>
  <c r="G32" i="69"/>
  <c r="I33" i="69"/>
  <c r="B35" i="69"/>
  <c r="G36" i="69"/>
  <c r="I37" i="69"/>
  <c r="B39" i="69"/>
  <c r="G40" i="69"/>
  <c r="D15" i="69"/>
  <c r="H16" i="69"/>
  <c r="A18" i="69"/>
  <c r="D19" i="69"/>
  <c r="H20" i="69"/>
  <c r="A22" i="69"/>
  <c r="D23" i="69"/>
  <c r="H24" i="69"/>
  <c r="A26" i="69"/>
  <c r="D27" i="69"/>
  <c r="H28" i="69"/>
  <c r="A30" i="69"/>
  <c r="D31" i="69"/>
  <c r="H32" i="69"/>
  <c r="A34" i="69"/>
  <c r="D35" i="69"/>
  <c r="H36" i="69"/>
  <c r="A38" i="69"/>
  <c r="D39" i="69"/>
  <c r="B14" i="69"/>
  <c r="G15" i="69"/>
  <c r="I16" i="69"/>
  <c r="B18" i="69"/>
  <c r="G19" i="69"/>
  <c r="I20" i="69"/>
  <c r="B22" i="69"/>
  <c r="G23" i="69"/>
  <c r="I24" i="69"/>
  <c r="B26" i="69"/>
  <c r="G27" i="69"/>
  <c r="I28" i="69"/>
  <c r="B30" i="69"/>
  <c r="G31" i="69"/>
  <c r="I32" i="69"/>
  <c r="B34" i="69"/>
  <c r="G35" i="69"/>
  <c r="I36" i="69"/>
  <c r="B38" i="69"/>
  <c r="G39" i="69"/>
  <c r="I40" i="69"/>
  <c r="D14" i="69"/>
  <c r="H15" i="69"/>
  <c r="A17" i="69"/>
  <c r="D18" i="69"/>
  <c r="H19" i="69"/>
  <c r="A21" i="69"/>
  <c r="D22" i="69"/>
  <c r="H23" i="69"/>
  <c r="A25" i="69"/>
  <c r="D26" i="69"/>
  <c r="H27" i="69"/>
  <c r="A29" i="69"/>
  <c r="D30" i="69"/>
  <c r="H31" i="69"/>
  <c r="A33" i="69"/>
  <c r="D34" i="69"/>
  <c r="H35" i="69"/>
  <c r="A37" i="69"/>
  <c r="D38" i="69"/>
  <c r="H39" i="69"/>
  <c r="G14" i="69"/>
  <c r="I15" i="69"/>
  <c r="B17" i="69"/>
  <c r="G18" i="69"/>
  <c r="I19" i="69"/>
  <c r="B21" i="69"/>
  <c r="G22" i="69"/>
  <c r="I23" i="69"/>
  <c r="B25" i="69"/>
  <c r="G26" i="69"/>
  <c r="I27" i="69"/>
  <c r="B29" i="69"/>
  <c r="G30" i="69"/>
  <c r="I31" i="69"/>
  <c r="B33" i="69"/>
  <c r="G34" i="69"/>
  <c r="I35" i="69"/>
  <c r="B37" i="69"/>
  <c r="G38" i="69"/>
  <c r="I39" i="69"/>
  <c r="F36" i="56"/>
  <c r="F29" i="56"/>
  <c r="A11" i="56"/>
  <c r="F30" i="56"/>
  <c r="G14" i="57"/>
  <c r="G16" i="57"/>
  <c r="A18" i="14"/>
  <c r="A34" i="14"/>
  <c r="A38" i="14"/>
  <c r="A17" i="14"/>
  <c r="A37" i="14"/>
  <c r="A16" i="14"/>
  <c r="A20" i="14"/>
  <c r="A36" i="14"/>
  <c r="A15" i="14"/>
  <c r="A19" i="14"/>
  <c r="A35" i="14"/>
  <c r="A14" i="14"/>
  <c r="G2" i="56"/>
  <c r="A10" i="56"/>
  <c r="H186" i="60"/>
  <c r="AA14" i="34"/>
  <c r="AA17" i="34"/>
  <c r="AA15" i="34"/>
  <c r="AA18" i="34"/>
  <c r="AA12" i="34"/>
  <c r="AA19" i="34"/>
  <c r="AA13" i="34"/>
  <c r="AA16" i="34"/>
  <c r="F15" i="56"/>
  <c r="H30" i="56"/>
  <c r="V274" i="60"/>
  <c r="I270" i="60" s="1"/>
  <c r="V121" i="60"/>
  <c r="I112" i="60" s="1"/>
  <c r="V77" i="60"/>
  <c r="I72" i="60" s="1"/>
  <c r="L245" i="60"/>
  <c r="V256" i="60"/>
  <c r="V196" i="60"/>
  <c r="I191" i="60" s="1"/>
  <c r="V170" i="60"/>
  <c r="I163" i="60" s="1"/>
  <c r="V249" i="60"/>
  <c r="I245" i="60" s="1"/>
  <c r="V95" i="60"/>
  <c r="I90" i="60" s="1"/>
  <c r="V223" i="60"/>
  <c r="I219" i="60" s="1"/>
  <c r="V282" i="60"/>
  <c r="L272" i="60" s="1"/>
  <c r="V146" i="60"/>
  <c r="I139" i="60" s="1"/>
  <c r="L48" i="60"/>
  <c r="L47" i="60"/>
  <c r="B93" i="34"/>
  <c r="B109" i="34"/>
  <c r="B96" i="34"/>
  <c r="B100" i="34"/>
  <c r="B104" i="34"/>
  <c r="B108" i="34"/>
  <c r="B117" i="34"/>
  <c r="B120" i="34"/>
  <c r="B166" i="34"/>
  <c r="B168" i="34"/>
  <c r="B170" i="34"/>
  <c r="B80" i="34"/>
  <c r="B82" i="34"/>
  <c r="B84" i="34"/>
  <c r="B86" i="34"/>
  <c r="B330" i="34"/>
  <c r="B113" i="34"/>
  <c r="B321" i="34"/>
  <c r="B97" i="34"/>
  <c r="B105" i="34"/>
  <c r="B111" i="34"/>
  <c r="B115" i="34"/>
  <c r="B94" i="34"/>
  <c r="B98" i="34"/>
  <c r="B102" i="34"/>
  <c r="B106" i="34"/>
  <c r="B116" i="34"/>
  <c r="B118" i="34"/>
  <c r="B121" i="34"/>
  <c r="B167" i="34"/>
  <c r="B169" i="34"/>
  <c r="B171" i="34"/>
  <c r="B81" i="34"/>
  <c r="B83" i="34"/>
  <c r="B85" i="34"/>
  <c r="B101" i="34"/>
  <c r="B320" i="34"/>
  <c r="B322" i="34"/>
  <c r="B331" i="34"/>
  <c r="B95" i="34"/>
  <c r="B99" i="34"/>
  <c r="B103" i="34"/>
  <c r="B107" i="34"/>
  <c r="B110" i="34"/>
  <c r="B112" i="34"/>
  <c r="B114" i="34"/>
  <c r="F13" i="57"/>
  <c r="V56" i="60"/>
  <c r="I52" i="60" s="1"/>
  <c r="S14" i="34"/>
  <c r="Q14" i="34"/>
  <c r="R14" i="34"/>
  <c r="S15" i="34"/>
  <c r="Q15" i="34"/>
  <c r="R15" i="34"/>
  <c r="S12" i="34"/>
  <c r="Q12" i="34"/>
  <c r="R12" i="34"/>
  <c r="S13" i="34"/>
  <c r="Q13" i="34"/>
  <c r="R13" i="34"/>
  <c r="X12" i="34"/>
  <c r="X19" i="34"/>
  <c r="X13" i="34"/>
  <c r="X16" i="34"/>
  <c r="X14" i="34"/>
  <c r="X17" i="34"/>
  <c r="X15" i="34"/>
  <c r="X18" i="34"/>
  <c r="M14" i="34"/>
  <c r="M12" i="34"/>
  <c r="M15" i="34"/>
  <c r="M13" i="34"/>
  <c r="A12" i="55"/>
  <c r="A13" i="55"/>
  <c r="A47" i="55"/>
  <c r="B48" i="55"/>
  <c r="B39" i="55"/>
  <c r="A39" i="55" s="1"/>
  <c r="A46" i="55"/>
  <c r="D52" i="60"/>
  <c r="D270" i="60"/>
  <c r="G263" i="60"/>
  <c r="G135" i="60"/>
  <c r="D139" i="60"/>
  <c r="G212" i="60"/>
  <c r="D219" i="60"/>
  <c r="G87" i="60"/>
  <c r="D90" i="60"/>
  <c r="G185" i="60"/>
  <c r="D191" i="60"/>
  <c r="G238" i="60"/>
  <c r="G245" i="60" s="1"/>
  <c r="D245" i="60"/>
  <c r="D72" i="60"/>
  <c r="G107" i="60"/>
  <c r="D112" i="60"/>
  <c r="G158" i="60"/>
  <c r="D163" i="60"/>
  <c r="H29" i="60"/>
  <c r="H30" i="60"/>
  <c r="K29" i="60"/>
  <c r="J29" i="60"/>
  <c r="K30" i="60"/>
  <c r="J30" i="60"/>
  <c r="I29" i="60"/>
  <c r="I30" i="60"/>
  <c r="K8" i="60"/>
  <c r="H7" i="60"/>
  <c r="K9" i="60"/>
  <c r="I8" i="60"/>
  <c r="K7" i="60"/>
  <c r="J9" i="60"/>
  <c r="H8" i="60"/>
  <c r="J7" i="60"/>
  <c r="I9" i="60"/>
  <c r="I7" i="60"/>
  <c r="H9" i="60"/>
  <c r="J8" i="60"/>
  <c r="E17" i="57"/>
  <c r="E21" i="57"/>
  <c r="E25" i="57"/>
  <c r="E29" i="57"/>
  <c r="E18" i="57"/>
  <c r="E22" i="57"/>
  <c r="E26" i="57"/>
  <c r="E30" i="57"/>
  <c r="E19" i="57"/>
  <c r="E23" i="57"/>
  <c r="E27" i="57"/>
  <c r="E14" i="57"/>
  <c r="E20" i="57"/>
  <c r="E24" i="57"/>
  <c r="E28" i="57"/>
  <c r="E15" i="57"/>
  <c r="E16" i="57"/>
  <c r="I55" i="55"/>
  <c r="S10" i="34"/>
  <c r="R10" i="34"/>
  <c r="Q10" i="34"/>
  <c r="S11" i="34"/>
  <c r="R11" i="34"/>
  <c r="Q11" i="34"/>
  <c r="X11" i="34"/>
  <c r="X10" i="34"/>
  <c r="M9" i="62"/>
  <c r="I50" i="63"/>
  <c r="K53" i="55"/>
  <c r="K16" i="55"/>
  <c r="K27" i="55"/>
  <c r="K48" i="55"/>
  <c r="K25" i="55"/>
  <c r="K31" i="55"/>
  <c r="K33" i="55"/>
  <c r="K14" i="55"/>
  <c r="K15" i="55"/>
  <c r="K18" i="55"/>
  <c r="K19" i="55"/>
  <c r="K24" i="55"/>
  <c r="K28" i="55"/>
  <c r="K29" i="55"/>
  <c r="K52" i="55"/>
  <c r="K39" i="55"/>
  <c r="I44" i="55"/>
  <c r="K40" i="55"/>
  <c r="K49" i="55"/>
  <c r="K50" i="55"/>
  <c r="H38" i="14"/>
  <c r="C38" i="14"/>
  <c r="E37" i="14"/>
  <c r="H36" i="14"/>
  <c r="C36" i="14"/>
  <c r="E35" i="14"/>
  <c r="H34" i="14"/>
  <c r="C34" i="14"/>
  <c r="H20" i="14"/>
  <c r="C20" i="14"/>
  <c r="E19" i="14"/>
  <c r="H18" i="14"/>
  <c r="C18" i="14"/>
  <c r="E17" i="14"/>
  <c r="H16" i="14"/>
  <c r="C16" i="14"/>
  <c r="E15" i="14"/>
  <c r="H14" i="14"/>
  <c r="C14" i="14"/>
  <c r="G38" i="14"/>
  <c r="H37" i="14"/>
  <c r="B37" i="14"/>
  <c r="B36" i="14"/>
  <c r="C35" i="14"/>
  <c r="D34" i="14"/>
  <c r="B20" i="14"/>
  <c r="C19" i="14"/>
  <c r="D18" i="14"/>
  <c r="D17" i="14"/>
  <c r="E16" i="14"/>
  <c r="G15" i="14"/>
  <c r="G14" i="14"/>
  <c r="I19" i="52"/>
  <c r="D19" i="52"/>
  <c r="J18" i="52"/>
  <c r="E18" i="52"/>
  <c r="A18" i="52"/>
  <c r="G17" i="52"/>
  <c r="B17" i="52"/>
  <c r="H19" i="52"/>
  <c r="C19" i="52"/>
  <c r="L19" i="52" s="1"/>
  <c r="I18" i="52"/>
  <c r="D18" i="52"/>
  <c r="J17" i="52"/>
  <c r="E17" i="52"/>
  <c r="A17" i="52"/>
  <c r="G19" i="52"/>
  <c r="B19" i="52"/>
  <c r="H18" i="52"/>
  <c r="C18" i="52"/>
  <c r="I17" i="52"/>
  <c r="D17" i="52"/>
  <c r="J19" i="52"/>
  <c r="E19" i="52"/>
  <c r="A19" i="52"/>
  <c r="G18" i="52"/>
  <c r="B18" i="52"/>
  <c r="H17" i="52"/>
  <c r="C17" i="52"/>
  <c r="C17" i="63"/>
  <c r="A17" i="63" s="1"/>
  <c r="H17" i="63"/>
  <c r="B18" i="63"/>
  <c r="F18" i="63"/>
  <c r="K18" i="63"/>
  <c r="E19" i="63"/>
  <c r="J19" i="63"/>
  <c r="D20" i="63"/>
  <c r="I20" i="63"/>
  <c r="C21" i="63"/>
  <c r="A21" i="63" s="1"/>
  <c r="I21" i="63"/>
  <c r="D22" i="63"/>
  <c r="K22" i="63"/>
  <c r="F23" i="63"/>
  <c r="B24" i="63"/>
  <c r="I24" i="63"/>
  <c r="D25" i="63"/>
  <c r="J25" i="63"/>
  <c r="F26" i="63"/>
  <c r="B27" i="63"/>
  <c r="H27" i="63"/>
  <c r="D28" i="63"/>
  <c r="J28" i="63"/>
  <c r="E29" i="63"/>
  <c r="B30" i="63"/>
  <c r="H30" i="63"/>
  <c r="C31" i="63"/>
  <c r="A31" i="63" s="1"/>
  <c r="J31" i="63"/>
  <c r="E32" i="63"/>
  <c r="K32" i="63"/>
  <c r="J33" i="63"/>
  <c r="F34" i="63"/>
  <c r="D35" i="63"/>
  <c r="N35" i="63" s="1"/>
  <c r="C36" i="63"/>
  <c r="A36" i="63" s="1"/>
  <c r="K36" i="63"/>
  <c r="H37" i="63"/>
  <c r="F38" i="63"/>
  <c r="D39" i="63"/>
  <c r="M39" i="63" s="1"/>
  <c r="B40" i="63"/>
  <c r="K40" i="63"/>
  <c r="H41" i="63"/>
  <c r="E42" i="63"/>
  <c r="D43" i="63"/>
  <c r="M43" i="63" s="1"/>
  <c r="B44" i="63"/>
  <c r="I44" i="63"/>
  <c r="H45" i="63"/>
  <c r="E46" i="63"/>
  <c r="C47" i="63"/>
  <c r="A47" i="63" s="1"/>
  <c r="B48" i="63"/>
  <c r="I48" i="63"/>
  <c r="F49" i="63"/>
  <c r="E50" i="63"/>
  <c r="D14" i="14"/>
  <c r="D15" i="14"/>
  <c r="G16" i="14"/>
  <c r="H17" i="14"/>
  <c r="B19" i="14"/>
  <c r="D20" i="14"/>
  <c r="E34" i="14"/>
  <c r="G35" i="14"/>
  <c r="G36" i="14"/>
  <c r="B38" i="14"/>
  <c r="K6" i="62"/>
  <c r="K11" i="62"/>
  <c r="D17" i="63"/>
  <c r="I17" i="63"/>
  <c r="C18" i="63"/>
  <c r="A18" i="63" s="1"/>
  <c r="H18" i="63"/>
  <c r="B19" i="63"/>
  <c r="F19" i="63"/>
  <c r="K19" i="63"/>
  <c r="E20" i="63"/>
  <c r="J20" i="63"/>
  <c r="D21" i="63"/>
  <c r="J21" i="63"/>
  <c r="F22" i="63"/>
  <c r="B23" i="63"/>
  <c r="H23" i="63"/>
  <c r="D24" i="63"/>
  <c r="J24" i="63"/>
  <c r="E25" i="63"/>
  <c r="B26" i="63"/>
  <c r="H26" i="63"/>
  <c r="C27" i="63"/>
  <c r="A27" i="63" s="1"/>
  <c r="J27" i="63"/>
  <c r="E28" i="63"/>
  <c r="K28" i="63"/>
  <c r="H29" i="63"/>
  <c r="C30" i="63"/>
  <c r="A30" i="63" s="1"/>
  <c r="I30" i="63"/>
  <c r="E31" i="63"/>
  <c r="K31" i="63"/>
  <c r="F32" i="63"/>
  <c r="C33" i="63"/>
  <c r="A33" i="63" s="1"/>
  <c r="K33" i="63"/>
  <c r="I34" i="63"/>
  <c r="H35" i="63"/>
  <c r="D36" i="63"/>
  <c r="L36" i="63" s="1"/>
  <c r="B37" i="63"/>
  <c r="K37" i="63"/>
  <c r="I38" i="63"/>
  <c r="E39" i="63"/>
  <c r="D40" i="63"/>
  <c r="L40" i="63" s="1"/>
  <c r="B41" i="63"/>
  <c r="J41" i="63"/>
  <c r="I42" i="63"/>
  <c r="E43" i="63"/>
  <c r="C44" i="63"/>
  <c r="A44" i="63" s="1"/>
  <c r="B45" i="63"/>
  <c r="J45" i="63"/>
  <c r="F46" i="63"/>
  <c r="E47" i="63"/>
  <c r="C48" i="63"/>
  <c r="A48" i="63" s="1"/>
  <c r="K48" i="63"/>
  <c r="J49" i="63"/>
  <c r="F50" i="63"/>
  <c r="E14" i="14"/>
  <c r="H15" i="14"/>
  <c r="B17" i="14"/>
  <c r="B18" i="14"/>
  <c r="D19" i="14"/>
  <c r="E20" i="14"/>
  <c r="G34" i="14"/>
  <c r="H35" i="14"/>
  <c r="C37" i="14"/>
  <c r="D38" i="14"/>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K30" i="63"/>
  <c r="F31" i="63"/>
  <c r="B32" i="63"/>
  <c r="I32" i="63"/>
  <c r="E33" i="63"/>
  <c r="B34" i="63"/>
  <c r="K34" i="63"/>
  <c r="I35" i="63"/>
  <c r="F36" i="63"/>
  <c r="E37" i="63"/>
  <c r="B38" i="63"/>
  <c r="J38" i="63"/>
  <c r="I39" i="63"/>
  <c r="F40" i="63"/>
  <c r="C41" i="63"/>
  <c r="A41" i="63" s="1"/>
  <c r="B42" i="63"/>
  <c r="J42" i="63"/>
  <c r="H43" i="63"/>
  <c r="F44" i="63"/>
  <c r="C45" i="63"/>
  <c r="A45" i="63" s="1"/>
  <c r="K45" i="63"/>
  <c r="J46" i="63"/>
  <c r="H47" i="63"/>
  <c r="D48" i="63"/>
  <c r="L48" i="63" s="1"/>
  <c r="C49" i="63"/>
  <c r="A49" i="63" s="1"/>
  <c r="K49" i="63"/>
  <c r="B15" i="14"/>
  <c r="B16" i="14"/>
  <c r="C17" i="14"/>
  <c r="E18" i="14"/>
  <c r="G19" i="14"/>
  <c r="G20" i="14"/>
  <c r="B35" i="14"/>
  <c r="D36" i="14"/>
  <c r="D37" i="14"/>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8" i="63"/>
  <c r="C38" i="63"/>
  <c r="A38" i="63" s="1"/>
  <c r="I37" i="63"/>
  <c r="D37" i="63"/>
  <c r="M37" i="63" s="1"/>
  <c r="J36" i="63"/>
  <c r="E36" i="63"/>
  <c r="K35" i="63"/>
  <c r="F35" i="63"/>
  <c r="B35" i="63"/>
  <c r="H34" i="63"/>
  <c r="C34" i="63"/>
  <c r="A34" i="63" s="1"/>
  <c r="I33" i="63"/>
  <c r="D33" i="63"/>
  <c r="N33" i="63" s="1"/>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K38" i="63"/>
  <c r="E38" i="63"/>
  <c r="J37" i="63"/>
  <c r="C37" i="63"/>
  <c r="A37" i="63" s="1"/>
  <c r="H36" i="63"/>
  <c r="B36" i="63"/>
  <c r="E35" i="63"/>
  <c r="J34" i="63"/>
  <c r="D34" i="63"/>
  <c r="L34" i="63" s="1"/>
  <c r="H33" i="63"/>
  <c r="B33" i="63"/>
  <c r="H32" i="63"/>
  <c r="C32" i="63"/>
  <c r="A32" i="63" s="1"/>
  <c r="I31" i="63"/>
  <c r="D31" i="63"/>
  <c r="J30" i="63"/>
  <c r="E30" i="63"/>
  <c r="K29" i="63"/>
  <c r="F29" i="63"/>
  <c r="B29" i="63"/>
  <c r="H28" i="63"/>
  <c r="C28" i="63"/>
  <c r="A28" i="63" s="1"/>
  <c r="I27" i="63"/>
  <c r="D27" i="63"/>
  <c r="J26" i="63"/>
  <c r="E26" i="63"/>
  <c r="K25" i="63"/>
  <c r="F25" i="63"/>
  <c r="B25" i="63"/>
  <c r="H24" i="63"/>
  <c r="C24" i="63"/>
  <c r="A24" i="63" s="1"/>
  <c r="I23" i="63"/>
  <c r="D23" i="63"/>
  <c r="J22" i="63"/>
  <c r="E22" i="63"/>
  <c r="K21" i="63"/>
  <c r="F21" i="63"/>
  <c r="M5" i="62"/>
  <c r="B17" i="63"/>
  <c r="F17" i="63"/>
  <c r="K17" i="63"/>
  <c r="E18" i="63"/>
  <c r="J18" i="63"/>
  <c r="D19" i="63"/>
  <c r="I19" i="63"/>
  <c r="C20" i="63"/>
  <c r="A20" i="63" s="1"/>
  <c r="H20" i="63"/>
  <c r="B21" i="63"/>
  <c r="H21" i="63"/>
  <c r="C22" i="63"/>
  <c r="A22" i="63" s="1"/>
  <c r="I22" i="63"/>
  <c r="E23" i="63"/>
  <c r="K23" i="63"/>
  <c r="F24" i="63"/>
  <c r="C25" i="63"/>
  <c r="A25" i="63" s="1"/>
  <c r="I25" i="63"/>
  <c r="D26" i="63"/>
  <c r="K26" i="63"/>
  <c r="F27" i="63"/>
  <c r="B28" i="63"/>
  <c r="I28" i="63"/>
  <c r="D29" i="63"/>
  <c r="J29" i="63"/>
  <c r="F30" i="63"/>
  <c r="B31" i="63"/>
  <c r="H31" i="63"/>
  <c r="D32" i="63"/>
  <c r="J32" i="63"/>
  <c r="F33" i="63"/>
  <c r="E34" i="63"/>
  <c r="C35" i="63"/>
  <c r="A35" i="63" s="1"/>
  <c r="J35" i="63"/>
  <c r="I36" i="63"/>
  <c r="F37" i="63"/>
  <c r="D38" i="63"/>
  <c r="L38" i="63" s="1"/>
  <c r="C39" i="63"/>
  <c r="A39" i="63" s="1"/>
  <c r="J39" i="63"/>
  <c r="H40" i="63"/>
  <c r="F41" i="63"/>
  <c r="D42" i="63"/>
  <c r="L42" i="63" s="1"/>
  <c r="K42" i="63"/>
  <c r="J43" i="63"/>
  <c r="H44" i="63"/>
  <c r="E45" i="63"/>
  <c r="D46" i="63"/>
  <c r="L46" i="63" s="1"/>
  <c r="K46" i="63"/>
  <c r="I47" i="63"/>
  <c r="H48" i="63"/>
  <c r="E49" i="63"/>
  <c r="B50" i="63"/>
  <c r="K50" i="63"/>
  <c r="B14" i="14"/>
  <c r="C15" i="14"/>
  <c r="D16" i="14"/>
  <c r="G17" i="14"/>
  <c r="G18" i="14"/>
  <c r="H19" i="14"/>
  <c r="B34" i="14"/>
  <c r="D35" i="14"/>
  <c r="E36" i="14"/>
  <c r="G37" i="14"/>
  <c r="E30" i="58"/>
  <c r="I30" i="58" s="1"/>
  <c r="H29" i="58"/>
  <c r="C29" i="58"/>
  <c r="E28" i="58"/>
  <c r="I28" i="58" s="1"/>
  <c r="H27" i="58"/>
  <c r="C27" i="58"/>
  <c r="E26" i="58"/>
  <c r="I26" i="58" s="1"/>
  <c r="H25" i="58"/>
  <c r="C25" i="58"/>
  <c r="E24" i="58"/>
  <c r="I24" i="58" s="1"/>
  <c r="H23" i="58"/>
  <c r="C23" i="58"/>
  <c r="E22" i="58"/>
  <c r="I22" i="58" s="1"/>
  <c r="H21" i="58"/>
  <c r="C21" i="58"/>
  <c r="E20" i="58"/>
  <c r="H19" i="58"/>
  <c r="C19" i="58"/>
  <c r="E18" i="58"/>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H18" i="58"/>
  <c r="C18" i="58"/>
  <c r="E17" i="58"/>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D19" i="58"/>
  <c r="G18" i="58"/>
  <c r="B18" i="58"/>
  <c r="F18" i="58" s="1"/>
  <c r="D17" i="58"/>
  <c r="G16" i="58"/>
  <c r="B16" i="58"/>
  <c r="F16" i="58" s="1"/>
  <c r="D15" i="58"/>
  <c r="G14" i="58"/>
  <c r="B14" i="58"/>
  <c r="A35" i="58" s="1"/>
  <c r="F23" i="56"/>
  <c r="H23" i="56" s="1"/>
  <c r="B22" i="56"/>
  <c r="D22" i="56" s="1"/>
  <c r="G20" i="56"/>
  <c r="F19" i="56"/>
  <c r="B18" i="56"/>
  <c r="D18" i="56" s="1"/>
  <c r="A9" i="56"/>
  <c r="B23" i="56"/>
  <c r="A23" i="56" s="1"/>
  <c r="G21" i="56"/>
  <c r="F20" i="56"/>
  <c r="B19" i="56"/>
  <c r="D19" i="56" s="1"/>
  <c r="G17" i="56"/>
  <c r="G8" i="56"/>
  <c r="D6" i="56"/>
  <c r="F28" i="56" s="1"/>
  <c r="G22" i="56"/>
  <c r="F21" i="56"/>
  <c r="H21" i="56" s="1"/>
  <c r="B20" i="56"/>
  <c r="D20" i="56" s="1"/>
  <c r="G18" i="56"/>
  <c r="F17" i="56"/>
  <c r="G7" i="56"/>
  <c r="G23" i="56"/>
  <c r="F22" i="56"/>
  <c r="B21" i="56"/>
  <c r="G19" i="56"/>
  <c r="F18" i="56"/>
  <c r="B17" i="56"/>
  <c r="D17" i="56" s="1"/>
  <c r="G30" i="57"/>
  <c r="C30" i="57"/>
  <c r="G29" i="57"/>
  <c r="C29" i="57"/>
  <c r="F28" i="57"/>
  <c r="B28" i="57"/>
  <c r="A28" i="57" s="1"/>
  <c r="I26" i="57"/>
  <c r="D26" i="57"/>
  <c r="L26" i="57" s="1"/>
  <c r="G25" i="57"/>
  <c r="C25" i="57"/>
  <c r="F24" i="57"/>
  <c r="B24" i="57"/>
  <c r="A24" i="57" s="1"/>
  <c r="I22" i="57"/>
  <c r="D22" i="57"/>
  <c r="L22" i="57" s="1"/>
  <c r="G21" i="57"/>
  <c r="C21" i="57"/>
  <c r="F20" i="57"/>
  <c r="B20" i="57"/>
  <c r="F30" i="57"/>
  <c r="B30" i="57"/>
  <c r="A30" i="57" s="1"/>
  <c r="F29" i="57"/>
  <c r="B29" i="57"/>
  <c r="A29" i="57" s="1"/>
  <c r="I27" i="57"/>
  <c r="D27" i="57"/>
  <c r="L27" i="57" s="1"/>
  <c r="G26" i="57"/>
  <c r="C26" i="57"/>
  <c r="F25" i="57"/>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I18" i="57"/>
  <c r="D18" i="57"/>
  <c r="G17" i="57"/>
  <c r="C17" i="57"/>
  <c r="F16" i="57"/>
  <c r="B16" i="57"/>
  <c r="I14" i="57"/>
  <c r="D14" i="57"/>
  <c r="C20" i="57"/>
  <c r="D19" i="57"/>
  <c r="G18" i="57"/>
  <c r="C18" i="57"/>
  <c r="F17" i="57"/>
  <c r="B17" i="57"/>
  <c r="I15" i="57"/>
  <c r="D15" i="57"/>
  <c r="C14" i="57"/>
  <c r="B34" i="57" s="1"/>
  <c r="G19" i="57"/>
  <c r="C19" i="57"/>
  <c r="F18" i="57"/>
  <c r="B18" i="57"/>
  <c r="I16" i="57"/>
  <c r="D16" i="57"/>
  <c r="G15" i="57"/>
  <c r="C15" i="57"/>
  <c r="F14" i="57"/>
  <c r="B14" i="57"/>
  <c r="A14" i="57" s="1"/>
  <c r="G20" i="57"/>
  <c r="F19" i="57"/>
  <c r="B19" i="57"/>
  <c r="I17" i="57"/>
  <c r="D17" i="57"/>
  <c r="C16" i="57"/>
  <c r="F15" i="57"/>
  <c r="B15" i="57"/>
  <c r="I36" i="55"/>
  <c r="K13" i="55"/>
  <c r="K17" i="55"/>
  <c r="K26" i="55"/>
  <c r="K32" i="55"/>
  <c r="K41" i="55"/>
  <c r="K42" i="55"/>
  <c r="K51" i="55"/>
  <c r="K46" i="55"/>
  <c r="G55" i="55"/>
  <c r="G36" i="55"/>
  <c r="K12" i="55"/>
  <c r="K30" i="55"/>
  <c r="K34" i="55"/>
  <c r="K38" i="55"/>
  <c r="K47" i="55"/>
  <c r="K8" i="62"/>
  <c r="M8" i="62"/>
  <c r="K9" i="62"/>
  <c r="K5" i="62"/>
  <c r="M6" i="62"/>
  <c r="M7" i="62"/>
  <c r="K10" i="62"/>
  <c r="M10" i="62"/>
  <c r="K7" i="62"/>
  <c r="M11"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H13" i="61"/>
  <c r="H14" i="61" s="1"/>
  <c r="C13" i="61"/>
  <c r="C14" i="61" s="1"/>
  <c r="D12" i="61"/>
  <c r="F12" i="61"/>
  <c r="E12" i="61"/>
  <c r="G12" i="61"/>
  <c r="A110" i="34" l="1"/>
  <c r="R110" i="34"/>
  <c r="S110" i="34"/>
  <c r="Q110" i="34"/>
  <c r="A95" i="34"/>
  <c r="Q95" i="34"/>
  <c r="R95" i="34"/>
  <c r="S95" i="34"/>
  <c r="A101" i="34"/>
  <c r="Q101" i="34"/>
  <c r="R101" i="34"/>
  <c r="S101" i="34"/>
  <c r="A171" i="34"/>
  <c r="S171" i="34"/>
  <c r="Q171" i="34"/>
  <c r="R171" i="34"/>
  <c r="A118" i="34"/>
  <c r="R118" i="34"/>
  <c r="S118" i="34"/>
  <c r="Q118" i="34"/>
  <c r="A98" i="34"/>
  <c r="R98" i="34"/>
  <c r="S98" i="34"/>
  <c r="Q98" i="34"/>
  <c r="A105" i="34"/>
  <c r="Q105" i="34"/>
  <c r="R105" i="34"/>
  <c r="S105" i="34"/>
  <c r="A330" i="34"/>
  <c r="S330" i="34"/>
  <c r="Q330" i="34"/>
  <c r="R330" i="34"/>
  <c r="A80" i="34"/>
  <c r="S80" i="34"/>
  <c r="Q80" i="34"/>
  <c r="R80" i="34"/>
  <c r="A120" i="34"/>
  <c r="R120" i="34"/>
  <c r="S120" i="34"/>
  <c r="Q120" i="34"/>
  <c r="A100" i="34"/>
  <c r="R100" i="34"/>
  <c r="S100" i="34"/>
  <c r="Q100" i="34"/>
  <c r="A107" i="34"/>
  <c r="Q107" i="34"/>
  <c r="R107" i="34"/>
  <c r="S107" i="34"/>
  <c r="A331" i="34"/>
  <c r="Q331" i="34"/>
  <c r="S331" i="34"/>
  <c r="R331" i="34"/>
  <c r="A85" i="34"/>
  <c r="Q85" i="34"/>
  <c r="R85" i="34"/>
  <c r="S85" i="34"/>
  <c r="A169" i="34"/>
  <c r="S169" i="34"/>
  <c r="Q169" i="34"/>
  <c r="R169" i="34"/>
  <c r="A116" i="34"/>
  <c r="R116" i="34"/>
  <c r="S116" i="34"/>
  <c r="Q116" i="34"/>
  <c r="A94" i="34"/>
  <c r="S94" i="34"/>
  <c r="R94" i="34"/>
  <c r="Q94" i="34"/>
  <c r="A97" i="34"/>
  <c r="R97" i="34"/>
  <c r="Q97" i="34"/>
  <c r="S97" i="34"/>
  <c r="A86" i="34"/>
  <c r="S86" i="34"/>
  <c r="Q86" i="34"/>
  <c r="R86" i="34"/>
  <c r="A170" i="34"/>
  <c r="Q170" i="34"/>
  <c r="R170" i="34"/>
  <c r="S170" i="34"/>
  <c r="A117" i="34"/>
  <c r="Q117" i="34"/>
  <c r="R117" i="34"/>
  <c r="S117" i="34"/>
  <c r="A96" i="34"/>
  <c r="Q96" i="34"/>
  <c r="R96" i="34"/>
  <c r="S96" i="34"/>
  <c r="A114" i="34"/>
  <c r="R114" i="34"/>
  <c r="S114" i="34"/>
  <c r="Q114" i="34"/>
  <c r="A103" i="34"/>
  <c r="Q103" i="34"/>
  <c r="R103" i="34"/>
  <c r="S103" i="34"/>
  <c r="A322" i="34"/>
  <c r="S322" i="34"/>
  <c r="Q322" i="34"/>
  <c r="R322" i="34"/>
  <c r="A83" i="34"/>
  <c r="Q83" i="34"/>
  <c r="R83" i="34"/>
  <c r="S83" i="34"/>
  <c r="A167" i="34"/>
  <c r="S167" i="34"/>
  <c r="Q167" i="34"/>
  <c r="R167" i="34"/>
  <c r="A106" i="34"/>
  <c r="R106" i="34"/>
  <c r="S106" i="34"/>
  <c r="Q106" i="34"/>
  <c r="A115" i="34"/>
  <c r="Q115" i="34"/>
  <c r="R115" i="34"/>
  <c r="S115" i="34"/>
  <c r="A321" i="34"/>
  <c r="Q321" i="34"/>
  <c r="R321" i="34"/>
  <c r="S321" i="34"/>
  <c r="A84" i="34"/>
  <c r="S84" i="34"/>
  <c r="Q84" i="34"/>
  <c r="R84" i="34"/>
  <c r="A168" i="34"/>
  <c r="Q168" i="34"/>
  <c r="R168" i="34"/>
  <c r="S168" i="34"/>
  <c r="A108" i="34"/>
  <c r="R108" i="34"/>
  <c r="S108" i="34"/>
  <c r="Q108" i="34"/>
  <c r="A109" i="34"/>
  <c r="Q109" i="34"/>
  <c r="R109" i="34"/>
  <c r="S109" i="34"/>
  <c r="A112" i="34"/>
  <c r="R112" i="34"/>
  <c r="S112" i="34"/>
  <c r="Q112" i="34"/>
  <c r="A99" i="34"/>
  <c r="Q99" i="34"/>
  <c r="R99" i="34"/>
  <c r="S99" i="34"/>
  <c r="A320" i="34"/>
  <c r="S320" i="34"/>
  <c r="Q320" i="34"/>
  <c r="R320" i="34"/>
  <c r="A81" i="34"/>
  <c r="Q81" i="34"/>
  <c r="R81" i="34"/>
  <c r="S81" i="34"/>
  <c r="A121" i="34"/>
  <c r="Q121" i="34"/>
  <c r="R121" i="34"/>
  <c r="S121" i="34"/>
  <c r="A102" i="34"/>
  <c r="R102" i="34"/>
  <c r="S102" i="34"/>
  <c r="Q102" i="34"/>
  <c r="A111" i="34"/>
  <c r="Q111" i="34"/>
  <c r="R111" i="34"/>
  <c r="S111" i="34"/>
  <c r="A113" i="34"/>
  <c r="Q113" i="34"/>
  <c r="R113" i="34"/>
  <c r="S113" i="34"/>
  <c r="A82" i="34"/>
  <c r="S82" i="34"/>
  <c r="Q82" i="34"/>
  <c r="R82" i="34"/>
  <c r="A166" i="34"/>
  <c r="Q166" i="34"/>
  <c r="R166" i="34"/>
  <c r="S166" i="34"/>
  <c r="A104" i="34"/>
  <c r="R104" i="34"/>
  <c r="S104" i="34"/>
  <c r="Q104" i="34"/>
  <c r="A93" i="34"/>
  <c r="Q93" i="34"/>
  <c r="R93" i="34"/>
  <c r="S93" i="34"/>
  <c r="H71" i="60"/>
  <c r="I70" i="60"/>
  <c r="H70" i="60"/>
  <c r="J70" i="60"/>
  <c r="I71" i="60"/>
  <c r="J71" i="60"/>
  <c r="K71" i="60"/>
  <c r="N71" i="60" s="1"/>
  <c r="P71" i="60" s="1"/>
  <c r="K70" i="60"/>
  <c r="N70" i="60" s="1"/>
  <c r="P70" i="60" s="1"/>
  <c r="L72" i="60"/>
  <c r="N29" i="60"/>
  <c r="N9" i="60"/>
  <c r="J68" i="60"/>
  <c r="H69" i="60"/>
  <c r="K68" i="60"/>
  <c r="I69" i="60"/>
  <c r="J69" i="60"/>
  <c r="H68" i="60"/>
  <c r="K69" i="60"/>
  <c r="I68" i="60"/>
  <c r="I49" i="60"/>
  <c r="K49" i="60"/>
  <c r="J49" i="60"/>
  <c r="H49" i="60"/>
  <c r="J29" i="14"/>
  <c r="I29" i="14"/>
  <c r="J27" i="14"/>
  <c r="I27" i="14"/>
  <c r="I32" i="14"/>
  <c r="J32" i="14"/>
  <c r="J30" i="14"/>
  <c r="I30" i="14"/>
  <c r="J33" i="14"/>
  <c r="I33" i="14"/>
  <c r="J28" i="14"/>
  <c r="I28" i="14"/>
  <c r="J26" i="14"/>
  <c r="I26" i="14"/>
  <c r="J31" i="14"/>
  <c r="I31" i="14"/>
  <c r="I25" i="14"/>
  <c r="J25" i="14"/>
  <c r="C33" i="69"/>
  <c r="E33" i="69"/>
  <c r="F33" i="69"/>
  <c r="J33" i="69"/>
  <c r="C25" i="69"/>
  <c r="F25" i="69"/>
  <c r="E25" i="69"/>
  <c r="J25" i="69"/>
  <c r="C17" i="69"/>
  <c r="F17" i="69"/>
  <c r="E17" i="69"/>
  <c r="J17" i="69"/>
  <c r="E34" i="69"/>
  <c r="C34" i="69"/>
  <c r="J34" i="69"/>
  <c r="F34" i="69"/>
  <c r="E26" i="69"/>
  <c r="J26" i="69"/>
  <c r="C26" i="69"/>
  <c r="F26" i="69"/>
  <c r="E18" i="69"/>
  <c r="J18" i="69"/>
  <c r="C18" i="69"/>
  <c r="F18" i="69"/>
  <c r="C39" i="69"/>
  <c r="F39" i="69"/>
  <c r="E39" i="69"/>
  <c r="J39" i="69"/>
  <c r="C31" i="69"/>
  <c r="F31" i="69"/>
  <c r="E31" i="69"/>
  <c r="J31" i="69"/>
  <c r="C23" i="69"/>
  <c r="E23" i="69"/>
  <c r="F23" i="69"/>
  <c r="J23" i="69"/>
  <c r="C15" i="69"/>
  <c r="F15" i="69"/>
  <c r="E15" i="69"/>
  <c r="J15" i="69"/>
  <c r="E40" i="69"/>
  <c r="J40" i="69"/>
  <c r="C40" i="69"/>
  <c r="F40" i="69"/>
  <c r="E32" i="69"/>
  <c r="C32" i="69"/>
  <c r="J32" i="69"/>
  <c r="F32" i="69"/>
  <c r="E24" i="69"/>
  <c r="C24" i="69"/>
  <c r="J24" i="69"/>
  <c r="F24" i="69"/>
  <c r="E16" i="69"/>
  <c r="C16" i="69"/>
  <c r="J16" i="69"/>
  <c r="F16" i="69"/>
  <c r="C37" i="69"/>
  <c r="E37" i="69"/>
  <c r="F37" i="69"/>
  <c r="J37" i="69"/>
  <c r="C29" i="69"/>
  <c r="F29" i="69"/>
  <c r="E29" i="69"/>
  <c r="J29" i="69"/>
  <c r="C21" i="69"/>
  <c r="F21" i="69"/>
  <c r="E21" i="69"/>
  <c r="J21" i="69"/>
  <c r="E38" i="69"/>
  <c r="J38" i="69"/>
  <c r="C38" i="69"/>
  <c r="F38" i="69"/>
  <c r="E30" i="69"/>
  <c r="C30" i="69"/>
  <c r="J30" i="69"/>
  <c r="F30" i="69"/>
  <c r="E22" i="69"/>
  <c r="C22" i="69"/>
  <c r="J22" i="69"/>
  <c r="F22" i="69"/>
  <c r="E14" i="69"/>
  <c r="C14" i="69"/>
  <c r="J14" i="69"/>
  <c r="F14" i="69"/>
  <c r="C35" i="69"/>
  <c r="F35" i="69"/>
  <c r="E35" i="69"/>
  <c r="J35" i="69"/>
  <c r="C27" i="69"/>
  <c r="E27" i="69"/>
  <c r="F27" i="69"/>
  <c r="J27" i="69"/>
  <c r="C19" i="69"/>
  <c r="F19" i="69"/>
  <c r="E19" i="69"/>
  <c r="J19" i="69"/>
  <c r="E36" i="69"/>
  <c r="J36" i="69"/>
  <c r="C36" i="69"/>
  <c r="F36" i="69"/>
  <c r="E28" i="69"/>
  <c r="C28" i="69"/>
  <c r="J28" i="69"/>
  <c r="F28" i="69"/>
  <c r="E20" i="69"/>
  <c r="C20" i="69"/>
  <c r="J20" i="69"/>
  <c r="F20" i="69"/>
  <c r="L52" i="60"/>
  <c r="H47" i="60"/>
  <c r="I47" i="60"/>
  <c r="H48" i="60"/>
  <c r="I48" i="60"/>
  <c r="J47" i="60"/>
  <c r="K47" i="60"/>
  <c r="J48" i="60"/>
  <c r="K48" i="60"/>
  <c r="H20" i="56"/>
  <c r="H22" i="56"/>
  <c r="O44" i="63"/>
  <c r="N49" i="63"/>
  <c r="M50" i="63"/>
  <c r="O43" i="63"/>
  <c r="E37" i="47"/>
  <c r="G34" i="47"/>
  <c r="I14" i="14"/>
  <c r="L37" i="63"/>
  <c r="N38" i="63"/>
  <c r="G47" i="47"/>
  <c r="F20" i="47"/>
  <c r="G26" i="47"/>
  <c r="C45" i="47"/>
  <c r="D29" i="47"/>
  <c r="J189" i="60"/>
  <c r="I188" i="60"/>
  <c r="K186" i="60"/>
  <c r="K185" i="60"/>
  <c r="I189" i="60"/>
  <c r="K187" i="60"/>
  <c r="J186" i="60"/>
  <c r="J185" i="60"/>
  <c r="K188" i="60"/>
  <c r="J187" i="60"/>
  <c r="I186" i="60"/>
  <c r="N186" i="60" s="1"/>
  <c r="P186" i="60" s="1"/>
  <c r="I185" i="60"/>
  <c r="K189" i="60"/>
  <c r="J188" i="60"/>
  <c r="I187" i="60"/>
  <c r="G90" i="60"/>
  <c r="K217" i="60"/>
  <c r="J216" i="60"/>
  <c r="I215" i="60"/>
  <c r="H214" i="60"/>
  <c r="H213" i="60"/>
  <c r="K212" i="60"/>
  <c r="J217" i="60"/>
  <c r="I216" i="60"/>
  <c r="H215" i="60"/>
  <c r="K214" i="60"/>
  <c r="K213" i="60"/>
  <c r="J212" i="60"/>
  <c r="I217" i="60"/>
  <c r="H216" i="60"/>
  <c r="K215" i="60"/>
  <c r="J214" i="60"/>
  <c r="J213" i="60"/>
  <c r="I212" i="60"/>
  <c r="H217" i="60"/>
  <c r="K216" i="60"/>
  <c r="J215" i="60"/>
  <c r="I214" i="60"/>
  <c r="I213" i="60"/>
  <c r="H212" i="60"/>
  <c r="G139" i="60"/>
  <c r="B49" i="55"/>
  <c r="A48" i="55"/>
  <c r="I243" i="60"/>
  <c r="K242" i="60"/>
  <c r="K241" i="60"/>
  <c r="J240" i="60"/>
  <c r="I239" i="60"/>
  <c r="I238" i="60"/>
  <c r="H243" i="60"/>
  <c r="J242" i="60"/>
  <c r="J241" i="60"/>
  <c r="I240" i="60"/>
  <c r="H239" i="60"/>
  <c r="H238" i="60"/>
  <c r="K243" i="60"/>
  <c r="I242" i="60"/>
  <c r="I241" i="60"/>
  <c r="H240" i="60"/>
  <c r="K239" i="60"/>
  <c r="K238" i="60"/>
  <c r="J243" i="60"/>
  <c r="H242" i="60"/>
  <c r="H241" i="60"/>
  <c r="K240" i="60"/>
  <c r="J239" i="60"/>
  <c r="J238" i="60"/>
  <c r="N185" i="60"/>
  <c r="G191" i="60"/>
  <c r="G219" i="60"/>
  <c r="J161" i="60"/>
  <c r="J160" i="60"/>
  <c r="I159" i="60"/>
  <c r="I158" i="60"/>
  <c r="I161" i="60"/>
  <c r="I160" i="60"/>
  <c r="H159" i="60"/>
  <c r="H158" i="60"/>
  <c r="H161" i="60"/>
  <c r="H160" i="60"/>
  <c r="K159" i="60"/>
  <c r="K158" i="60"/>
  <c r="K161" i="60"/>
  <c r="K160" i="60"/>
  <c r="J159" i="60"/>
  <c r="J158" i="60"/>
  <c r="I110" i="60"/>
  <c r="H109" i="60"/>
  <c r="K108" i="60"/>
  <c r="K107" i="60"/>
  <c r="H110" i="60"/>
  <c r="K109" i="60"/>
  <c r="J108" i="60"/>
  <c r="J107" i="60"/>
  <c r="K110" i="60"/>
  <c r="J109" i="60"/>
  <c r="I108" i="60"/>
  <c r="I107" i="60"/>
  <c r="J110" i="60"/>
  <c r="I109" i="60"/>
  <c r="H108" i="60"/>
  <c r="N108" i="60" s="1"/>
  <c r="P108" i="60" s="1"/>
  <c r="H107" i="60"/>
  <c r="N107" i="60" s="1"/>
  <c r="G270" i="60"/>
  <c r="G163" i="60"/>
  <c r="G112" i="60"/>
  <c r="K88" i="60"/>
  <c r="K87" i="60"/>
  <c r="J88" i="60"/>
  <c r="J87" i="60"/>
  <c r="I88" i="60"/>
  <c r="I87" i="60"/>
  <c r="H88" i="60"/>
  <c r="H87" i="60"/>
  <c r="J138" i="60"/>
  <c r="H137" i="60"/>
  <c r="K136" i="60"/>
  <c r="K135" i="60"/>
  <c r="I138" i="60"/>
  <c r="K137" i="60"/>
  <c r="J136" i="60"/>
  <c r="J135" i="60"/>
  <c r="H138" i="60"/>
  <c r="J137" i="60"/>
  <c r="I136" i="60"/>
  <c r="I135" i="60"/>
  <c r="K138" i="60"/>
  <c r="I137" i="60"/>
  <c r="H136" i="60"/>
  <c r="N136" i="60" s="1"/>
  <c r="P136" i="60" s="1"/>
  <c r="H135" i="60"/>
  <c r="N135" i="60" s="1"/>
  <c r="J268" i="60"/>
  <c r="I267" i="60"/>
  <c r="I266" i="60"/>
  <c r="H265" i="60"/>
  <c r="K264" i="60"/>
  <c r="K263" i="60"/>
  <c r="I268" i="60"/>
  <c r="H267" i="60"/>
  <c r="H266" i="60"/>
  <c r="K265" i="60"/>
  <c r="J264" i="60"/>
  <c r="J263" i="60"/>
  <c r="H268" i="60"/>
  <c r="K267" i="60"/>
  <c r="K266" i="60"/>
  <c r="J265" i="60"/>
  <c r="I264" i="60"/>
  <c r="I263" i="60"/>
  <c r="K268" i="60"/>
  <c r="J267" i="60"/>
  <c r="J266" i="60"/>
  <c r="I265" i="60"/>
  <c r="H264" i="60"/>
  <c r="H263" i="60"/>
  <c r="A14" i="55"/>
  <c r="N7" i="60"/>
  <c r="P7" i="60" s="1"/>
  <c r="N30" i="60"/>
  <c r="B12" i="61"/>
  <c r="D13" i="61"/>
  <c r="D14" i="61" s="1"/>
  <c r="G13" i="61"/>
  <c r="G14" i="61" s="1"/>
  <c r="F13" i="61"/>
  <c r="F14" i="61" s="1"/>
  <c r="E13" i="61"/>
  <c r="E14" i="61" s="1"/>
  <c r="N8" i="60"/>
  <c r="P8" i="60" s="1"/>
  <c r="L43" i="63"/>
  <c r="O40" i="63"/>
  <c r="N40" i="63"/>
  <c r="M17" i="52"/>
  <c r="F36" i="47"/>
  <c r="G15" i="47"/>
  <c r="G18" i="47"/>
  <c r="E33" i="47"/>
  <c r="A46" i="47"/>
  <c r="C29" i="47"/>
  <c r="G42" i="47"/>
  <c r="G23" i="47"/>
  <c r="F39" i="47"/>
  <c r="H25" i="57"/>
  <c r="H30" i="57"/>
  <c r="F31" i="47"/>
  <c r="F48" i="47"/>
  <c r="F32" i="47"/>
  <c r="F16" i="47"/>
  <c r="G46" i="47"/>
  <c r="G30" i="47"/>
  <c r="B38" i="47"/>
  <c r="C43" i="47"/>
  <c r="F23" i="47"/>
  <c r="A22" i="47"/>
  <c r="C32" i="47"/>
  <c r="C41" i="47"/>
  <c r="F24" i="47"/>
  <c r="G27" i="47"/>
  <c r="D39" i="47"/>
  <c r="C22" i="47"/>
  <c r="C23" i="47"/>
  <c r="E50" i="47"/>
  <c r="O39" i="63"/>
  <c r="O45" i="63"/>
  <c r="M33" i="63"/>
  <c r="M38" i="63"/>
  <c r="L35" i="63"/>
  <c r="O49" i="63"/>
  <c r="M35" i="63"/>
  <c r="N44" i="63"/>
  <c r="M44" i="63"/>
  <c r="L49" i="63"/>
  <c r="O35" i="63"/>
  <c r="O33" i="63"/>
  <c r="L33" i="63"/>
  <c r="H19" i="57"/>
  <c r="H21" i="57"/>
  <c r="H29" i="57"/>
  <c r="H40" i="14"/>
  <c r="B48" i="47"/>
  <c r="B44" i="47"/>
  <c r="E39" i="47"/>
  <c r="B36" i="47"/>
  <c r="B32" i="47"/>
  <c r="E27" i="47"/>
  <c r="E23" i="47"/>
  <c r="B20" i="47"/>
  <c r="D15" i="47"/>
  <c r="D36" i="47"/>
  <c r="D24" i="47"/>
  <c r="F49" i="47"/>
  <c r="C46" i="47"/>
  <c r="C42" i="47"/>
  <c r="F37" i="47"/>
  <c r="F33" i="47"/>
  <c r="C30" i="47"/>
  <c r="F25" i="47"/>
  <c r="F21" i="47"/>
  <c r="F17" i="47"/>
  <c r="G31" i="47"/>
  <c r="B22" i="47"/>
  <c r="F50" i="47"/>
  <c r="B46" i="47"/>
  <c r="B42" i="47"/>
  <c r="D32" i="47"/>
  <c r="B18" i="47"/>
  <c r="B35" i="47"/>
  <c r="D21" i="47"/>
  <c r="C40" i="47"/>
  <c r="E18" i="47"/>
  <c r="G44" i="47"/>
  <c r="C20" i="47"/>
  <c r="D25" i="47"/>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L47" i="63"/>
  <c r="N47" i="63"/>
  <c r="O37" i="63"/>
  <c r="E19" i="47"/>
  <c r="F19" i="47"/>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D41" i="47"/>
  <c r="E26" i="47"/>
  <c r="A38" i="47"/>
  <c r="C49" i="47"/>
  <c r="A47" i="47"/>
  <c r="F44" i="47"/>
  <c r="D42" i="47"/>
  <c r="B40" i="47"/>
  <c r="G37" i="47"/>
  <c r="E35" i="47"/>
  <c r="C33" i="47"/>
  <c r="A31" i="47"/>
  <c r="F28" i="47"/>
  <c r="D26" i="47"/>
  <c r="B24" i="47"/>
  <c r="G21" i="47"/>
  <c r="C17" i="47"/>
  <c r="C39" i="47"/>
  <c r="A33" i="47"/>
  <c r="B26" i="47"/>
  <c r="C19" i="47"/>
  <c r="C50" i="47"/>
  <c r="A48" i="47"/>
  <c r="F45" i="47"/>
  <c r="D43" i="47"/>
  <c r="B41" i="47"/>
  <c r="G38" i="47"/>
  <c r="E36" i="47"/>
  <c r="C34" i="47"/>
  <c r="A32" i="47"/>
  <c r="F29" i="47"/>
  <c r="D27" i="47"/>
  <c r="B25" i="47"/>
  <c r="G22" i="47"/>
  <c r="E20" i="47"/>
  <c r="C18" i="47"/>
  <c r="A16" i="47"/>
  <c r="B34" i="47"/>
  <c r="C27" i="47"/>
  <c r="D20" i="47"/>
  <c r="A49" i="47"/>
  <c r="F46" i="47"/>
  <c r="D44" i="47"/>
  <c r="A41" i="47"/>
  <c r="C35" i="47"/>
  <c r="A29" i="47"/>
  <c r="E21" i="47"/>
  <c r="E46" i="47"/>
  <c r="D37" i="47"/>
  <c r="C28" i="47"/>
  <c r="B19" i="47"/>
  <c r="D49" i="47"/>
  <c r="G36" i="47"/>
  <c r="G24" i="47"/>
  <c r="D50" i="47"/>
  <c r="F47" i="47"/>
  <c r="F35" i="47"/>
  <c r="B23" i="47"/>
  <c r="F43" i="47"/>
  <c r="J21" i="52"/>
  <c r="I21" i="52"/>
  <c r="O47" i="63"/>
  <c r="N37" i="63"/>
  <c r="N17" i="52"/>
  <c r="A14" i="58"/>
  <c r="A15" i="58" s="1"/>
  <c r="A16" i="58" s="1"/>
  <c r="A17" i="58" s="1"/>
  <c r="A18" i="58" s="1"/>
  <c r="A19" i="58" s="1"/>
  <c r="A20" i="58" s="1"/>
  <c r="L17" i="52"/>
  <c r="K17" i="52"/>
  <c r="G21" i="52"/>
  <c r="O50" i="63"/>
  <c r="M46" i="63"/>
  <c r="N41" i="63"/>
  <c r="O41" i="63"/>
  <c r="O46" i="63"/>
  <c r="N50" i="63"/>
  <c r="N46" i="63"/>
  <c r="M40" i="63"/>
  <c r="L41" i="63"/>
  <c r="N43" i="63"/>
  <c r="O17" i="63"/>
  <c r="L17" i="63"/>
  <c r="N36" i="63"/>
  <c r="N17" i="63"/>
  <c r="K19" i="52"/>
  <c r="M19" i="52"/>
  <c r="O36" i="63"/>
  <c r="N19" i="52"/>
  <c r="N45" i="63"/>
  <c r="O38" i="63"/>
  <c r="F24" i="58"/>
  <c r="A27" i="58"/>
  <c r="J14" i="14"/>
  <c r="H21" i="52"/>
  <c r="G32" i="58"/>
  <c r="G40" i="14"/>
  <c r="J52" i="63"/>
  <c r="K52" i="63"/>
  <c r="H52" i="63"/>
  <c r="I52" i="63"/>
  <c r="O42" i="63"/>
  <c r="N42" i="63"/>
  <c r="N34" i="63"/>
  <c r="M36" i="63"/>
  <c r="A29" i="58"/>
  <c r="O48" i="63"/>
  <c r="O34" i="63"/>
  <c r="N48" i="63"/>
  <c r="M42" i="63"/>
  <c r="M34" i="63"/>
  <c r="A26" i="58"/>
  <c r="L45" i="63"/>
  <c r="A21" i="58"/>
  <c r="M17" i="63"/>
  <c r="M48" i="63"/>
  <c r="N39" i="63"/>
  <c r="L39" i="63"/>
  <c r="C36" i="47"/>
  <c r="G48" i="47"/>
  <c r="A18" i="47"/>
  <c r="C24" i="47"/>
  <c r="A30" i="47"/>
  <c r="E42" i="47"/>
  <c r="C48" i="47"/>
  <c r="C16" i="47"/>
  <c r="E22" i="47"/>
  <c r="G28" i="47"/>
  <c r="E34" i="47"/>
  <c r="G40" i="47"/>
  <c r="B47" i="47"/>
  <c r="A15" i="47"/>
  <c r="G20" i="47"/>
  <c r="A50" i="47"/>
  <c r="B27" i="47"/>
  <c r="D33" i="47"/>
  <c r="B39" i="47"/>
  <c r="D45" i="47"/>
  <c r="H32" i="58"/>
  <c r="I14" i="58"/>
  <c r="I15" i="58" s="1"/>
  <c r="I16" i="58" s="1"/>
  <c r="I17" i="58" s="1"/>
  <c r="I18" i="58" s="1"/>
  <c r="I19" i="58" s="1"/>
  <c r="I20" i="58" s="1"/>
  <c r="F20" i="58"/>
  <c r="F28" i="58"/>
  <c r="A23" i="58"/>
  <c r="D23" i="56"/>
  <c r="H19" i="56"/>
  <c r="J27" i="57"/>
  <c r="F14" i="58"/>
  <c r="A25" i="58"/>
  <c r="A22" i="58"/>
  <c r="A30" i="58"/>
  <c r="E5" i="58"/>
  <c r="K21" i="57"/>
  <c r="A17" i="56"/>
  <c r="A18" i="56" s="1"/>
  <c r="A19" i="56" s="1"/>
  <c r="A20" i="56" s="1"/>
  <c r="A21" i="56" s="1"/>
  <c r="A22" i="56" s="1"/>
  <c r="J22" i="57"/>
  <c r="K23" i="57"/>
  <c r="H27" i="57"/>
  <c r="K22" i="57"/>
  <c r="H15" i="57"/>
  <c r="J14" i="57"/>
  <c r="J28" i="57"/>
  <c r="H17" i="56"/>
  <c r="J19" i="57"/>
  <c r="J30" i="57"/>
  <c r="J29" i="57"/>
  <c r="H26" i="57"/>
  <c r="H18" i="56"/>
  <c r="J18" i="57"/>
  <c r="K17" i="62"/>
  <c r="A15" i="57"/>
  <c r="A16" i="57" s="1"/>
  <c r="A17" i="57" s="1"/>
  <c r="A18" i="57" s="1"/>
  <c r="A19" i="57" s="1"/>
  <c r="A20" i="57" s="1"/>
  <c r="G32" i="57"/>
  <c r="J24" i="57"/>
  <c r="D21" i="56"/>
  <c r="I32" i="57"/>
  <c r="H14" i="57"/>
  <c r="J25" i="57"/>
  <c r="H22" i="57"/>
  <c r="J15" i="57"/>
  <c r="H20" i="57"/>
  <c r="K14" i="57"/>
  <c r="K15" i="57" s="1"/>
  <c r="K16" i="57" s="1"/>
  <c r="K17" i="57" s="1"/>
  <c r="K18" i="57" s="1"/>
  <c r="K19" i="57" s="1"/>
  <c r="K20" i="57" s="1"/>
  <c r="K26" i="57"/>
  <c r="H17" i="57"/>
  <c r="J23" i="57"/>
  <c r="J26" i="57"/>
  <c r="H24" i="57"/>
  <c r="J20" i="57"/>
  <c r="K25" i="57"/>
  <c r="J16" i="57"/>
  <c r="J21" i="57"/>
  <c r="H28" i="57"/>
  <c r="K36" i="55"/>
  <c r="K55" i="55"/>
  <c r="K24" i="57"/>
  <c r="K27" i="57"/>
  <c r="K30" i="57"/>
  <c r="J17" i="57"/>
  <c r="H23" i="57"/>
  <c r="H16" i="57"/>
  <c r="K28" i="57"/>
  <c r="H18" i="57"/>
  <c r="K44" i="55"/>
  <c r="L29" i="57"/>
  <c r="K29" i="57"/>
  <c r="M17" i="62"/>
  <c r="M34" i="45"/>
  <c r="O34" i="45"/>
  <c r="B13" i="61"/>
  <c r="A101" i="42" l="1"/>
  <c r="H104" i="42"/>
  <c r="H102" i="42"/>
  <c r="G104" i="42"/>
  <c r="G102" i="42"/>
  <c r="F104" i="42"/>
  <c r="F102" i="42"/>
  <c r="E104" i="42"/>
  <c r="I104" i="42" s="1"/>
  <c r="E102" i="42"/>
  <c r="D104" i="42"/>
  <c r="D102" i="42"/>
  <c r="C104" i="42"/>
  <c r="C102" i="42"/>
  <c r="B104" i="42"/>
  <c r="B102" i="42"/>
  <c r="A104" i="42"/>
  <c r="A102" i="42"/>
  <c r="H103" i="42"/>
  <c r="H101" i="42"/>
  <c r="G103" i="42"/>
  <c r="G101" i="42"/>
  <c r="F103" i="42"/>
  <c r="F101" i="42"/>
  <c r="E103" i="42"/>
  <c r="E101" i="42"/>
  <c r="D103" i="42"/>
  <c r="D101" i="42"/>
  <c r="C103" i="42"/>
  <c r="C101" i="42"/>
  <c r="B103" i="42"/>
  <c r="B101" i="42"/>
  <c r="A103" i="42"/>
  <c r="N69" i="60"/>
  <c r="P69" i="60" s="1"/>
  <c r="N48" i="60"/>
  <c r="N49" i="60"/>
  <c r="P49" i="60" s="1"/>
  <c r="F68" i="60" s="1"/>
  <c r="G68" i="60" s="1"/>
  <c r="I41" i="14"/>
  <c r="E41" i="69"/>
  <c r="N41" i="69"/>
  <c r="N158" i="60"/>
  <c r="A83" i="43"/>
  <c r="E83" i="43"/>
  <c r="C84" i="43"/>
  <c r="D83" i="43"/>
  <c r="B83" i="43"/>
  <c r="F83" i="43"/>
  <c r="D84" i="43"/>
  <c r="A84" i="43"/>
  <c r="C83" i="43"/>
  <c r="G83" i="43"/>
  <c r="F84" i="43"/>
  <c r="E84" i="43"/>
  <c r="B84" i="43"/>
  <c r="G84" i="43"/>
  <c r="F15" i="43"/>
  <c r="A53" i="43"/>
  <c r="F75" i="43"/>
  <c r="E66" i="43"/>
  <c r="D57" i="43"/>
  <c r="C77" i="43"/>
  <c r="B68" i="43"/>
  <c r="A59" i="43"/>
  <c r="D79" i="43"/>
  <c r="C70" i="43"/>
  <c r="B61" i="43"/>
  <c r="B82" i="43"/>
  <c r="A73" i="43"/>
  <c r="G63" i="43"/>
  <c r="F54" i="43"/>
  <c r="B75" i="43"/>
  <c r="A66" i="43"/>
  <c r="G56" i="43"/>
  <c r="F76" i="43"/>
  <c r="E67" i="43"/>
  <c r="D58" i="43"/>
  <c r="G78" i="43"/>
  <c r="F69" i="43"/>
  <c r="E60" i="43"/>
  <c r="E81" i="43"/>
  <c r="D72" i="43"/>
  <c r="C63" i="43"/>
  <c r="B54" i="43"/>
  <c r="G76" i="43"/>
  <c r="F67" i="43"/>
  <c r="E58" i="43"/>
  <c r="D78" i="43"/>
  <c r="C69" i="43"/>
  <c r="B60" i="43"/>
  <c r="E80" i="43"/>
  <c r="D71" i="43"/>
  <c r="C62" i="43"/>
  <c r="B53" i="43"/>
  <c r="B74" i="43"/>
  <c r="A65" i="43"/>
  <c r="G55" i="43"/>
  <c r="E78" i="43"/>
  <c r="D69" i="43"/>
  <c r="C60" i="43"/>
  <c r="B80" i="43"/>
  <c r="A71" i="43"/>
  <c r="G61" i="43"/>
  <c r="G82" i="43"/>
  <c r="B73" i="43"/>
  <c r="A64" i="43"/>
  <c r="G54" i="43"/>
  <c r="G75" i="43"/>
  <c r="F66" i="43"/>
  <c r="E57" i="43"/>
  <c r="E82" i="43"/>
  <c r="D73" i="43"/>
  <c r="C64" i="43"/>
  <c r="B55" i="43"/>
  <c r="A75" i="43"/>
  <c r="G65" i="43"/>
  <c r="F56" i="43"/>
  <c r="B77" i="43"/>
  <c r="A68" i="43"/>
  <c r="G58" i="43"/>
  <c r="G79" i="43"/>
  <c r="F70" i="43"/>
  <c r="E61" i="43"/>
  <c r="A82" i="43"/>
  <c r="G72" i="43"/>
  <c r="F63" i="43"/>
  <c r="E54" i="43"/>
  <c r="D74" i="43"/>
  <c r="C65" i="43"/>
  <c r="B56" i="43"/>
  <c r="E76" i="43"/>
  <c r="D67" i="43"/>
  <c r="C58" i="43"/>
  <c r="C79" i="43"/>
  <c r="B70" i="43"/>
  <c r="A61" i="43"/>
  <c r="D82" i="43"/>
  <c r="E74" i="43"/>
  <c r="D65" i="43"/>
  <c r="C56" i="43"/>
  <c r="B76" i="43"/>
  <c r="A67" i="43"/>
  <c r="G57" i="43"/>
  <c r="C78" i="43"/>
  <c r="B69" i="43"/>
  <c r="A60" i="43"/>
  <c r="A81" i="43"/>
  <c r="G71" i="43"/>
  <c r="F62" i="43"/>
  <c r="E53" i="43"/>
  <c r="C76" i="43"/>
  <c r="B67" i="43"/>
  <c r="A58" i="43"/>
  <c r="G77" i="43"/>
  <c r="F68" i="43"/>
  <c r="E59" i="43"/>
  <c r="A80" i="43"/>
  <c r="G70" i="43"/>
  <c r="F61" i="43"/>
  <c r="C82" i="43"/>
  <c r="E73" i="43"/>
  <c r="D64" i="43"/>
  <c r="C55" i="43"/>
  <c r="C80" i="43"/>
  <c r="B71" i="43"/>
  <c r="A62" i="43"/>
  <c r="G81" i="43"/>
  <c r="F72" i="43"/>
  <c r="E63" i="43"/>
  <c r="D54" i="43"/>
  <c r="G74" i="43"/>
  <c r="F65" i="43"/>
  <c r="E56" i="43"/>
  <c r="E77" i="43"/>
  <c r="D68" i="43"/>
  <c r="C59" i="43"/>
  <c r="F79" i="43"/>
  <c r="E70" i="43"/>
  <c r="D61" i="43"/>
  <c r="C81" i="43"/>
  <c r="B72" i="43"/>
  <c r="A63" i="43"/>
  <c r="G53" i="43"/>
  <c r="C74" i="43"/>
  <c r="B65" i="43"/>
  <c r="A56" i="43"/>
  <c r="A77" i="43"/>
  <c r="G67" i="43"/>
  <c r="F58" i="43"/>
  <c r="D81" i="43"/>
  <c r="C72" i="43"/>
  <c r="B63" i="43"/>
  <c r="A54" i="43"/>
  <c r="G73" i="43"/>
  <c r="F64" i="43"/>
  <c r="E55" i="43"/>
  <c r="A76" i="43"/>
  <c r="G66" i="43"/>
  <c r="F57" i="43"/>
  <c r="F78" i="43"/>
  <c r="E69" i="43"/>
  <c r="D60" i="43"/>
  <c r="F82" i="43"/>
  <c r="A74" i="43"/>
  <c r="G64" i="43"/>
  <c r="F55" i="43"/>
  <c r="E75" i="43"/>
  <c r="D66" i="43"/>
  <c r="C57" i="43"/>
  <c r="F77" i="43"/>
  <c r="E68" i="43"/>
  <c r="D59" i="43"/>
  <c r="D80" i="43"/>
  <c r="C71" i="43"/>
  <c r="B62" i="43"/>
  <c r="A78" i="43"/>
  <c r="G68" i="43"/>
  <c r="F59" i="43"/>
  <c r="E79" i="43"/>
  <c r="D70" i="43"/>
  <c r="C61" i="43"/>
  <c r="F81" i="43"/>
  <c r="E72" i="43"/>
  <c r="D63" i="43"/>
  <c r="C54" i="43"/>
  <c r="C75" i="43"/>
  <c r="B66" i="43"/>
  <c r="A57" i="43"/>
  <c r="D77" i="43"/>
  <c r="C68" i="43"/>
  <c r="B59" i="43"/>
  <c r="A79" i="43"/>
  <c r="G69" i="43"/>
  <c r="F60" i="43"/>
  <c r="B81" i="43"/>
  <c r="A72" i="43"/>
  <c r="G62" i="43"/>
  <c r="F53" i="43"/>
  <c r="F74" i="43"/>
  <c r="E65" i="43"/>
  <c r="D56" i="43"/>
  <c r="B79" i="43"/>
  <c r="A70" i="43"/>
  <c r="G60" i="43"/>
  <c r="F80" i="43"/>
  <c r="E71" i="43"/>
  <c r="D62" i="43"/>
  <c r="C53" i="43"/>
  <c r="F73" i="43"/>
  <c r="E64" i="43"/>
  <c r="D55" i="43"/>
  <c r="D76" i="43"/>
  <c r="C67" i="43"/>
  <c r="B58" i="43"/>
  <c r="G80" i="43"/>
  <c r="F71" i="43"/>
  <c r="E62" i="43"/>
  <c r="D53" i="43"/>
  <c r="C73" i="43"/>
  <c r="B64" i="43"/>
  <c r="A55" i="43"/>
  <c r="D75" i="43"/>
  <c r="C66" i="43"/>
  <c r="B57" i="43"/>
  <c r="B78" i="43"/>
  <c r="A69" i="43"/>
  <c r="G59" i="43"/>
  <c r="G42" i="43"/>
  <c r="G44" i="43"/>
  <c r="F21" i="43"/>
  <c r="G32" i="43"/>
  <c r="F46" i="43"/>
  <c r="G16" i="43"/>
  <c r="G31" i="43"/>
  <c r="F47" i="43"/>
  <c r="G15" i="43"/>
  <c r="F19" i="43"/>
  <c r="G14" i="43"/>
  <c r="G20" i="43"/>
  <c r="F42" i="43"/>
  <c r="G13" i="43"/>
  <c r="G51" i="43"/>
  <c r="G29" i="43"/>
  <c r="F12" i="43"/>
  <c r="G49" i="43"/>
  <c r="F16" i="43"/>
  <c r="F17" i="43"/>
  <c r="H5" i="39"/>
  <c r="F13" i="43"/>
  <c r="F45" i="43"/>
  <c r="G25" i="43"/>
  <c r="F36" i="43"/>
  <c r="F23" i="43"/>
  <c r="F33" i="43"/>
  <c r="F24" i="43"/>
  <c r="F29" i="43"/>
  <c r="G39" i="43"/>
  <c r="F34" i="43"/>
  <c r="G36" i="43"/>
  <c r="F30" i="43"/>
  <c r="F52" i="43"/>
  <c r="G27" i="43"/>
  <c r="G37" i="43"/>
  <c r="G28" i="43"/>
  <c r="G33" i="43"/>
  <c r="G23" i="43"/>
  <c r="F50" i="43"/>
  <c r="G35" i="43"/>
  <c r="G43" i="43"/>
  <c r="F22" i="43"/>
  <c r="G34" i="43"/>
  <c r="F14" i="43"/>
  <c r="F37" i="43"/>
  <c r="G24" i="43"/>
  <c r="G47" i="43"/>
  <c r="F27" i="43"/>
  <c r="G30" i="43"/>
  <c r="G21" i="43"/>
  <c r="G19" i="43"/>
  <c r="G12" i="43"/>
  <c r="G26" i="43"/>
  <c r="G17" i="43"/>
  <c r="G48" i="43"/>
  <c r="F28" i="43"/>
  <c r="F51" i="43"/>
  <c r="G22" i="43"/>
  <c r="G45" i="43"/>
  <c r="F25" i="43"/>
  <c r="F48" i="43"/>
  <c r="G18" i="43"/>
  <c r="G41" i="43"/>
  <c r="G40" i="43"/>
  <c r="F20" i="43"/>
  <c r="F43" i="43"/>
  <c r="G46" i="43"/>
  <c r="F26" i="43"/>
  <c r="F49" i="43"/>
  <c r="F31" i="43"/>
  <c r="F40" i="43"/>
  <c r="G50" i="43"/>
  <c r="F39" i="43"/>
  <c r="F44" i="43"/>
  <c r="F35" i="43"/>
  <c r="G38" i="43"/>
  <c r="F18" i="43"/>
  <c r="F41" i="43"/>
  <c r="G52" i="43"/>
  <c r="F32" i="43"/>
  <c r="D11" i="49"/>
  <c r="H11" i="49"/>
  <c r="E11" i="49"/>
  <c r="B11" i="49"/>
  <c r="F11" i="49"/>
  <c r="C11" i="49"/>
  <c r="G11" i="49"/>
  <c r="P48" i="60"/>
  <c r="N212" i="60"/>
  <c r="N216" i="60"/>
  <c r="P216" i="60" s="1"/>
  <c r="N264" i="60"/>
  <c r="P264" i="60" s="1"/>
  <c r="N88" i="60"/>
  <c r="P88" i="60" s="1"/>
  <c r="J15" i="14"/>
  <c r="K18" i="52"/>
  <c r="F11" i="48"/>
  <c r="D12" i="48"/>
  <c r="F14" i="48"/>
  <c r="H16" i="48"/>
  <c r="BW16" i="48" s="1"/>
  <c r="C19" i="48"/>
  <c r="E21" i="48"/>
  <c r="G23" i="48"/>
  <c r="T23" i="48" s="1"/>
  <c r="B26" i="48"/>
  <c r="D28" i="48"/>
  <c r="F30" i="48"/>
  <c r="H32" i="48"/>
  <c r="S32" i="48" s="1"/>
  <c r="C35" i="48"/>
  <c r="E37" i="48"/>
  <c r="E12" i="48"/>
  <c r="G14" i="48"/>
  <c r="T14" i="48" s="1"/>
  <c r="B17" i="48"/>
  <c r="D19" i="48"/>
  <c r="F21" i="48"/>
  <c r="H23" i="48"/>
  <c r="K23" i="48" s="1"/>
  <c r="C26" i="48"/>
  <c r="E28" i="48"/>
  <c r="G30" i="48"/>
  <c r="L30" i="48" s="1"/>
  <c r="B33" i="48"/>
  <c r="D35" i="48"/>
  <c r="F37" i="48"/>
  <c r="G13" i="48"/>
  <c r="L13" i="48" s="1"/>
  <c r="B16" i="48"/>
  <c r="D18" i="48"/>
  <c r="F20" i="48"/>
  <c r="H22" i="48"/>
  <c r="BW22" i="48" s="1"/>
  <c r="C25" i="48"/>
  <c r="E27" i="48"/>
  <c r="G29" i="48"/>
  <c r="AX29" i="48" s="1"/>
  <c r="B32" i="48"/>
  <c r="D34" i="48"/>
  <c r="F36" i="48"/>
  <c r="H38" i="48"/>
  <c r="BQ38" i="48" s="1"/>
  <c r="H13" i="48"/>
  <c r="S13" i="48" s="1"/>
  <c r="C16" i="48"/>
  <c r="E18" i="48"/>
  <c r="G20" i="48"/>
  <c r="CN20" i="48" s="1"/>
  <c r="B23" i="48"/>
  <c r="D25" i="48"/>
  <c r="F27" i="48"/>
  <c r="H29" i="48"/>
  <c r="DA29" i="48" s="1"/>
  <c r="C32" i="48"/>
  <c r="E34" i="48"/>
  <c r="G36" i="48"/>
  <c r="AX36" i="48" s="1"/>
  <c r="H12" i="48"/>
  <c r="M12" i="48" s="1"/>
  <c r="C15" i="48"/>
  <c r="E17" i="48"/>
  <c r="G19" i="48"/>
  <c r="AJ19" i="48" s="1"/>
  <c r="B22" i="48"/>
  <c r="D24" i="48"/>
  <c r="F26" i="48"/>
  <c r="H28" i="48"/>
  <c r="AE28" i="48" s="1"/>
  <c r="C31" i="48"/>
  <c r="E33" i="48"/>
  <c r="G35" i="48"/>
  <c r="L35" i="48" s="1"/>
  <c r="B38" i="48"/>
  <c r="B13" i="48"/>
  <c r="D15" i="48"/>
  <c r="F17" i="48"/>
  <c r="H19" i="48"/>
  <c r="AI19" i="48" s="1"/>
  <c r="C22" i="48"/>
  <c r="E24" i="48"/>
  <c r="G26" i="48"/>
  <c r="P26" i="48" s="1"/>
  <c r="B29" i="48"/>
  <c r="D31" i="48"/>
  <c r="F33" i="48"/>
  <c r="H35" i="48"/>
  <c r="AI35" i="48" s="1"/>
  <c r="C38" i="48"/>
  <c r="B12" i="48"/>
  <c r="D14" i="48"/>
  <c r="F16" i="48"/>
  <c r="H18" i="48"/>
  <c r="K18" i="48" s="1"/>
  <c r="C21" i="48"/>
  <c r="E23" i="48"/>
  <c r="G25" i="48"/>
  <c r="AN25" i="48" s="1"/>
  <c r="B28" i="48"/>
  <c r="D30" i="48"/>
  <c r="F32" i="48"/>
  <c r="H34" i="48"/>
  <c r="K34" i="48" s="1"/>
  <c r="C37" i="48"/>
  <c r="C12" i="48"/>
  <c r="E14" i="48"/>
  <c r="G16" i="48"/>
  <c r="L16" i="48" s="1"/>
  <c r="B19" i="48"/>
  <c r="D21" i="48"/>
  <c r="F23" i="48"/>
  <c r="H25" i="48"/>
  <c r="AI25" i="48" s="1"/>
  <c r="C28" i="48"/>
  <c r="E30" i="48"/>
  <c r="G32" i="48"/>
  <c r="AT32" i="48" s="1"/>
  <c r="B35" i="48"/>
  <c r="D37" i="48"/>
  <c r="E13" i="48"/>
  <c r="G15" i="48"/>
  <c r="T15" i="48" s="1"/>
  <c r="B18" i="48"/>
  <c r="D20" i="48"/>
  <c r="F22" i="48"/>
  <c r="H24" i="48"/>
  <c r="O24" i="48" s="1"/>
  <c r="C27" i="48"/>
  <c r="E29" i="48"/>
  <c r="G31" i="48"/>
  <c r="J31" i="48" s="1"/>
  <c r="B34" i="48"/>
  <c r="D36" i="48"/>
  <c r="F38" i="48"/>
  <c r="F13" i="48"/>
  <c r="H15" i="48"/>
  <c r="AE15" i="48" s="1"/>
  <c r="C18" i="48"/>
  <c r="E20" i="48"/>
  <c r="G22" i="48"/>
  <c r="CJ22" i="48" s="1"/>
  <c r="B25" i="48"/>
  <c r="D27" i="48"/>
  <c r="F29" i="48"/>
  <c r="H31" i="48"/>
  <c r="M31" i="48" s="1"/>
  <c r="C34" i="48"/>
  <c r="E36" i="48"/>
  <c r="G38" i="48"/>
  <c r="AP38" i="48" s="1"/>
  <c r="F12" i="48"/>
  <c r="H14" i="48"/>
  <c r="BW14" i="48" s="1"/>
  <c r="C17" i="48"/>
  <c r="E19" i="48"/>
  <c r="G21" i="48"/>
  <c r="P21" i="48" s="1"/>
  <c r="B24" i="48"/>
  <c r="D26" i="48"/>
  <c r="F28" i="48"/>
  <c r="AQ28" i="48" s="1"/>
  <c r="H30" i="48"/>
  <c r="AI30" i="48" s="1"/>
  <c r="C33" i="48"/>
  <c r="E35" i="48"/>
  <c r="G37" i="48"/>
  <c r="CR37" i="48" s="1"/>
  <c r="G12" i="48"/>
  <c r="BN12" i="48" s="1"/>
  <c r="B15" i="48"/>
  <c r="D17" i="48"/>
  <c r="F19" i="48"/>
  <c r="H21" i="48"/>
  <c r="CI21" i="48" s="1"/>
  <c r="C24" i="48"/>
  <c r="E26" i="48"/>
  <c r="G28" i="48"/>
  <c r="AF28" i="48" s="1"/>
  <c r="B31" i="48"/>
  <c r="D33" i="48"/>
  <c r="F35" i="48"/>
  <c r="AQ35" i="48" s="1"/>
  <c r="H37" i="48"/>
  <c r="CY37" i="48" s="1"/>
  <c r="B14" i="48"/>
  <c r="D16" i="48"/>
  <c r="F18" i="48"/>
  <c r="H20" i="48"/>
  <c r="AE20" i="48" s="1"/>
  <c r="C23" i="48"/>
  <c r="E25" i="48"/>
  <c r="G27" i="48"/>
  <c r="L27" i="48" s="1"/>
  <c r="B30" i="48"/>
  <c r="D32" i="48"/>
  <c r="F34" i="48"/>
  <c r="H36" i="48"/>
  <c r="BW36" i="48" s="1"/>
  <c r="C14" i="48"/>
  <c r="E16" i="48"/>
  <c r="G18" i="48"/>
  <c r="P18" i="48" s="1"/>
  <c r="B21" i="48"/>
  <c r="D23" i="48"/>
  <c r="F25" i="48"/>
  <c r="H27" i="48"/>
  <c r="S27" i="48" s="1"/>
  <c r="C30" i="48"/>
  <c r="E32" i="48"/>
  <c r="G34" i="48"/>
  <c r="AT34" i="48" s="1"/>
  <c r="B37" i="48"/>
  <c r="C13" i="48"/>
  <c r="E15" i="48"/>
  <c r="G17" i="48"/>
  <c r="BV17" i="48" s="1"/>
  <c r="B20" i="48"/>
  <c r="D22" i="48"/>
  <c r="F24" i="48"/>
  <c r="H26" i="48"/>
  <c r="BW26" i="48" s="1"/>
  <c r="C29" i="48"/>
  <c r="E31" i="48"/>
  <c r="G33" i="48"/>
  <c r="AB33" i="48" s="1"/>
  <c r="B36" i="48"/>
  <c r="D38" i="48"/>
  <c r="D13" i="48"/>
  <c r="F15" i="48"/>
  <c r="H17" i="48"/>
  <c r="K17" i="48" s="1"/>
  <c r="C20" i="48"/>
  <c r="E22" i="48"/>
  <c r="G24" i="48"/>
  <c r="B27" i="48"/>
  <c r="D29" i="48"/>
  <c r="F31" i="48"/>
  <c r="H33" i="48"/>
  <c r="W33" i="48" s="1"/>
  <c r="C36" i="48"/>
  <c r="E38" i="48"/>
  <c r="K25" i="48"/>
  <c r="X14" i="48"/>
  <c r="E11" i="48"/>
  <c r="B11" i="48"/>
  <c r="C11" i="48"/>
  <c r="G11" i="48"/>
  <c r="D11" i="48"/>
  <c r="H11" i="48"/>
  <c r="N217" i="60"/>
  <c r="P217" i="60" s="1"/>
  <c r="N263" i="60"/>
  <c r="P263" i="60" s="1"/>
  <c r="N87" i="60"/>
  <c r="N90" i="60" s="1"/>
  <c r="N187" i="60"/>
  <c r="P187" i="60" s="1"/>
  <c r="P135" i="60"/>
  <c r="P107" i="60"/>
  <c r="N110" i="60"/>
  <c r="P110" i="60" s="1"/>
  <c r="N161" i="60"/>
  <c r="P161" i="60" s="1"/>
  <c r="P185" i="60"/>
  <c r="B50" i="55"/>
  <c r="A49" i="55"/>
  <c r="N137" i="60"/>
  <c r="P137" i="60" s="1"/>
  <c r="P212" i="60"/>
  <c r="A15" i="55"/>
  <c r="N268" i="60"/>
  <c r="P268" i="60" s="1"/>
  <c r="N266" i="60"/>
  <c r="P266" i="60" s="1"/>
  <c r="N138" i="60"/>
  <c r="P138" i="60" s="1"/>
  <c r="P158" i="60"/>
  <c r="N159" i="60"/>
  <c r="P159" i="60" s="1"/>
  <c r="N215" i="60"/>
  <c r="P215" i="60" s="1"/>
  <c r="N213" i="60"/>
  <c r="P213" i="60" s="1"/>
  <c r="N188" i="60"/>
  <c r="P188" i="60" s="1"/>
  <c r="N267" i="60"/>
  <c r="P267" i="60" s="1"/>
  <c r="N265" i="60"/>
  <c r="P265" i="60" s="1"/>
  <c r="N109" i="60"/>
  <c r="P109" i="60" s="1"/>
  <c r="N160" i="60"/>
  <c r="P160" i="60" s="1"/>
  <c r="N214" i="60"/>
  <c r="P214" i="60" s="1"/>
  <c r="N189" i="60"/>
  <c r="P189" i="60" s="1"/>
  <c r="P29" i="60"/>
  <c r="F47" i="60" s="1"/>
  <c r="G47" i="60" s="1"/>
  <c r="N47" i="60" s="1"/>
  <c r="N32" i="60"/>
  <c r="N11" i="60"/>
  <c r="P9" i="60"/>
  <c r="B14" i="61"/>
  <c r="I15" i="14"/>
  <c r="L18" i="52"/>
  <c r="O18" i="63"/>
  <c r="M18" i="52"/>
  <c r="N18" i="52"/>
  <c r="I13" i="42"/>
  <c r="L22" i="52"/>
  <c r="M22" i="52"/>
  <c r="K22" i="52"/>
  <c r="L18" i="63"/>
  <c r="N18" i="63"/>
  <c r="J41" i="14"/>
  <c r="N53" i="63"/>
  <c r="L53" i="63"/>
  <c r="I32" i="58"/>
  <c r="M53" i="63"/>
  <c r="O53" i="63"/>
  <c r="N22" i="52"/>
  <c r="M18" i="63"/>
  <c r="G51" i="47"/>
  <c r="B21" i="42"/>
  <c r="C51" i="43"/>
  <c r="A49" i="43"/>
  <c r="D44" i="43"/>
  <c r="B42" i="43"/>
  <c r="E37" i="43"/>
  <c r="E42" i="43"/>
  <c r="E39" i="43"/>
  <c r="D34" i="43"/>
  <c r="B32" i="43"/>
  <c r="E27" i="43"/>
  <c r="C25" i="43"/>
  <c r="A23" i="43"/>
  <c r="D18" i="43"/>
  <c r="B16" i="43"/>
  <c r="D51" i="43"/>
  <c r="D47" i="43"/>
  <c r="B43" i="43"/>
  <c r="B39" i="43"/>
  <c r="E32" i="43"/>
  <c r="E29" i="43"/>
  <c r="E26" i="43"/>
  <c r="D23" i="43"/>
  <c r="D20" i="43"/>
  <c r="D17" i="43"/>
  <c r="C14" i="43"/>
  <c r="E38" i="43"/>
  <c r="C35" i="43"/>
  <c r="C32" i="43"/>
  <c r="B29" i="43"/>
  <c r="B26" i="43"/>
  <c r="B23" i="43"/>
  <c r="A20" i="43"/>
  <c r="A17" i="43"/>
  <c r="A14" i="43"/>
  <c r="D45" i="43"/>
  <c r="D41" i="43"/>
  <c r="D37" i="43"/>
  <c r="C34" i="43"/>
  <c r="C31" i="43"/>
  <c r="C28" i="43"/>
  <c r="B25" i="43"/>
  <c r="B22" i="43"/>
  <c r="B19" i="43"/>
  <c r="A16" i="43"/>
  <c r="A13" i="43"/>
  <c r="B49" i="43"/>
  <c r="A34" i="43"/>
  <c r="A40" i="43"/>
  <c r="B27" i="43"/>
  <c r="A47" i="43"/>
  <c r="D32" i="43"/>
  <c r="C20" i="43"/>
  <c r="E25" i="43"/>
  <c r="D13" i="43"/>
  <c r="D48" i="43"/>
  <c r="B46" i="43"/>
  <c r="E41" i="43"/>
  <c r="C39" i="43"/>
  <c r="A51" i="43"/>
  <c r="A48" i="43"/>
  <c r="B36" i="43"/>
  <c r="E31" i="43"/>
  <c r="C29" i="43"/>
  <c r="A27" i="43"/>
  <c r="D22" i="43"/>
  <c r="B20" i="43"/>
  <c r="E15" i="43"/>
  <c r="C13" i="43"/>
  <c r="D50" i="43"/>
  <c r="C46" i="43"/>
  <c r="C42" i="43"/>
  <c r="C38" i="43"/>
  <c r="E16" i="43"/>
  <c r="E13" i="43"/>
  <c r="E34" i="43"/>
  <c r="D31" i="43"/>
  <c r="D28" i="43"/>
  <c r="D25" i="43"/>
  <c r="C22" i="43"/>
  <c r="C19" i="43"/>
  <c r="C16" i="43"/>
  <c r="B13" i="43"/>
  <c r="E48" i="43"/>
  <c r="E44" i="43"/>
  <c r="E40" i="43"/>
  <c r="E36" i="43"/>
  <c r="E33" i="43"/>
  <c r="E30" i="43"/>
  <c r="D27" i="43"/>
  <c r="D24" i="43"/>
  <c r="D21" i="43"/>
  <c r="C18" i="43"/>
  <c r="C15" i="43"/>
  <c r="C12" i="43"/>
  <c r="B45" i="43"/>
  <c r="B52" i="43"/>
  <c r="C36" i="43"/>
  <c r="A24" i="43"/>
  <c r="A43" i="43"/>
  <c r="D29" i="43"/>
  <c r="B17" i="43"/>
  <c r="A50" i="43"/>
  <c r="E22" i="43"/>
  <c r="D52" i="43"/>
  <c r="B50" i="43"/>
  <c r="E45" i="43"/>
  <c r="C43" i="43"/>
  <c r="A41" i="43"/>
  <c r="C50" i="43"/>
  <c r="B47" i="43"/>
  <c r="B44" i="43"/>
  <c r="B41" i="43"/>
  <c r="A38" i="43"/>
  <c r="E35" i="43"/>
  <c r="C33" i="43"/>
  <c r="A31" i="43"/>
  <c r="D26" i="43"/>
  <c r="B24" i="43"/>
  <c r="E19" i="43"/>
  <c r="C17" i="43"/>
  <c r="A15" i="43"/>
  <c r="C49" i="43"/>
  <c r="E49" i="43"/>
  <c r="C47" i="43"/>
  <c r="A45" i="43"/>
  <c r="D40" i="43"/>
  <c r="B38" i="43"/>
  <c r="E52" i="43"/>
  <c r="D49" i="43"/>
  <c r="D46" i="43"/>
  <c r="D43" i="43"/>
  <c r="C40" i="43"/>
  <c r="C37" i="43"/>
  <c r="A35" i="43"/>
  <c r="D30" i="43"/>
  <c r="B28" i="43"/>
  <c r="E23" i="43"/>
  <c r="C21" i="43"/>
  <c r="A19" i="43"/>
  <c r="D14" i="43"/>
  <c r="B12" i="43"/>
  <c r="C52" i="43"/>
  <c r="C48" i="43"/>
  <c r="C44" i="43"/>
  <c r="B40" i="43"/>
  <c r="D36" i="43"/>
  <c r="D33" i="43"/>
  <c r="C30" i="43"/>
  <c r="C27" i="43"/>
  <c r="C24" i="43"/>
  <c r="B21" i="43"/>
  <c r="B18" i="43"/>
  <c r="B15" i="43"/>
  <c r="A12" i="43"/>
  <c r="A89" i="43" s="1"/>
  <c r="A52" i="43"/>
  <c r="A36" i="43"/>
  <c r="A33" i="43"/>
  <c r="A30" i="43"/>
  <c r="E50" i="43"/>
  <c r="E46" i="43"/>
  <c r="D42" i="43"/>
  <c r="D38" i="43"/>
  <c r="B35" i="43"/>
  <c r="A32" i="43"/>
  <c r="A29" i="43"/>
  <c r="A26" i="43"/>
  <c r="A37" i="43"/>
  <c r="E12" i="43"/>
  <c r="A44" i="43"/>
  <c r="B30" i="43"/>
  <c r="A18" i="43"/>
  <c r="B51" i="43"/>
  <c r="D35" i="43"/>
  <c r="C23" i="43"/>
  <c r="A42" i="43"/>
  <c r="E28" i="43"/>
  <c r="D16" i="43"/>
  <c r="C45" i="43"/>
  <c r="B31" i="43"/>
  <c r="E24" i="43"/>
  <c r="D12" i="43"/>
  <c r="E43" i="43"/>
  <c r="E17" i="43"/>
  <c r="A21" i="43"/>
  <c r="A39" i="43"/>
  <c r="C41" i="43"/>
  <c r="A28" i="43"/>
  <c r="E21" i="43"/>
  <c r="D39" i="43"/>
  <c r="E14" i="43"/>
  <c r="C26" i="43"/>
  <c r="A46" i="43"/>
  <c r="B37" i="43"/>
  <c r="A25" i="43"/>
  <c r="E18" i="43"/>
  <c r="E51" i="43"/>
  <c r="B48" i="43"/>
  <c r="B14" i="43"/>
  <c r="B34" i="43"/>
  <c r="A22" i="43"/>
  <c r="D15" i="43"/>
  <c r="E47" i="43"/>
  <c r="E20" i="43"/>
  <c r="B33" i="43"/>
  <c r="D19" i="43"/>
  <c r="H11" i="50"/>
  <c r="F11" i="51"/>
  <c r="D11" i="50"/>
  <c r="F11" i="50"/>
  <c r="D11" i="51"/>
  <c r="C11" i="51"/>
  <c r="E11" i="51"/>
  <c r="H11" i="51"/>
  <c r="C11" i="50"/>
  <c r="G11" i="51"/>
  <c r="G11" i="50"/>
  <c r="B11" i="50"/>
  <c r="E11" i="50"/>
  <c r="B11" i="51"/>
  <c r="A16" i="42"/>
  <c r="H99" i="42"/>
  <c r="H97" i="42"/>
  <c r="H95" i="42"/>
  <c r="H93" i="42"/>
  <c r="H91" i="42"/>
  <c r="H89" i="42"/>
  <c r="H87" i="42"/>
  <c r="H85" i="42"/>
  <c r="H83" i="42"/>
  <c r="H81" i="42"/>
  <c r="H79" i="42"/>
  <c r="H77" i="42"/>
  <c r="H75" i="42"/>
  <c r="H73" i="42"/>
  <c r="H71" i="42"/>
  <c r="H69" i="42"/>
  <c r="H67" i="42"/>
  <c r="H65" i="42"/>
  <c r="H63" i="42"/>
  <c r="H61" i="42"/>
  <c r="H59" i="42"/>
  <c r="H57" i="42"/>
  <c r="H55" i="42"/>
  <c r="H53" i="42"/>
  <c r="H51" i="42"/>
  <c r="H49" i="42"/>
  <c r="H47" i="42"/>
  <c r="H45" i="42"/>
  <c r="H43" i="42"/>
  <c r="H41" i="42"/>
  <c r="H39" i="42"/>
  <c r="H37" i="42"/>
  <c r="H35" i="42"/>
  <c r="H33" i="42"/>
  <c r="H31" i="42"/>
  <c r="H29" i="42"/>
  <c r="H27" i="42"/>
  <c r="H25" i="42"/>
  <c r="H23" i="42"/>
  <c r="H21" i="42"/>
  <c r="H19" i="42"/>
  <c r="H17" i="42"/>
  <c r="A100" i="42"/>
  <c r="C97" i="42"/>
  <c r="F94" i="42"/>
  <c r="A92" i="42"/>
  <c r="C89" i="42"/>
  <c r="F86" i="42"/>
  <c r="A84" i="42"/>
  <c r="C81" i="42"/>
  <c r="F78" i="42"/>
  <c r="A76" i="42"/>
  <c r="C73" i="42"/>
  <c r="F70" i="42"/>
  <c r="A68" i="42"/>
  <c r="C65" i="42"/>
  <c r="F62" i="42"/>
  <c r="A60" i="42"/>
  <c r="C57" i="42"/>
  <c r="F54" i="42"/>
  <c r="A52" i="42"/>
  <c r="F99" i="42"/>
  <c r="A97" i="42"/>
  <c r="C94" i="42"/>
  <c r="F91" i="42"/>
  <c r="E18" i="42"/>
  <c r="H98" i="42"/>
  <c r="D96" i="42"/>
  <c r="D93" i="42"/>
  <c r="H90" i="42"/>
  <c r="D88" i="42"/>
  <c r="D85" i="42"/>
  <c r="H82" i="42"/>
  <c r="D80" i="42"/>
  <c r="D77" i="42"/>
  <c r="H74" i="42"/>
  <c r="D72" i="42"/>
  <c r="D69" i="42"/>
  <c r="H66" i="42"/>
  <c r="D64" i="42"/>
  <c r="D61" i="42"/>
  <c r="H58" i="42"/>
  <c r="D56" i="42"/>
  <c r="D53" i="42"/>
  <c r="H50" i="42"/>
  <c r="D48" i="42"/>
  <c r="D45" i="42"/>
  <c r="H42" i="42"/>
  <c r="D40" i="42"/>
  <c r="D37" i="42"/>
  <c r="H34" i="42"/>
  <c r="D32" i="42"/>
  <c r="D29" i="42"/>
  <c r="H26" i="42"/>
  <c r="D24" i="42"/>
  <c r="D21" i="42"/>
  <c r="H18" i="42"/>
  <c r="F100" i="42"/>
  <c r="F96" i="42"/>
  <c r="C93" i="42"/>
  <c r="A90" i="42"/>
  <c r="A86" i="42"/>
  <c r="F82" i="42"/>
  <c r="C79" i="42"/>
  <c r="C75" i="42"/>
  <c r="A72" i="42"/>
  <c r="F68" i="42"/>
  <c r="F64" i="42"/>
  <c r="C61" i="42"/>
  <c r="A58" i="42"/>
  <c r="A54" i="42"/>
  <c r="F50" i="42"/>
  <c r="F97" i="42"/>
  <c r="F93" i="42"/>
  <c r="C90" i="42"/>
  <c r="F87" i="42"/>
  <c r="A85" i="42"/>
  <c r="C82" i="42"/>
  <c r="F79" i="42"/>
  <c r="A77" i="42"/>
  <c r="C74" i="42"/>
  <c r="F71" i="42"/>
  <c r="A69" i="42"/>
  <c r="C66" i="42"/>
  <c r="F63" i="42"/>
  <c r="A61" i="42"/>
  <c r="C58" i="42"/>
  <c r="F55" i="42"/>
  <c r="G100" i="42"/>
  <c r="B98" i="42"/>
  <c r="E95" i="42"/>
  <c r="G92" i="42"/>
  <c r="B90" i="42"/>
  <c r="E87" i="42"/>
  <c r="G84" i="42"/>
  <c r="B82" i="42"/>
  <c r="E79" i="42"/>
  <c r="G76" i="42"/>
  <c r="B74" i="42"/>
  <c r="E71" i="42"/>
  <c r="G68" i="42"/>
  <c r="B66" i="42"/>
  <c r="E63" i="42"/>
  <c r="G60" i="42"/>
  <c r="B58" i="42"/>
  <c r="E55" i="42"/>
  <c r="G52" i="42"/>
  <c r="B50" i="42"/>
  <c r="G91" i="42"/>
  <c r="B81" i="42"/>
  <c r="E70" i="42"/>
  <c r="G59" i="42"/>
  <c r="B51" i="42"/>
  <c r="A48" i="42"/>
  <c r="C45" i="42"/>
  <c r="F42" i="42"/>
  <c r="A40" i="42"/>
  <c r="C37" i="42"/>
  <c r="F34" i="42"/>
  <c r="A32" i="42"/>
  <c r="C29" i="42"/>
  <c r="F26" i="42"/>
  <c r="A24" i="42"/>
  <c r="C21" i="42"/>
  <c r="F18" i="42"/>
  <c r="B16" i="42"/>
  <c r="B14" i="42"/>
  <c r="B91" i="42"/>
  <c r="E80" i="42"/>
  <c r="G69" i="42"/>
  <c r="B59" i="42"/>
  <c r="A51" i="42"/>
  <c r="G47" i="42"/>
  <c r="B45" i="42"/>
  <c r="E42" i="42"/>
  <c r="G39" i="42"/>
  <c r="B37" i="42"/>
  <c r="E34" i="42"/>
  <c r="G31" i="42"/>
  <c r="B29" i="42"/>
  <c r="E26" i="42"/>
  <c r="G23" i="42"/>
  <c r="B93" i="42"/>
  <c r="E82" i="42"/>
  <c r="G71" i="42"/>
  <c r="B61" i="42"/>
  <c r="G51" i="42"/>
  <c r="C48" i="42"/>
  <c r="F45" i="42"/>
  <c r="A43" i="42"/>
  <c r="C40" i="42"/>
  <c r="F37" i="42"/>
  <c r="A35" i="42"/>
  <c r="C32" i="42"/>
  <c r="F29" i="42"/>
  <c r="A27" i="42"/>
  <c r="C24" i="42"/>
  <c r="F21" i="42"/>
  <c r="A19" i="42"/>
  <c r="D16" i="42"/>
  <c r="D14" i="42"/>
  <c r="E92" i="42"/>
  <c r="G81" i="42"/>
  <c r="B71" i="42"/>
  <c r="E60" i="42"/>
  <c r="F51" i="42"/>
  <c r="B48" i="42"/>
  <c r="E45" i="42"/>
  <c r="G42" i="42"/>
  <c r="B40" i="42"/>
  <c r="E37" i="42"/>
  <c r="G34" i="42"/>
  <c r="B32" i="42"/>
  <c r="E29" i="42"/>
  <c r="G26" i="42"/>
  <c r="B24" i="42"/>
  <c r="E21" i="42"/>
  <c r="G18" i="42"/>
  <c r="C16" i="42"/>
  <c r="C14" i="42"/>
  <c r="B19" i="42"/>
  <c r="G19" i="42"/>
  <c r="H100" i="42"/>
  <c r="D98" i="42"/>
  <c r="D95" i="42"/>
  <c r="H92" i="42"/>
  <c r="D90" i="42"/>
  <c r="D87" i="42"/>
  <c r="H84" i="42"/>
  <c r="D82" i="42"/>
  <c r="D79" i="42"/>
  <c r="H76" i="42"/>
  <c r="D74" i="42"/>
  <c r="D71" i="42"/>
  <c r="H68" i="42"/>
  <c r="D66" i="42"/>
  <c r="D63" i="42"/>
  <c r="H60" i="42"/>
  <c r="D58" i="42"/>
  <c r="D55" i="42"/>
  <c r="H52" i="42"/>
  <c r="D50" i="42"/>
  <c r="D47" i="42"/>
  <c r="H44" i="42"/>
  <c r="D42" i="42"/>
  <c r="D39" i="42"/>
  <c r="H36" i="42"/>
  <c r="D34" i="42"/>
  <c r="D31" i="42"/>
  <c r="H28" i="42"/>
  <c r="D26" i="42"/>
  <c r="D23" i="42"/>
  <c r="H20" i="42"/>
  <c r="D18" i="42"/>
  <c r="C99" i="42"/>
  <c r="A96" i="42"/>
  <c r="F92" i="42"/>
  <c r="F88" i="42"/>
  <c r="C85" i="42"/>
  <c r="A82" i="42"/>
  <c r="A78" i="42"/>
  <c r="F74" i="42"/>
  <c r="C71" i="42"/>
  <c r="C67" i="42"/>
  <c r="A64" i="42"/>
  <c r="F60" i="42"/>
  <c r="F56" i="42"/>
  <c r="C53" i="42"/>
  <c r="C100" i="42"/>
  <c r="C96" i="42"/>
  <c r="A93" i="42"/>
  <c r="F89" i="42"/>
  <c r="A87" i="42"/>
  <c r="C84" i="42"/>
  <c r="F81" i="42"/>
  <c r="A79" i="42"/>
  <c r="C76" i="42"/>
  <c r="F73" i="42"/>
  <c r="A71" i="42"/>
  <c r="C68" i="42"/>
  <c r="F65" i="42"/>
  <c r="A63" i="42"/>
  <c r="C60" i="42"/>
  <c r="F57" i="42"/>
  <c r="A55" i="42"/>
  <c r="B100" i="42"/>
  <c r="E97" i="42"/>
  <c r="G94" i="42"/>
  <c r="B92" i="42"/>
  <c r="E89" i="42"/>
  <c r="G86" i="42"/>
  <c r="B84" i="42"/>
  <c r="E81" i="42"/>
  <c r="G78" i="42"/>
  <c r="B76" i="42"/>
  <c r="E73" i="42"/>
  <c r="G70" i="42"/>
  <c r="B68" i="42"/>
  <c r="E65" i="42"/>
  <c r="G62" i="42"/>
  <c r="B60" i="42"/>
  <c r="E57" i="42"/>
  <c r="G54" i="42"/>
  <c r="B52" i="42"/>
  <c r="G99" i="42"/>
  <c r="B89" i="42"/>
  <c r="E78" i="42"/>
  <c r="G67" i="42"/>
  <c r="B57" i="42"/>
  <c r="A50" i="42"/>
  <c r="C47" i="42"/>
  <c r="F44" i="42"/>
  <c r="A42" i="42"/>
  <c r="C39" i="42"/>
  <c r="F36" i="42"/>
  <c r="A34" i="42"/>
  <c r="C31" i="42"/>
  <c r="F28" i="42"/>
  <c r="A26" i="42"/>
  <c r="C23" i="42"/>
  <c r="F20" i="42"/>
  <c r="A18" i="42"/>
  <c r="F15" i="42"/>
  <c r="B99" i="42"/>
  <c r="E88" i="42"/>
  <c r="G77" i="42"/>
  <c r="B67" i="42"/>
  <c r="E56" i="42"/>
  <c r="G49" i="42"/>
  <c r="B47" i="42"/>
  <c r="E44" i="42"/>
  <c r="G41" i="42"/>
  <c r="B39" i="42"/>
  <c r="E36" i="42"/>
  <c r="G33" i="42"/>
  <c r="B31" i="42"/>
  <c r="E28" i="42"/>
  <c r="G25" i="42"/>
  <c r="B23" i="42"/>
  <c r="E90" i="42"/>
  <c r="G79" i="42"/>
  <c r="B69" i="42"/>
  <c r="E58" i="42"/>
  <c r="E50" i="42"/>
  <c r="F47" i="42"/>
  <c r="A45" i="42"/>
  <c r="C42" i="42"/>
  <c r="F39" i="42"/>
  <c r="A37" i="42"/>
  <c r="C34" i="42"/>
  <c r="F31" i="42"/>
  <c r="A29" i="42"/>
  <c r="C26" i="42"/>
  <c r="F23" i="42"/>
  <c r="A21" i="42"/>
  <c r="C18" i="42"/>
  <c r="H15" i="42"/>
  <c r="E100" i="42"/>
  <c r="G89" i="42"/>
  <c r="B79" i="42"/>
  <c r="E68" i="42"/>
  <c r="G57" i="42"/>
  <c r="C50" i="42"/>
  <c r="E47" i="42"/>
  <c r="G44" i="42"/>
  <c r="B42" i="42"/>
  <c r="E39" i="42"/>
  <c r="G36" i="42"/>
  <c r="B34" i="42"/>
  <c r="E31" i="42"/>
  <c r="G28" i="42"/>
  <c r="B26" i="42"/>
  <c r="E23" i="42"/>
  <c r="G20" i="42"/>
  <c r="B18" i="42"/>
  <c r="G15" i="42"/>
  <c r="G21" i="42"/>
  <c r="E22" i="42"/>
  <c r="E15" i="42"/>
  <c r="D100" i="42"/>
  <c r="D97" i="42"/>
  <c r="H94" i="42"/>
  <c r="D92" i="42"/>
  <c r="D89" i="42"/>
  <c r="H86" i="42"/>
  <c r="D84" i="42"/>
  <c r="D81" i="42"/>
  <c r="H78" i="42"/>
  <c r="D76" i="42"/>
  <c r="D73" i="42"/>
  <c r="H70" i="42"/>
  <c r="D68" i="42"/>
  <c r="D65" i="42"/>
  <c r="H62" i="42"/>
  <c r="D60" i="42"/>
  <c r="D57" i="42"/>
  <c r="H54" i="42"/>
  <c r="D52" i="42"/>
  <c r="D49" i="42"/>
  <c r="H46" i="42"/>
  <c r="D44" i="42"/>
  <c r="D41" i="42"/>
  <c r="H38" i="42"/>
  <c r="D36" i="42"/>
  <c r="D33" i="42"/>
  <c r="H30" i="42"/>
  <c r="D28" i="42"/>
  <c r="D25" i="42"/>
  <c r="H22" i="42"/>
  <c r="D20" i="42"/>
  <c r="D17" i="42"/>
  <c r="F98" i="42"/>
  <c r="C95" i="42"/>
  <c r="C91" i="42"/>
  <c r="A88" i="42"/>
  <c r="F84" i="42"/>
  <c r="F80" i="42"/>
  <c r="C77" i="42"/>
  <c r="A74" i="42"/>
  <c r="A70" i="42"/>
  <c r="F66" i="42"/>
  <c r="C63" i="42"/>
  <c r="C59" i="42"/>
  <c r="A56" i="42"/>
  <c r="F52" i="42"/>
  <c r="A99" i="42"/>
  <c r="F95" i="42"/>
  <c r="C92" i="42"/>
  <c r="A89" i="42"/>
  <c r="C86" i="42"/>
  <c r="F83" i="42"/>
  <c r="A81" i="42"/>
  <c r="C78" i="42"/>
  <c r="F75" i="42"/>
  <c r="A73" i="42"/>
  <c r="C70" i="42"/>
  <c r="F67" i="42"/>
  <c r="A65" i="42"/>
  <c r="C62" i="42"/>
  <c r="F59" i="42"/>
  <c r="A57" i="42"/>
  <c r="C54" i="42"/>
  <c r="E99" i="42"/>
  <c r="G96" i="42"/>
  <c r="B94" i="42"/>
  <c r="E91" i="42"/>
  <c r="G88" i="42"/>
  <c r="B86" i="42"/>
  <c r="E83" i="42"/>
  <c r="G80" i="42"/>
  <c r="B78" i="42"/>
  <c r="E75" i="42"/>
  <c r="G72" i="42"/>
  <c r="B70" i="42"/>
  <c r="E67" i="42"/>
  <c r="G64" i="42"/>
  <c r="B62" i="42"/>
  <c r="E59" i="42"/>
  <c r="G56" i="42"/>
  <c r="B54" i="42"/>
  <c r="E51" i="42"/>
  <c r="B97" i="42"/>
  <c r="E86" i="42"/>
  <c r="G75" i="42"/>
  <c r="B65" i="42"/>
  <c r="E54" i="42"/>
  <c r="C49" i="42"/>
  <c r="F46" i="42"/>
  <c r="A44" i="42"/>
  <c r="C41" i="42"/>
  <c r="F38" i="42"/>
  <c r="A36" i="42"/>
  <c r="C33" i="42"/>
  <c r="F30" i="42"/>
  <c r="A28" i="42"/>
  <c r="C25" i="42"/>
  <c r="F22" i="42"/>
  <c r="A20" i="42"/>
  <c r="C17" i="42"/>
  <c r="B15" i="42"/>
  <c r="E96" i="42"/>
  <c r="G85" i="42"/>
  <c r="B75" i="42"/>
  <c r="E64" i="42"/>
  <c r="G53" i="42"/>
  <c r="B49" i="42"/>
  <c r="E46" i="42"/>
  <c r="G43" i="42"/>
  <c r="B41" i="42"/>
  <c r="E38" i="42"/>
  <c r="G35" i="42"/>
  <c r="B33" i="42"/>
  <c r="E30" i="42"/>
  <c r="G27" i="42"/>
  <c r="B25" i="42"/>
  <c r="E98" i="42"/>
  <c r="G87" i="42"/>
  <c r="B77" i="42"/>
  <c r="E66" i="42"/>
  <c r="G55" i="42"/>
  <c r="F49" i="42"/>
  <c r="A47" i="42"/>
  <c r="C44" i="42"/>
  <c r="F41" i="42"/>
  <c r="A39" i="42"/>
  <c r="C36" i="42"/>
  <c r="F33" i="42"/>
  <c r="A31" i="42"/>
  <c r="C28" i="42"/>
  <c r="F25" i="42"/>
  <c r="A23" i="42"/>
  <c r="C20" i="42"/>
  <c r="F17" i="42"/>
  <c r="D15" i="42"/>
  <c r="G97" i="42"/>
  <c r="B87" i="42"/>
  <c r="E76" i="42"/>
  <c r="G65" i="42"/>
  <c r="B55" i="42"/>
  <c r="E49" i="42"/>
  <c r="G46" i="42"/>
  <c r="B44" i="42"/>
  <c r="E41" i="42"/>
  <c r="G38" i="42"/>
  <c r="B36" i="42"/>
  <c r="E33" i="42"/>
  <c r="G30" i="42"/>
  <c r="B28" i="42"/>
  <c r="E25" i="42"/>
  <c r="G22" i="42"/>
  <c r="B20" i="42"/>
  <c r="E17" i="42"/>
  <c r="C15" i="42"/>
  <c r="E14" i="42"/>
  <c r="A15" i="42"/>
  <c r="G17" i="42"/>
  <c r="A14" i="42"/>
  <c r="A110" i="42" s="1"/>
  <c r="D99" i="42"/>
  <c r="H96" i="42"/>
  <c r="D94" i="42"/>
  <c r="D91" i="42"/>
  <c r="H88" i="42"/>
  <c r="D86" i="42"/>
  <c r="D83" i="42"/>
  <c r="H80" i="42"/>
  <c r="D78" i="42"/>
  <c r="D75" i="42"/>
  <c r="H72" i="42"/>
  <c r="D70" i="42"/>
  <c r="D67" i="42"/>
  <c r="H64" i="42"/>
  <c r="D62" i="42"/>
  <c r="D59" i="42"/>
  <c r="H56" i="42"/>
  <c r="D54" i="42"/>
  <c r="D51" i="42"/>
  <c r="H48" i="42"/>
  <c r="D46" i="42"/>
  <c r="D43" i="42"/>
  <c r="H40" i="42"/>
  <c r="D38" i="42"/>
  <c r="D35" i="42"/>
  <c r="H32" i="42"/>
  <c r="D30" i="42"/>
  <c r="D27" i="42"/>
  <c r="H24" i="42"/>
  <c r="D22" i="42"/>
  <c r="D19" i="42"/>
  <c r="H16" i="42"/>
  <c r="A98" i="42"/>
  <c r="A94" i="42"/>
  <c r="F90" i="42"/>
  <c r="C87" i="42"/>
  <c r="C83" i="42"/>
  <c r="A80" i="42"/>
  <c r="F76" i="42"/>
  <c r="F72" i="42"/>
  <c r="C69" i="42"/>
  <c r="A66" i="42"/>
  <c r="A62" i="42"/>
  <c r="F58" i="42"/>
  <c r="C55" i="42"/>
  <c r="C51" i="42"/>
  <c r="C98" i="42"/>
  <c r="A95" i="42"/>
  <c r="A91" i="42"/>
  <c r="C88" i="42"/>
  <c r="F85" i="42"/>
  <c r="A83" i="42"/>
  <c r="C80" i="42"/>
  <c r="F77" i="42"/>
  <c r="A75" i="42"/>
  <c r="C72" i="42"/>
  <c r="F69" i="42"/>
  <c r="A67" i="42"/>
  <c r="C64" i="42"/>
  <c r="F61" i="42"/>
  <c r="A59" i="42"/>
  <c r="C56" i="42"/>
  <c r="F53" i="42"/>
  <c r="G98" i="42"/>
  <c r="B96" i="42"/>
  <c r="E93" i="42"/>
  <c r="G90" i="42"/>
  <c r="B88" i="42"/>
  <c r="E85" i="42"/>
  <c r="G82" i="42"/>
  <c r="B80" i="42"/>
  <c r="E77" i="42"/>
  <c r="G74" i="42"/>
  <c r="B72" i="42"/>
  <c r="E69" i="42"/>
  <c r="G66" i="42"/>
  <c r="B64" i="42"/>
  <c r="E61" i="42"/>
  <c r="G58" i="42"/>
  <c r="B56" i="42"/>
  <c r="E53" i="42"/>
  <c r="G50" i="42"/>
  <c r="E94" i="42"/>
  <c r="G83" i="42"/>
  <c r="B73" i="42"/>
  <c r="E62" i="42"/>
  <c r="E52" i="42"/>
  <c r="F48" i="42"/>
  <c r="A46" i="42"/>
  <c r="C43" i="42"/>
  <c r="F40" i="42"/>
  <c r="A38" i="42"/>
  <c r="C35" i="42"/>
  <c r="F32" i="42"/>
  <c r="A30" i="42"/>
  <c r="C27" i="42"/>
  <c r="F24" i="42"/>
  <c r="A22" i="42"/>
  <c r="C19" i="42"/>
  <c r="F16" i="42"/>
  <c r="F14" i="42"/>
  <c r="G93" i="42"/>
  <c r="B83" i="42"/>
  <c r="E72" i="42"/>
  <c r="G61" i="42"/>
  <c r="C52" i="42"/>
  <c r="E48" i="42"/>
  <c r="G45" i="42"/>
  <c r="B43" i="42"/>
  <c r="E40" i="42"/>
  <c r="G37" i="42"/>
  <c r="B35" i="42"/>
  <c r="E32" i="42"/>
  <c r="G29" i="42"/>
  <c r="B27" i="42"/>
  <c r="E24" i="42"/>
  <c r="G95" i="42"/>
  <c r="B85" i="42"/>
  <c r="E74" i="42"/>
  <c r="G63" i="42"/>
  <c r="B53" i="42"/>
  <c r="A49" i="42"/>
  <c r="C46" i="42"/>
  <c r="F43" i="42"/>
  <c r="A41" i="42"/>
  <c r="C38" i="42"/>
  <c r="F35" i="42"/>
  <c r="A33" i="42"/>
  <c r="C30" i="42"/>
  <c r="F27" i="42"/>
  <c r="A25" i="42"/>
  <c r="C22" i="42"/>
  <c r="F19" i="42"/>
  <c r="A17" i="42"/>
  <c r="H14" i="42"/>
  <c r="B95" i="42"/>
  <c r="E84" i="42"/>
  <c r="G73" i="42"/>
  <c r="B63" i="42"/>
  <c r="A53" i="42"/>
  <c r="G48" i="42"/>
  <c r="B46" i="42"/>
  <c r="E43" i="42"/>
  <c r="G40" i="42"/>
  <c r="B38" i="42"/>
  <c r="E35" i="42"/>
  <c r="G32" i="42"/>
  <c r="B30" i="42"/>
  <c r="E27" i="42"/>
  <c r="G24" i="42"/>
  <c r="B22" i="42"/>
  <c r="E19" i="42"/>
  <c r="G16" i="42"/>
  <c r="G14" i="42"/>
  <c r="E16" i="42"/>
  <c r="B17" i="42"/>
  <c r="E20" i="42"/>
  <c r="M8" i="39"/>
  <c r="C10" i="39"/>
  <c r="M16" i="39"/>
  <c r="C15" i="39"/>
  <c r="C12" i="39"/>
  <c r="K32" i="57"/>
  <c r="H24" i="56"/>
  <c r="J32" i="57"/>
  <c r="L14" i="57"/>
  <c r="L15" i="57" s="1"/>
  <c r="L16" i="57" s="1"/>
  <c r="L17" i="57" s="1"/>
  <c r="L18" i="57" s="1"/>
  <c r="L19" i="57" s="1"/>
  <c r="L20" i="57" s="1"/>
  <c r="H32" i="57"/>
  <c r="A26" i="56"/>
  <c r="BS32" i="48" l="1"/>
  <c r="BF23" i="48"/>
  <c r="V23" i="48"/>
  <c r="CT14" i="48"/>
  <c r="J16" i="14"/>
  <c r="CP23" i="48"/>
  <c r="CU32" i="48"/>
  <c r="G72" i="60"/>
  <c r="N68" i="60"/>
  <c r="P68" i="60" s="1"/>
  <c r="BH23" i="48"/>
  <c r="CN23" i="48"/>
  <c r="X23" i="48"/>
  <c r="CG32" i="48"/>
  <c r="AW32" i="48"/>
  <c r="J14" i="48"/>
  <c r="CY23" i="48"/>
  <c r="BZ23" i="48"/>
  <c r="AP23" i="48"/>
  <c r="AT23" i="48"/>
  <c r="BX23" i="48"/>
  <c r="AN23" i="48"/>
  <c r="BV23" i="48"/>
  <c r="AC32" i="48"/>
  <c r="AG32" i="48"/>
  <c r="CA32" i="48"/>
  <c r="W32" i="48"/>
  <c r="BD14" i="48"/>
  <c r="BN14" i="48"/>
  <c r="AK23" i="48"/>
  <c r="S23" i="48"/>
  <c r="AH13" i="48"/>
  <c r="CX23" i="48"/>
  <c r="CH23" i="48"/>
  <c r="BP23" i="48"/>
  <c r="AZ23" i="48"/>
  <c r="AH23" i="48"/>
  <c r="N23" i="48"/>
  <c r="CV23" i="48"/>
  <c r="CF23" i="48"/>
  <c r="BN23" i="48"/>
  <c r="AX23" i="48"/>
  <c r="AF23" i="48"/>
  <c r="P23" i="48"/>
  <c r="CS32" i="48"/>
  <c r="BC32" i="48"/>
  <c r="CW32" i="48"/>
  <c r="BG32" i="48"/>
  <c r="Q32" i="48"/>
  <c r="CI32" i="48"/>
  <c r="BI32" i="48"/>
  <c r="AE32" i="48"/>
  <c r="K32" i="48"/>
  <c r="BZ14" i="48"/>
  <c r="AD14" i="48"/>
  <c r="CN14" i="48"/>
  <c r="AR14" i="48"/>
  <c r="BY23" i="48"/>
  <c r="CS23" i="48"/>
  <c r="BM23" i="48"/>
  <c r="BM35" i="48"/>
  <c r="CT23" i="48"/>
  <c r="CD23" i="48"/>
  <c r="BL23" i="48"/>
  <c r="AV23" i="48"/>
  <c r="Z23" i="48"/>
  <c r="J23" i="48"/>
  <c r="CR23" i="48"/>
  <c r="CB23" i="48"/>
  <c r="BJ23" i="48"/>
  <c r="AR23" i="48"/>
  <c r="AB23" i="48"/>
  <c r="L23" i="48"/>
  <c r="CK32" i="48"/>
  <c r="AK32" i="48"/>
  <c r="CO32" i="48"/>
  <c r="AY32" i="48"/>
  <c r="CY32" i="48"/>
  <c r="CE32" i="48"/>
  <c r="BA32" i="48"/>
  <c r="AA32" i="48"/>
  <c r="BW32" i="48"/>
  <c r="BL14" i="48"/>
  <c r="V14" i="48"/>
  <c r="CB14" i="48"/>
  <c r="AF14" i="48"/>
  <c r="DA23" i="48"/>
  <c r="AC23" i="48"/>
  <c r="AM23" i="48"/>
  <c r="CE34" i="48"/>
  <c r="CL23" i="48"/>
  <c r="BT23" i="48"/>
  <c r="BD23" i="48"/>
  <c r="AL23" i="48"/>
  <c r="R23" i="48"/>
  <c r="CZ23" i="48"/>
  <c r="CJ23" i="48"/>
  <c r="BR23" i="48"/>
  <c r="BB23" i="48"/>
  <c r="AJ23" i="48"/>
  <c r="DA32" i="48"/>
  <c r="BK32" i="48"/>
  <c r="U32" i="48"/>
  <c r="BO32" i="48"/>
  <c r="Y32" i="48"/>
  <c r="CQ32" i="48"/>
  <c r="BQ32" i="48"/>
  <c r="AM32" i="48"/>
  <c r="O32" i="48"/>
  <c r="CL14" i="48"/>
  <c r="AP14" i="48"/>
  <c r="CV14" i="48"/>
  <c r="BF14" i="48"/>
  <c r="L14" i="48"/>
  <c r="BO23" i="48"/>
  <c r="CI23" i="48"/>
  <c r="W19" i="48"/>
  <c r="CW16" i="48"/>
  <c r="Z35" i="48"/>
  <c r="AJ26" i="48"/>
  <c r="BJ25" i="48"/>
  <c r="BF16" i="48"/>
  <c r="T35" i="48"/>
  <c r="AP26" i="48"/>
  <c r="CK35" i="48"/>
  <c r="AZ25" i="48"/>
  <c r="AS34" i="48"/>
  <c r="BP16" i="48"/>
  <c r="DA25" i="48"/>
  <c r="BM32" i="48"/>
  <c r="CT30" i="48"/>
  <c r="BM22" i="48"/>
  <c r="CW18" i="48"/>
  <c r="V35" i="48"/>
  <c r="AN35" i="48"/>
  <c r="AD26" i="48"/>
  <c r="CF26" i="48"/>
  <c r="CG35" i="48"/>
  <c r="BW35" i="48"/>
  <c r="O35" i="48"/>
  <c r="CP25" i="48"/>
  <c r="AT25" i="48"/>
  <c r="P25" i="48"/>
  <c r="AY34" i="48"/>
  <c r="AI34" i="48"/>
  <c r="V16" i="48"/>
  <c r="CW25" i="48"/>
  <c r="CE25" i="48"/>
  <c r="CP14" i="48"/>
  <c r="CD14" i="48"/>
  <c r="BT14" i="48"/>
  <c r="BH14" i="48"/>
  <c r="AV14" i="48"/>
  <c r="AL14" i="48"/>
  <c r="Z14" i="48"/>
  <c r="N14" i="48"/>
  <c r="BV14" i="48"/>
  <c r="CR14" i="48"/>
  <c r="CF14" i="48"/>
  <c r="BX14" i="48"/>
  <c r="BJ14" i="48"/>
  <c r="AX14" i="48"/>
  <c r="AN14" i="48"/>
  <c r="AB14" i="48"/>
  <c r="P14" i="48"/>
  <c r="AT14" i="48"/>
  <c r="BG23" i="48"/>
  <c r="CK23" i="48"/>
  <c r="U23" i="48"/>
  <c r="AY23" i="48"/>
  <c r="CC23" i="48"/>
  <c r="M23" i="48"/>
  <c r="CU23" i="48"/>
  <c r="CE23" i="48"/>
  <c r="BI23" i="48"/>
  <c r="AI23" i="48"/>
  <c r="BP35" i="48"/>
  <c r="CD35" i="48"/>
  <c r="CF35" i="48"/>
  <c r="BX35" i="48"/>
  <c r="CD26" i="48"/>
  <c r="CH26" i="48"/>
  <c r="CZ26" i="48"/>
  <c r="BJ26" i="48"/>
  <c r="AG35" i="48"/>
  <c r="AS35" i="48"/>
  <c r="CI35" i="48"/>
  <c r="CT25" i="48"/>
  <c r="Z25" i="48"/>
  <c r="CF25" i="48"/>
  <c r="CK34" i="48"/>
  <c r="CO34" i="48"/>
  <c r="AU34" i="48"/>
  <c r="BI34" i="48"/>
  <c r="AP16" i="48"/>
  <c r="CB16" i="48"/>
  <c r="AJ16" i="48"/>
  <c r="BG25" i="48"/>
  <c r="BW25" i="48"/>
  <c r="BI25" i="48"/>
  <c r="CL16" i="48"/>
  <c r="CZ16" i="48"/>
  <c r="BK25" i="48"/>
  <c r="O25" i="48"/>
  <c r="AE25" i="48"/>
  <c r="BA25" i="48"/>
  <c r="BQ25" i="48"/>
  <c r="CI25" i="48"/>
  <c r="CY25" i="48"/>
  <c r="AK25" i="48"/>
  <c r="CC25" i="48"/>
  <c r="Y25" i="48"/>
  <c r="AS25" i="48"/>
  <c r="CG25" i="48"/>
  <c r="AG25" i="48"/>
  <c r="P16" i="48"/>
  <c r="AF16" i="48"/>
  <c r="AX16" i="48"/>
  <c r="BN16" i="48"/>
  <c r="CF16" i="48"/>
  <c r="CV16" i="48"/>
  <c r="N16" i="48"/>
  <c r="AD16" i="48"/>
  <c r="AV16" i="48"/>
  <c r="BL16" i="48"/>
  <c r="CD16" i="48"/>
  <c r="CT16" i="48"/>
  <c r="O34" i="48"/>
  <c r="AE34" i="48"/>
  <c r="BA34" i="48"/>
  <c r="BQ34" i="48"/>
  <c r="CI34" i="48"/>
  <c r="CY34" i="48"/>
  <c r="AG34" i="48"/>
  <c r="BO34" i="48"/>
  <c r="CW34" i="48"/>
  <c r="AK34" i="48"/>
  <c r="BS34" i="48"/>
  <c r="DA34" i="48"/>
  <c r="T25" i="48"/>
  <c r="AJ25" i="48"/>
  <c r="BB25" i="48"/>
  <c r="BR25" i="48"/>
  <c r="CJ25" i="48"/>
  <c r="CZ25" i="48"/>
  <c r="R25" i="48"/>
  <c r="AL25" i="48"/>
  <c r="BD25" i="48"/>
  <c r="CL25" i="48"/>
  <c r="BZ25" i="48"/>
  <c r="W35" i="48"/>
  <c r="AM35" i="48"/>
  <c r="BI35" i="48"/>
  <c r="CA35" i="48"/>
  <c r="CQ35" i="48"/>
  <c r="AU35" i="48"/>
  <c r="AK35" i="48"/>
  <c r="BS35" i="48"/>
  <c r="DA35" i="48"/>
  <c r="AO35" i="48"/>
  <c r="BY35" i="48"/>
  <c r="AT26" i="48"/>
  <c r="X26" i="48"/>
  <c r="AN26" i="48"/>
  <c r="BF26" i="48"/>
  <c r="BX26" i="48"/>
  <c r="CN26" i="48"/>
  <c r="BV26" i="48"/>
  <c r="AH26" i="48"/>
  <c r="BP26" i="48"/>
  <c r="CX26" i="48"/>
  <c r="AL26" i="48"/>
  <c r="BT26" i="48"/>
  <c r="AB35" i="48"/>
  <c r="BB35" i="48"/>
  <c r="CB35" i="48"/>
  <c r="BV35" i="48"/>
  <c r="BF35" i="48"/>
  <c r="CZ35" i="48"/>
  <c r="AL35" i="48"/>
  <c r="BT35" i="48"/>
  <c r="J35" i="48"/>
  <c r="AP35" i="48"/>
  <c r="BZ35" i="48"/>
  <c r="O23" i="48"/>
  <c r="AE23" i="48"/>
  <c r="BA23" i="48"/>
  <c r="BQ23" i="48"/>
  <c r="CX35" i="48"/>
  <c r="BH35" i="48"/>
  <c r="R35" i="48"/>
  <c r="BL35" i="48"/>
  <c r="N35" i="48"/>
  <c r="BR35" i="48"/>
  <c r="CV35" i="48"/>
  <c r="BN35" i="48"/>
  <c r="AF35" i="48"/>
  <c r="BL26" i="48"/>
  <c r="V26" i="48"/>
  <c r="BZ26" i="48"/>
  <c r="Z26" i="48"/>
  <c r="CV26" i="48"/>
  <c r="CB26" i="48"/>
  <c r="BB26" i="48"/>
  <c r="AF26" i="48"/>
  <c r="L26" i="48"/>
  <c r="BO35" i="48"/>
  <c r="Y35" i="48"/>
  <c r="CC35" i="48"/>
  <c r="AC35" i="48"/>
  <c r="CY35" i="48"/>
  <c r="CE35" i="48"/>
  <c r="BE35" i="48"/>
  <c r="AE35" i="48"/>
  <c r="K35" i="48"/>
  <c r="CH25" i="48"/>
  <c r="CD25" i="48"/>
  <c r="AV25" i="48"/>
  <c r="V25" i="48"/>
  <c r="CV25" i="48"/>
  <c r="CB25" i="48"/>
  <c r="BF25" i="48"/>
  <c r="AF25" i="48"/>
  <c r="L25" i="48"/>
  <c r="CC34" i="48"/>
  <c r="AC34" i="48"/>
  <c r="CG34" i="48"/>
  <c r="AO34" i="48"/>
  <c r="CU34" i="48"/>
  <c r="CA34" i="48"/>
  <c r="BE34" i="48"/>
  <c r="AA34" i="48"/>
  <c r="BW34" i="48"/>
  <c r="CH16" i="48"/>
  <c r="BH16" i="48"/>
  <c r="AL16" i="48"/>
  <c r="R16" i="48"/>
  <c r="CR16" i="48"/>
  <c r="BX16" i="48"/>
  <c r="BB16" i="48"/>
  <c r="AB16" i="48"/>
  <c r="AT16" i="48"/>
  <c r="CO25" i="48"/>
  <c r="AC25" i="48"/>
  <c r="CS25" i="48"/>
  <c r="BC25" i="48"/>
  <c r="CU25" i="48"/>
  <c r="CA25" i="48"/>
  <c r="BE25" i="48"/>
  <c r="AA25" i="48"/>
  <c r="AO23" i="48"/>
  <c r="BS23" i="48"/>
  <c r="CW23" i="48"/>
  <c r="AG23" i="48"/>
  <c r="BK23" i="48"/>
  <c r="AU23" i="48"/>
  <c r="CQ23" i="48"/>
  <c r="CA23" i="48"/>
  <c r="BE23" i="48"/>
  <c r="AA23" i="48"/>
  <c r="CP35" i="48"/>
  <c r="AZ35" i="48"/>
  <c r="CT35" i="48"/>
  <c r="BD35" i="48"/>
  <c r="AT35" i="48"/>
  <c r="AX35" i="48"/>
  <c r="CR35" i="48"/>
  <c r="BJ35" i="48"/>
  <c r="X35" i="48"/>
  <c r="CT26" i="48"/>
  <c r="BD26" i="48"/>
  <c r="N26" i="48"/>
  <c r="BH26" i="48"/>
  <c r="R26" i="48"/>
  <c r="CR26" i="48"/>
  <c r="BR26" i="48"/>
  <c r="AX26" i="48"/>
  <c r="AB26" i="48"/>
  <c r="CW35" i="48"/>
  <c r="BG35" i="48"/>
  <c r="Q35" i="48"/>
  <c r="BK35" i="48"/>
  <c r="U35" i="48"/>
  <c r="CU35" i="48"/>
  <c r="BU35" i="48"/>
  <c r="BA35" i="48"/>
  <c r="AA35" i="48"/>
  <c r="BP25" i="48"/>
  <c r="BT25" i="48"/>
  <c r="AP25" i="48"/>
  <c r="N25" i="48"/>
  <c r="CR25" i="48"/>
  <c r="BX25" i="48"/>
  <c r="AX25" i="48"/>
  <c r="AB25" i="48"/>
  <c r="BV25" i="48"/>
  <c r="BK34" i="48"/>
  <c r="U34" i="48"/>
  <c r="BY34" i="48"/>
  <c r="Y34" i="48"/>
  <c r="CQ34" i="48"/>
  <c r="BU34" i="48"/>
  <c r="AW34" i="48"/>
  <c r="W34" i="48"/>
  <c r="CX16" i="48"/>
  <c r="BZ16" i="48"/>
  <c r="BD16" i="48"/>
  <c r="AH16" i="48"/>
  <c r="J16" i="48"/>
  <c r="CN16" i="48"/>
  <c r="BR16" i="48"/>
  <c r="AR16" i="48"/>
  <c r="X16" i="48"/>
  <c r="AY25" i="48"/>
  <c r="BY25" i="48"/>
  <c r="M25" i="48"/>
  <c r="CK25" i="48"/>
  <c r="U25" i="48"/>
  <c r="CQ25" i="48"/>
  <c r="BU25" i="48"/>
  <c r="AW25" i="48"/>
  <c r="W25" i="48"/>
  <c r="CC32" i="48"/>
  <c r="AS32" i="48"/>
  <c r="M32" i="48"/>
  <c r="BY32" i="48"/>
  <c r="AO32" i="48"/>
  <c r="AU32" i="48"/>
  <c r="CM32" i="48"/>
  <c r="BU32" i="48"/>
  <c r="BE32" i="48"/>
  <c r="AI32" i="48"/>
  <c r="CX14" i="48"/>
  <c r="CH14" i="48"/>
  <c r="BP14" i="48"/>
  <c r="AZ14" i="48"/>
  <c r="AH14" i="48"/>
  <c r="R14" i="48"/>
  <c r="CZ14" i="48"/>
  <c r="CJ14" i="48"/>
  <c r="BR14" i="48"/>
  <c r="BB14" i="48"/>
  <c r="AJ14" i="48"/>
  <c r="CO23" i="48"/>
  <c r="Y23" i="48"/>
  <c r="BC23" i="48"/>
  <c r="CG23" i="48"/>
  <c r="Q23" i="48"/>
  <c r="AS23" i="48"/>
  <c r="BW23" i="48"/>
  <c r="CM23" i="48"/>
  <c r="BU23" i="48"/>
  <c r="AW23" i="48"/>
  <c r="W23" i="48"/>
  <c r="CH35" i="48"/>
  <c r="AH35" i="48"/>
  <c r="CL35" i="48"/>
  <c r="AV35" i="48"/>
  <c r="CN35" i="48"/>
  <c r="AJ35" i="48"/>
  <c r="CJ35" i="48"/>
  <c r="AR35" i="48"/>
  <c r="P35" i="48"/>
  <c r="CL26" i="48"/>
  <c r="AV26" i="48"/>
  <c r="CP26" i="48"/>
  <c r="AZ26" i="48"/>
  <c r="J26" i="48"/>
  <c r="CJ26" i="48"/>
  <c r="BN26" i="48"/>
  <c r="AR26" i="48"/>
  <c r="T26" i="48"/>
  <c r="CO35" i="48"/>
  <c r="AY35" i="48"/>
  <c r="CS35" i="48"/>
  <c r="BC35" i="48"/>
  <c r="M35" i="48"/>
  <c r="CM35" i="48"/>
  <c r="BQ35" i="48"/>
  <c r="AW35" i="48"/>
  <c r="S35" i="48"/>
  <c r="CX25" i="48"/>
  <c r="BH25" i="48"/>
  <c r="BL25" i="48"/>
  <c r="AH25" i="48"/>
  <c r="J25" i="48"/>
  <c r="CN25" i="48"/>
  <c r="BN25" i="48"/>
  <c r="AR25" i="48"/>
  <c r="X25" i="48"/>
  <c r="CS34" i="48"/>
  <c r="BC34" i="48"/>
  <c r="M34" i="48"/>
  <c r="BG34" i="48"/>
  <c r="Q34" i="48"/>
  <c r="CM34" i="48"/>
  <c r="BM34" i="48"/>
  <c r="AM34" i="48"/>
  <c r="S34" i="48"/>
  <c r="CP16" i="48"/>
  <c r="BT16" i="48"/>
  <c r="AZ16" i="48"/>
  <c r="Z16" i="48"/>
  <c r="BV16" i="48"/>
  <c r="CJ16" i="48"/>
  <c r="BJ16" i="48"/>
  <c r="AN16" i="48"/>
  <c r="T16" i="48"/>
  <c r="Q25" i="48"/>
  <c r="BO25" i="48"/>
  <c r="AO25" i="48"/>
  <c r="BS25" i="48"/>
  <c r="AU25" i="48"/>
  <c r="CM25" i="48"/>
  <c r="BM25" i="48"/>
  <c r="AM25" i="48"/>
  <c r="S25" i="48"/>
  <c r="CX13" i="48"/>
  <c r="M22" i="48"/>
  <c r="BO24" i="48"/>
  <c r="BH30" i="48"/>
  <c r="BR13" i="48"/>
  <c r="BN30" i="48"/>
  <c r="CK22" i="48"/>
  <c r="CP15" i="48"/>
  <c r="BF20" i="48"/>
  <c r="BM12" i="48"/>
  <c r="V29" i="48"/>
  <c r="CS31" i="48"/>
  <c r="G86" i="43"/>
  <c r="CL19" i="48"/>
  <c r="BW18" i="48"/>
  <c r="CY16" i="48"/>
  <c r="BF19" i="48"/>
  <c r="BB36" i="48"/>
  <c r="AO28" i="48"/>
  <c r="CG19" i="48"/>
  <c r="AD30" i="48"/>
  <c r="CZ30" i="48"/>
  <c r="AF30" i="48"/>
  <c r="BP13" i="48"/>
  <c r="CZ13" i="48"/>
  <c r="AJ13" i="48"/>
  <c r="AY22" i="48"/>
  <c r="CU22" i="48"/>
  <c r="AA22" i="48"/>
  <c r="BW13" i="48"/>
  <c r="AP32" i="48"/>
  <c r="BF15" i="48"/>
  <c r="CP30" i="48"/>
  <c r="CF30" i="48"/>
  <c r="P30" i="48"/>
  <c r="AZ13" i="48"/>
  <c r="CJ13" i="48"/>
  <c r="T13" i="48"/>
  <c r="CC22" i="48"/>
  <c r="CE22" i="48"/>
  <c r="K22" i="48"/>
  <c r="AM13" i="48"/>
  <c r="P32" i="48"/>
  <c r="AS24" i="48"/>
  <c r="CU14" i="48"/>
  <c r="BL30" i="48"/>
  <c r="Z30" i="48"/>
  <c r="AX30" i="48"/>
  <c r="CH13" i="48"/>
  <c r="R13" i="48"/>
  <c r="BB13" i="48"/>
  <c r="U22" i="48"/>
  <c r="AO22" i="48"/>
  <c r="AW22" i="48"/>
  <c r="BY13" i="48"/>
  <c r="CD32" i="48"/>
  <c r="V15" i="48"/>
  <c r="BW15" i="48"/>
  <c r="CC16" i="48"/>
  <c r="BQ16" i="48"/>
  <c r="BT36" i="48"/>
  <c r="CF36" i="48"/>
  <c r="BD19" i="48"/>
  <c r="X19" i="48"/>
  <c r="CM28" i="48"/>
  <c r="AS19" i="48"/>
  <c r="AS18" i="48"/>
  <c r="CB37" i="48"/>
  <c r="BG16" i="48"/>
  <c r="AI16" i="48"/>
  <c r="CX36" i="48"/>
  <c r="AB36" i="48"/>
  <c r="V19" i="48"/>
  <c r="CC28" i="48"/>
  <c r="BE28" i="48"/>
  <c r="CM19" i="48"/>
  <c r="CA18" i="48"/>
  <c r="AK16" i="48"/>
  <c r="AH36" i="48"/>
  <c r="CN19" i="48"/>
  <c r="M28" i="48"/>
  <c r="S28" i="48"/>
  <c r="Y19" i="48"/>
  <c r="BE19" i="48"/>
  <c r="AM18" i="48"/>
  <c r="AG20" i="48"/>
  <c r="X38" i="48"/>
  <c r="M18" i="48"/>
  <c r="AD35" i="48"/>
  <c r="AB29" i="48"/>
  <c r="AC29" i="48"/>
  <c r="N31" i="48"/>
  <c r="Q38" i="48"/>
  <c r="CX29" i="48"/>
  <c r="AE38" i="48"/>
  <c r="CL20" i="48"/>
  <c r="BZ22" i="48"/>
  <c r="AK30" i="48"/>
  <c r="BH29" i="48"/>
  <c r="CR29" i="48"/>
  <c r="CO38" i="48"/>
  <c r="AK38" i="48"/>
  <c r="BD20" i="48"/>
  <c r="X20" i="48"/>
  <c r="CA29" i="48"/>
  <c r="CW12" i="48"/>
  <c r="W12" i="48"/>
  <c r="BN31" i="48"/>
  <c r="AD22" i="48"/>
  <c r="BQ31" i="48"/>
  <c r="AV21" i="48"/>
  <c r="AY30" i="48"/>
  <c r="R29" i="48"/>
  <c r="BR29" i="48"/>
  <c r="CS38" i="48"/>
  <c r="CQ38" i="48"/>
  <c r="V20" i="48"/>
  <c r="BY29" i="48"/>
  <c r="AA29" i="48"/>
  <c r="BG12" i="48"/>
  <c r="CX31" i="48"/>
  <c r="T31" i="48"/>
  <c r="AR22" i="48"/>
  <c r="S31" i="48"/>
  <c r="CZ21" i="48"/>
  <c r="CE30" i="48"/>
  <c r="BL29" i="48"/>
  <c r="M38" i="48"/>
  <c r="CO31" i="48"/>
  <c r="BJ21" i="48"/>
  <c r="AQ34" i="48"/>
  <c r="AQ23" i="48"/>
  <c r="AQ32" i="48"/>
  <c r="AQ25" i="48"/>
  <c r="CD30" i="48"/>
  <c r="AV30" i="48"/>
  <c r="N30" i="48"/>
  <c r="BZ30" i="48"/>
  <c r="AP30" i="48"/>
  <c r="J30" i="48"/>
  <c r="CN30" i="48"/>
  <c r="BX30" i="48"/>
  <c r="BF30" i="48"/>
  <c r="AN30" i="48"/>
  <c r="X30" i="48"/>
  <c r="CR30" i="48"/>
  <c r="CP13" i="48"/>
  <c r="BZ13" i="48"/>
  <c r="BH13" i="48"/>
  <c r="AP13" i="48"/>
  <c r="Z13" i="48"/>
  <c r="J13" i="48"/>
  <c r="CR13" i="48"/>
  <c r="CB13" i="48"/>
  <c r="BJ13" i="48"/>
  <c r="AR13" i="48"/>
  <c r="AB13" i="48"/>
  <c r="BV13" i="48"/>
  <c r="BC22" i="48"/>
  <c r="CG22" i="48"/>
  <c r="Q22" i="48"/>
  <c r="AS22" i="48"/>
  <c r="BY22" i="48"/>
  <c r="AU22" i="48"/>
  <c r="CM22" i="48"/>
  <c r="BU22" i="48"/>
  <c r="BE22" i="48"/>
  <c r="AI22" i="48"/>
  <c r="S22" i="48"/>
  <c r="AO13" i="48"/>
  <c r="BU13" i="48"/>
  <c r="N32" i="48"/>
  <c r="CB32" i="48"/>
  <c r="BJ32" i="48"/>
  <c r="BH15" i="48"/>
  <c r="CN15" i="48"/>
  <c r="X15" i="48"/>
  <c r="DA24" i="48"/>
  <c r="BE24" i="48"/>
  <c r="BY15" i="48"/>
  <c r="AM15" i="48"/>
  <c r="AN18" i="48"/>
  <c r="BT30" i="48"/>
  <c r="AL30" i="48"/>
  <c r="CX30" i="48"/>
  <c r="BP30" i="48"/>
  <c r="AH30" i="48"/>
  <c r="BV30" i="48"/>
  <c r="CJ30" i="48"/>
  <c r="BR30" i="48"/>
  <c r="BB30" i="48"/>
  <c r="AJ30" i="48"/>
  <c r="T30" i="48"/>
  <c r="AT30" i="48"/>
  <c r="CL13" i="48"/>
  <c r="BT13" i="48"/>
  <c r="BD13" i="48"/>
  <c r="AL13" i="48"/>
  <c r="V13" i="48"/>
  <c r="AT13" i="48"/>
  <c r="CN13" i="48"/>
  <c r="BX13" i="48"/>
  <c r="BF13" i="48"/>
  <c r="AN13" i="48"/>
  <c r="X13" i="48"/>
  <c r="DA22" i="48"/>
  <c r="AK22" i="48"/>
  <c r="BO22" i="48"/>
  <c r="CS22" i="48"/>
  <c r="AC22" i="48"/>
  <c r="BG22" i="48"/>
  <c r="CY22" i="48"/>
  <c r="CI22" i="48"/>
  <c r="BQ22" i="48"/>
  <c r="BA22" i="48"/>
  <c r="AE22" i="48"/>
  <c r="O22" i="48"/>
  <c r="CS13" i="48"/>
  <c r="Y13" i="48"/>
  <c r="BE13" i="48"/>
  <c r="BZ32" i="48"/>
  <c r="AJ32" i="48"/>
  <c r="AF32" i="48"/>
  <c r="AP15" i="48"/>
  <c r="BX15" i="48"/>
  <c r="BV15" i="48"/>
  <c r="AK24" i="48"/>
  <c r="W24" i="48"/>
  <c r="AO15" i="48"/>
  <c r="BO14" i="48"/>
  <c r="BG37" i="48"/>
  <c r="AU27" i="48"/>
  <c r="CL30" i="48"/>
  <c r="BD30" i="48"/>
  <c r="V30" i="48"/>
  <c r="CH30" i="48"/>
  <c r="AZ30" i="48"/>
  <c r="R30" i="48"/>
  <c r="CV30" i="48"/>
  <c r="CB30" i="48"/>
  <c r="BJ30" i="48"/>
  <c r="AR30" i="48"/>
  <c r="AB30" i="48"/>
  <c r="CT13" i="48"/>
  <c r="CD13" i="48"/>
  <c r="BL13" i="48"/>
  <c r="AV13" i="48"/>
  <c r="AD13" i="48"/>
  <c r="N13" i="48"/>
  <c r="CV13" i="48"/>
  <c r="CF13" i="48"/>
  <c r="BN13" i="48"/>
  <c r="AX13" i="48"/>
  <c r="AF13" i="48"/>
  <c r="BS22" i="48"/>
  <c r="CW22" i="48"/>
  <c r="AG22" i="48"/>
  <c r="BK22" i="48"/>
  <c r="CO22" i="48"/>
  <c r="Y22" i="48"/>
  <c r="CQ22" i="48"/>
  <c r="CA22" i="48"/>
  <c r="BI22" i="48"/>
  <c r="AM22" i="48"/>
  <c r="W22" i="48"/>
  <c r="BG13" i="48"/>
  <c r="CM13" i="48"/>
  <c r="W13" i="48"/>
  <c r="AV32" i="48"/>
  <c r="J32" i="48"/>
  <c r="CN32" i="48"/>
  <c r="BZ15" i="48"/>
  <c r="AT15" i="48"/>
  <c r="AN15" i="48"/>
  <c r="BY24" i="48"/>
  <c r="CM24" i="48"/>
  <c r="AU15" i="48"/>
  <c r="BU15" i="48"/>
  <c r="AE14" i="48"/>
  <c r="CD18" i="48"/>
  <c r="AQ22" i="48"/>
  <c r="DA13" i="48"/>
  <c r="CK13" i="48"/>
  <c r="BO13" i="48"/>
  <c r="AY13" i="48"/>
  <c r="AG13" i="48"/>
  <c r="Q13" i="48"/>
  <c r="CU13" i="48"/>
  <c r="CE13" i="48"/>
  <c r="BM13" i="48"/>
  <c r="AW13" i="48"/>
  <c r="AE13" i="48"/>
  <c r="O13" i="48"/>
  <c r="CT32" i="48"/>
  <c r="BL32" i="48"/>
  <c r="AD32" i="48"/>
  <c r="CP32" i="48"/>
  <c r="BH32" i="48"/>
  <c r="Z32" i="48"/>
  <c r="CV32" i="48"/>
  <c r="BB32" i="48"/>
  <c r="X32" i="48"/>
  <c r="CZ32" i="48"/>
  <c r="BX32" i="48"/>
  <c r="AX32" i="48"/>
  <c r="CX15" i="48"/>
  <c r="CH15" i="48"/>
  <c r="BP15" i="48"/>
  <c r="AZ15" i="48"/>
  <c r="AH15" i="48"/>
  <c r="N15" i="48"/>
  <c r="CV15" i="48"/>
  <c r="CF15" i="48"/>
  <c r="BN15" i="48"/>
  <c r="AX15" i="48"/>
  <c r="AF15" i="48"/>
  <c r="P15" i="48"/>
  <c r="CC24" i="48"/>
  <c r="M24" i="48"/>
  <c r="AO24" i="48"/>
  <c r="BS24" i="48"/>
  <c r="CW24" i="48"/>
  <c r="AU24" i="48"/>
  <c r="BU24" i="48"/>
  <c r="AM24" i="48"/>
  <c r="BW24" i="48"/>
  <c r="CO15" i="48"/>
  <c r="BG15" i="48"/>
  <c r="Y15" i="48"/>
  <c r="CM15" i="48"/>
  <c r="BE15" i="48"/>
  <c r="W15" i="48"/>
  <c r="CW14" i="48"/>
  <c r="AG14" i="48"/>
  <c r="BM14" i="48"/>
  <c r="CP21" i="48"/>
  <c r="BV18" i="48"/>
  <c r="AO27" i="48"/>
  <c r="AQ27" i="48"/>
  <c r="AD15" i="48"/>
  <c r="AD23" i="48"/>
  <c r="CW13" i="48"/>
  <c r="CC13" i="48"/>
  <c r="BK13" i="48"/>
  <c r="AS13" i="48"/>
  <c r="AC13" i="48"/>
  <c r="M13" i="48"/>
  <c r="CQ13" i="48"/>
  <c r="CA13" i="48"/>
  <c r="BI13" i="48"/>
  <c r="AQ13" i="48"/>
  <c r="AA13" i="48"/>
  <c r="K13" i="48"/>
  <c r="CL32" i="48"/>
  <c r="BD32" i="48"/>
  <c r="V32" i="48"/>
  <c r="CH32" i="48"/>
  <c r="AZ32" i="48"/>
  <c r="R32" i="48"/>
  <c r="CJ32" i="48"/>
  <c r="AR32" i="48"/>
  <c r="T32" i="48"/>
  <c r="CR32" i="48"/>
  <c r="BR32" i="48"/>
  <c r="AN32" i="48"/>
  <c r="CT15" i="48"/>
  <c r="CD15" i="48"/>
  <c r="BL15" i="48"/>
  <c r="AV15" i="48"/>
  <c r="Z15" i="48"/>
  <c r="J15" i="48"/>
  <c r="CR15" i="48"/>
  <c r="CB15" i="48"/>
  <c r="BJ15" i="48"/>
  <c r="AR15" i="48"/>
  <c r="AB15" i="48"/>
  <c r="L15" i="48"/>
  <c r="BK24" i="48"/>
  <c r="CO24" i="48"/>
  <c r="Y24" i="48"/>
  <c r="BC24" i="48"/>
  <c r="CG24" i="48"/>
  <c r="CU24" i="48"/>
  <c r="BM24" i="48"/>
  <c r="AE24" i="48"/>
  <c r="CG15" i="48"/>
  <c r="AY15" i="48"/>
  <c r="Q15" i="48"/>
  <c r="CE15" i="48"/>
  <c r="AW15" i="48"/>
  <c r="O15" i="48"/>
  <c r="CG14" i="48"/>
  <c r="Q14" i="48"/>
  <c r="AW14" i="48"/>
  <c r="BX18" i="48"/>
  <c r="BS27" i="48"/>
  <c r="K27" i="48"/>
  <c r="AU13" i="48"/>
  <c r="CO13" i="48"/>
  <c r="BS13" i="48"/>
  <c r="BC13" i="48"/>
  <c r="AK13" i="48"/>
  <c r="U13" i="48"/>
  <c r="CY13" i="48"/>
  <c r="CI13" i="48"/>
  <c r="BQ13" i="48"/>
  <c r="BA13" i="48"/>
  <c r="AI13" i="48"/>
  <c r="BT32" i="48"/>
  <c r="AL32" i="48"/>
  <c r="CX32" i="48"/>
  <c r="BP32" i="48"/>
  <c r="AH32" i="48"/>
  <c r="BV32" i="48"/>
  <c r="BN32" i="48"/>
  <c r="AB32" i="48"/>
  <c r="L32" i="48"/>
  <c r="CF32" i="48"/>
  <c r="BF32" i="48"/>
  <c r="CL15" i="48"/>
  <c r="BT15" i="48"/>
  <c r="BD15" i="48"/>
  <c r="AL15" i="48"/>
  <c r="R15" i="48"/>
  <c r="CZ15" i="48"/>
  <c r="CJ15" i="48"/>
  <c r="BR15" i="48"/>
  <c r="BB15" i="48"/>
  <c r="AJ15" i="48"/>
  <c r="CS24" i="48"/>
  <c r="AC24" i="48"/>
  <c r="BG24" i="48"/>
  <c r="CK24" i="48"/>
  <c r="U24" i="48"/>
  <c r="AG24" i="48"/>
  <c r="CE24" i="48"/>
  <c r="AW24" i="48"/>
  <c r="CW15" i="48"/>
  <c r="BO15" i="48"/>
  <c r="AG15" i="48"/>
  <c r="CU15" i="48"/>
  <c r="BM15" i="48"/>
  <c r="AY14" i="48"/>
  <c r="CE14" i="48"/>
  <c r="O14" i="48"/>
  <c r="AV18" i="48"/>
  <c r="AT18" i="48"/>
  <c r="CA27" i="48"/>
  <c r="CG13" i="48"/>
  <c r="BH37" i="48"/>
  <c r="R28" i="48"/>
  <c r="BA37" i="48"/>
  <c r="CT18" i="48"/>
  <c r="BL18" i="48"/>
  <c r="V18" i="48"/>
  <c r="CN18" i="48"/>
  <c r="BF18" i="48"/>
  <c r="X18" i="48"/>
  <c r="BY27" i="48"/>
  <c r="DA27" i="48"/>
  <c r="AK27" i="48"/>
  <c r="CQ27" i="48"/>
  <c r="BI27" i="48"/>
  <c r="AA27" i="48"/>
  <c r="K36" i="48"/>
  <c r="X27" i="48"/>
  <c r="J27" i="48"/>
  <c r="AL27" i="48"/>
  <c r="CN27" i="48"/>
  <c r="BZ27" i="48"/>
  <c r="BF27" i="48"/>
  <c r="O21" i="48"/>
  <c r="BA21" i="48"/>
  <c r="AK21" i="48"/>
  <c r="Q21" i="48"/>
  <c r="BQ21" i="48"/>
  <c r="BY21" i="48"/>
  <c r="S21" i="48"/>
  <c r="CY21" i="48"/>
  <c r="CG21" i="48"/>
  <c r="L12" i="48"/>
  <c r="AX12" i="48"/>
  <c r="N12" i="48"/>
  <c r="CD12" i="48"/>
  <c r="AF12" i="48"/>
  <c r="AD12" i="48"/>
  <c r="CF12" i="48"/>
  <c r="BL12" i="48"/>
  <c r="BW30" i="48"/>
  <c r="W30" i="48"/>
  <c r="AM30" i="48"/>
  <c r="BE30" i="48"/>
  <c r="BU30" i="48"/>
  <c r="CM30" i="48"/>
  <c r="AU30" i="48"/>
  <c r="AO30" i="48"/>
  <c r="BY30" i="48"/>
  <c r="M30" i="48"/>
  <c r="AS30" i="48"/>
  <c r="CC30" i="48"/>
  <c r="S30" i="48"/>
  <c r="AQ30" i="48"/>
  <c r="BM30" i="48"/>
  <c r="CI30" i="48"/>
  <c r="Q30" i="48"/>
  <c r="BG30" i="48"/>
  <c r="CW30" i="48"/>
  <c r="BC30" i="48"/>
  <c r="CS30" i="48"/>
  <c r="K30" i="48"/>
  <c r="AE30" i="48"/>
  <c r="BA30" i="48"/>
  <c r="CA30" i="48"/>
  <c r="CU30" i="48"/>
  <c r="AG30" i="48"/>
  <c r="CG30" i="48"/>
  <c r="AC30" i="48"/>
  <c r="BS30" i="48"/>
  <c r="BV21" i="48"/>
  <c r="X21" i="48"/>
  <c r="AN21" i="48"/>
  <c r="BF21" i="48"/>
  <c r="BX21" i="48"/>
  <c r="CN21" i="48"/>
  <c r="AT21" i="48"/>
  <c r="V21" i="48"/>
  <c r="AL21" i="48"/>
  <c r="BD21" i="48"/>
  <c r="BT21" i="48"/>
  <c r="CL21" i="48"/>
  <c r="T21" i="48"/>
  <c r="AR21" i="48"/>
  <c r="BN21" i="48"/>
  <c r="CJ21" i="48"/>
  <c r="J21" i="48"/>
  <c r="AD21" i="48"/>
  <c r="AZ21" i="48"/>
  <c r="BZ21" i="48"/>
  <c r="CT21" i="48"/>
  <c r="L21" i="48"/>
  <c r="AF21" i="48"/>
  <c r="BB21" i="48"/>
  <c r="CB21" i="48"/>
  <c r="CV21" i="48"/>
  <c r="R21" i="48"/>
  <c r="AP21" i="48"/>
  <c r="BL21" i="48"/>
  <c r="CH21" i="48"/>
  <c r="W31" i="48"/>
  <c r="AM31" i="48"/>
  <c r="BI31" i="48"/>
  <c r="CA31" i="48"/>
  <c r="CQ31" i="48"/>
  <c r="AU31" i="48"/>
  <c r="AK31" i="48"/>
  <c r="BS31" i="48"/>
  <c r="DA31" i="48"/>
  <c r="AO31" i="48"/>
  <c r="BY31" i="48"/>
  <c r="O31" i="48"/>
  <c r="AI31" i="48"/>
  <c r="BM31" i="48"/>
  <c r="CI31" i="48"/>
  <c r="BW31" i="48"/>
  <c r="AS31" i="48"/>
  <c r="CK31" i="48"/>
  <c r="AG31" i="48"/>
  <c r="CG31" i="48"/>
  <c r="AA31" i="48"/>
  <c r="BA31" i="48"/>
  <c r="BU31" i="48"/>
  <c r="CU31" i="48"/>
  <c r="U31" i="48"/>
  <c r="BK31" i="48"/>
  <c r="Q31" i="48"/>
  <c r="BG31" i="48"/>
  <c r="CW31" i="48"/>
  <c r="AT22" i="48"/>
  <c r="X22" i="48"/>
  <c r="AN22" i="48"/>
  <c r="BF22" i="48"/>
  <c r="BX22" i="48"/>
  <c r="CN22" i="48"/>
  <c r="BV22" i="48"/>
  <c r="V22" i="48"/>
  <c r="AL22" i="48"/>
  <c r="BD22" i="48"/>
  <c r="BT22" i="48"/>
  <c r="CL22" i="48"/>
  <c r="P22" i="48"/>
  <c r="AJ22" i="48"/>
  <c r="BJ22" i="48"/>
  <c r="CF22" i="48"/>
  <c r="CZ22" i="48"/>
  <c r="Z22" i="48"/>
  <c r="AV22" i="48"/>
  <c r="BP22" i="48"/>
  <c r="CP22" i="48"/>
  <c r="AB22" i="48"/>
  <c r="AX22" i="48"/>
  <c r="BR22" i="48"/>
  <c r="CR22" i="48"/>
  <c r="N22" i="48"/>
  <c r="AH22" i="48"/>
  <c r="BH22" i="48"/>
  <c r="CD22" i="48"/>
  <c r="CX22" i="48"/>
  <c r="BV31" i="48"/>
  <c r="X31" i="48"/>
  <c r="AN31" i="48"/>
  <c r="BF31" i="48"/>
  <c r="BX31" i="48"/>
  <c r="CN31" i="48"/>
  <c r="AT31" i="48"/>
  <c r="AV31" i="48"/>
  <c r="CD31" i="48"/>
  <c r="R31" i="48"/>
  <c r="AZ31" i="48"/>
  <c r="CH31" i="48"/>
  <c r="P31" i="48"/>
  <c r="AJ31" i="48"/>
  <c r="BJ31" i="48"/>
  <c r="CF31" i="48"/>
  <c r="CZ31" i="48"/>
  <c r="BD31" i="48"/>
  <c r="CT31" i="48"/>
  <c r="AP31" i="48"/>
  <c r="CP31" i="48"/>
  <c r="AB31" i="48"/>
  <c r="AX31" i="48"/>
  <c r="BR31" i="48"/>
  <c r="CR31" i="48"/>
  <c r="V31" i="48"/>
  <c r="BT31" i="48"/>
  <c r="Z31" i="48"/>
  <c r="BP31" i="48"/>
  <c r="S12" i="48"/>
  <c r="AI12" i="48"/>
  <c r="BA12" i="48"/>
  <c r="BQ12" i="48"/>
  <c r="CI12" i="48"/>
  <c r="CY12" i="48"/>
  <c r="U12" i="48"/>
  <c r="AK12" i="48"/>
  <c r="BC12" i="48"/>
  <c r="BS12" i="48"/>
  <c r="CK12" i="48"/>
  <c r="DA12" i="48"/>
  <c r="BW12" i="48"/>
  <c r="AA12" i="48"/>
  <c r="AW12" i="48"/>
  <c r="BU12" i="48"/>
  <c r="CQ12" i="48"/>
  <c r="Q12" i="48"/>
  <c r="AO12" i="48"/>
  <c r="BK12" i="48"/>
  <c r="CG12" i="48"/>
  <c r="O12" i="48"/>
  <c r="AM12" i="48"/>
  <c r="BI12" i="48"/>
  <c r="CE12" i="48"/>
  <c r="AU12" i="48"/>
  <c r="AC12" i="48"/>
  <c r="AY12" i="48"/>
  <c r="BY12" i="48"/>
  <c r="CS12" i="48"/>
  <c r="O29" i="48"/>
  <c r="AE29" i="48"/>
  <c r="BA29" i="48"/>
  <c r="BQ29" i="48"/>
  <c r="CI29" i="48"/>
  <c r="CY29" i="48"/>
  <c r="U29" i="48"/>
  <c r="BC29" i="48"/>
  <c r="W29" i="48"/>
  <c r="AW29" i="48"/>
  <c r="BU29" i="48"/>
  <c r="CQ29" i="48"/>
  <c r="M29" i="48"/>
  <c r="BK29" i="48"/>
  <c r="CS29" i="48"/>
  <c r="AG29" i="48"/>
  <c r="BO29" i="48"/>
  <c r="CW29" i="48"/>
  <c r="K29" i="48"/>
  <c r="AI29" i="48"/>
  <c r="BI29" i="48"/>
  <c r="CE29" i="48"/>
  <c r="BW29" i="48"/>
  <c r="AK29" i="48"/>
  <c r="CC29" i="48"/>
  <c r="Q29" i="48"/>
  <c r="AY29" i="48"/>
  <c r="CG29" i="48"/>
  <c r="T20" i="48"/>
  <c r="AJ20" i="48"/>
  <c r="BB20" i="48"/>
  <c r="BR20" i="48"/>
  <c r="CJ20" i="48"/>
  <c r="CZ20" i="48"/>
  <c r="R20" i="48"/>
  <c r="AH20" i="48"/>
  <c r="AZ20" i="48"/>
  <c r="BP20" i="48"/>
  <c r="CH20" i="48"/>
  <c r="CX20" i="48"/>
  <c r="L20" i="48"/>
  <c r="AB20" i="48"/>
  <c r="AR20" i="48"/>
  <c r="BJ20" i="48"/>
  <c r="CB20" i="48"/>
  <c r="CR20" i="48"/>
  <c r="J20" i="48"/>
  <c r="Z20" i="48"/>
  <c r="AP20" i="48"/>
  <c r="BH20" i="48"/>
  <c r="BZ20" i="48"/>
  <c r="CP20" i="48"/>
  <c r="S38" i="48"/>
  <c r="AI38" i="48"/>
  <c r="BE38" i="48"/>
  <c r="BU38" i="48"/>
  <c r="CM38" i="48"/>
  <c r="AU38" i="48"/>
  <c r="BS38" i="48"/>
  <c r="AG38" i="48"/>
  <c r="CW38" i="48"/>
  <c r="BK38" i="48"/>
  <c r="AO38" i="48"/>
  <c r="K38" i="48"/>
  <c r="AA38" i="48"/>
  <c r="AW38" i="48"/>
  <c r="BM38" i="48"/>
  <c r="BV29" i="48"/>
  <c r="X29" i="48"/>
  <c r="AN29" i="48"/>
  <c r="BF29" i="48"/>
  <c r="BX29" i="48"/>
  <c r="CN29" i="48"/>
  <c r="AT29" i="48"/>
  <c r="AL29" i="48"/>
  <c r="BT29" i="48"/>
  <c r="J29" i="48"/>
  <c r="AP29" i="48"/>
  <c r="BZ29" i="48"/>
  <c r="P13" i="48"/>
  <c r="CP29" i="48"/>
  <c r="AZ29" i="48"/>
  <c r="CT29" i="48"/>
  <c r="BD29" i="48"/>
  <c r="N29" i="48"/>
  <c r="CJ29" i="48"/>
  <c r="BN29" i="48"/>
  <c r="AR29" i="48"/>
  <c r="T29" i="48"/>
  <c r="BY38" i="48"/>
  <c r="CC38" i="48"/>
  <c r="CG38" i="48"/>
  <c r="DA38" i="48"/>
  <c r="U38" i="48"/>
  <c r="CI38" i="48"/>
  <c r="BI38" i="48"/>
  <c r="W38" i="48"/>
  <c r="CD20" i="48"/>
  <c r="AV20" i="48"/>
  <c r="N20" i="48"/>
  <c r="CF20" i="48"/>
  <c r="AX20" i="48"/>
  <c r="P20" i="48"/>
  <c r="BG29" i="48"/>
  <c r="CK29" i="48"/>
  <c r="AU29" i="48"/>
  <c r="BM29" i="48"/>
  <c r="S29" i="48"/>
  <c r="CO12" i="48"/>
  <c r="AS12" i="48"/>
  <c r="CU12" i="48"/>
  <c r="BE12" i="48"/>
  <c r="K12" i="48"/>
  <c r="BZ31" i="48"/>
  <c r="CL31" i="48"/>
  <c r="CV31" i="48"/>
  <c r="BB31" i="48"/>
  <c r="L31" i="48"/>
  <c r="BL22" i="48"/>
  <c r="R22" i="48"/>
  <c r="CB22" i="48"/>
  <c r="AF22" i="48"/>
  <c r="BO31" i="48"/>
  <c r="CC31" i="48"/>
  <c r="CY31" i="48"/>
  <c r="BE31" i="48"/>
  <c r="K31" i="48"/>
  <c r="CD21" i="48"/>
  <c r="AH21" i="48"/>
  <c r="CR21" i="48"/>
  <c r="AX21" i="48"/>
  <c r="DA30" i="48"/>
  <c r="U30" i="48"/>
  <c r="Y30" i="48"/>
  <c r="BQ30" i="48"/>
  <c r="AA30" i="48"/>
  <c r="CT12" i="48"/>
  <c r="P12" i="48"/>
  <c r="AI21" i="48"/>
  <c r="CH29" i="48"/>
  <c r="AH29" i="48"/>
  <c r="CL29" i="48"/>
  <c r="AV29" i="48"/>
  <c r="CZ29" i="48"/>
  <c r="CF29" i="48"/>
  <c r="BJ29" i="48"/>
  <c r="AJ29" i="48"/>
  <c r="P29" i="48"/>
  <c r="BG38" i="48"/>
  <c r="AS38" i="48"/>
  <c r="BO38" i="48"/>
  <c r="CK38" i="48"/>
  <c r="CY38" i="48"/>
  <c r="CE38" i="48"/>
  <c r="BA38" i="48"/>
  <c r="O38" i="48"/>
  <c r="BT20" i="48"/>
  <c r="AL20" i="48"/>
  <c r="BV20" i="48"/>
  <c r="BX20" i="48"/>
  <c r="AN20" i="48"/>
  <c r="AT20" i="48"/>
  <c r="AO29" i="48"/>
  <c r="BS29" i="48"/>
  <c r="CU29" i="48"/>
  <c r="BE29" i="48"/>
  <c r="CC12" i="48"/>
  <c r="AG12" i="48"/>
  <c r="CM12" i="48"/>
  <c r="AQ12" i="48"/>
  <c r="BH31" i="48"/>
  <c r="BL31" i="48"/>
  <c r="CJ31" i="48"/>
  <c r="AR31" i="48"/>
  <c r="CT22" i="48"/>
  <c r="AZ22" i="48"/>
  <c r="J22" i="48"/>
  <c r="BN22" i="48"/>
  <c r="T22" i="48"/>
  <c r="AY31" i="48"/>
  <c r="BC31" i="48"/>
  <c r="CM31" i="48"/>
  <c r="AW31" i="48"/>
  <c r="BP21" i="48"/>
  <c r="Z21" i="48"/>
  <c r="CF21" i="48"/>
  <c r="AJ21" i="48"/>
  <c r="CK30" i="48"/>
  <c r="CO30" i="48"/>
  <c r="CY30" i="48"/>
  <c r="BI30" i="48"/>
  <c r="O30" i="48"/>
  <c r="AV12" i="48"/>
  <c r="AS21" i="48"/>
  <c r="O17" i="48"/>
  <c r="AQ31" i="48"/>
  <c r="BP29" i="48"/>
  <c r="Z29" i="48"/>
  <c r="CD29" i="48"/>
  <c r="AD29" i="48"/>
  <c r="CV29" i="48"/>
  <c r="CB29" i="48"/>
  <c r="BB29" i="48"/>
  <c r="AF29" i="48"/>
  <c r="L29" i="48"/>
  <c r="Y38" i="48"/>
  <c r="AC38" i="48"/>
  <c r="AY38" i="48"/>
  <c r="BC38" i="48"/>
  <c r="CU38" i="48"/>
  <c r="CA38" i="48"/>
  <c r="AM38" i="48"/>
  <c r="BW38" i="48"/>
  <c r="CT20" i="48"/>
  <c r="BL20" i="48"/>
  <c r="AD20" i="48"/>
  <c r="CV20" i="48"/>
  <c r="BN20" i="48"/>
  <c r="AF20" i="48"/>
  <c r="CO29" i="48"/>
  <c r="Y29" i="48"/>
  <c r="AS29" i="48"/>
  <c r="CM29" i="48"/>
  <c r="AM29" i="48"/>
  <c r="BO12" i="48"/>
  <c r="Y12" i="48"/>
  <c r="CA12" i="48"/>
  <c r="AE12" i="48"/>
  <c r="AH31" i="48"/>
  <c r="AL31" i="48"/>
  <c r="CB31" i="48"/>
  <c r="AF31" i="48"/>
  <c r="CH22" i="48"/>
  <c r="AP22" i="48"/>
  <c r="CV22" i="48"/>
  <c r="BB22" i="48"/>
  <c r="L22" i="48"/>
  <c r="Y31" i="48"/>
  <c r="AC31" i="48"/>
  <c r="CE31" i="48"/>
  <c r="AE31" i="48"/>
  <c r="CX21" i="48"/>
  <c r="BH21" i="48"/>
  <c r="N21" i="48"/>
  <c r="BR21" i="48"/>
  <c r="AB21" i="48"/>
  <c r="BK30" i="48"/>
  <c r="BO30" i="48"/>
  <c r="CQ30" i="48"/>
  <c r="AW30" i="48"/>
  <c r="CV12" i="48"/>
  <c r="DA21" i="48"/>
  <c r="AQ29" i="48"/>
  <c r="AQ38" i="48"/>
  <c r="CG36" i="48"/>
  <c r="CO16" i="48"/>
  <c r="BS16" i="48"/>
  <c r="AS16" i="48"/>
  <c r="U16" i="48"/>
  <c r="CI16" i="48"/>
  <c r="BA16" i="48"/>
  <c r="S16" i="48"/>
  <c r="AL36" i="48"/>
  <c r="BP36" i="48"/>
  <c r="BV36" i="48"/>
  <c r="CZ36" i="48"/>
  <c r="BF36" i="48"/>
  <c r="AT36" i="48"/>
  <c r="BT19" i="48"/>
  <c r="AL19" i="48"/>
  <c r="AT19" i="48"/>
  <c r="BX19" i="48"/>
  <c r="AN19" i="48"/>
  <c r="BV19" i="48"/>
  <c r="AS28" i="48"/>
  <c r="BY28" i="48"/>
  <c r="AU28" i="48"/>
  <c r="BU28" i="48"/>
  <c r="AI28" i="48"/>
  <c r="CO19" i="48"/>
  <c r="BC19" i="48"/>
  <c r="Q19" i="48"/>
  <c r="BW19" i="48"/>
  <c r="BU19" i="48"/>
  <c r="AM19" i="48"/>
  <c r="BS18" i="48"/>
  <c r="AG18" i="48"/>
  <c r="BG18" i="48"/>
  <c r="CQ18" i="48"/>
  <c r="BI18" i="48"/>
  <c r="W18" i="48"/>
  <c r="BL38" i="48"/>
  <c r="BZ38" i="48"/>
  <c r="AL37" i="48"/>
  <c r="BD28" i="48"/>
  <c r="AX28" i="48"/>
  <c r="U37" i="48"/>
  <c r="M20" i="48"/>
  <c r="AW20" i="48"/>
  <c r="DA16" i="48"/>
  <c r="CK16" i="48"/>
  <c r="BK16" i="48"/>
  <c r="AO16" i="48"/>
  <c r="AU16" i="48"/>
  <c r="BU16" i="48"/>
  <c r="AM16" i="48"/>
  <c r="CT36" i="48"/>
  <c r="AD36" i="48"/>
  <c r="BH36" i="48"/>
  <c r="CR36" i="48"/>
  <c r="CV36" i="48"/>
  <c r="CX19" i="48"/>
  <c r="BP19" i="48"/>
  <c r="AH19" i="48"/>
  <c r="CZ19" i="48"/>
  <c r="BR19" i="48"/>
  <c r="DA28" i="48"/>
  <c r="AK28" i="48"/>
  <c r="BO28" i="48"/>
  <c r="CY28" i="48"/>
  <c r="BQ28" i="48"/>
  <c r="BY19" i="48"/>
  <c r="AK19" i="48"/>
  <c r="CS19" i="48"/>
  <c r="CY19" i="48"/>
  <c r="BQ19" i="48"/>
  <c r="U18" i="48"/>
  <c r="BK18" i="48"/>
  <c r="Q18" i="48"/>
  <c r="CE18" i="48"/>
  <c r="AW18" i="48"/>
  <c r="AD38" i="48"/>
  <c r="V28" i="48"/>
  <c r="AO20" i="48"/>
  <c r="L33" i="48"/>
  <c r="CL33" i="48"/>
  <c r="BW20" i="48"/>
  <c r="BM20" i="48"/>
  <c r="CW20" i="48"/>
  <c r="CC20" i="48"/>
  <c r="O20" i="48"/>
  <c r="CE20" i="48"/>
  <c r="BS20" i="48"/>
  <c r="K37" i="48"/>
  <c r="BQ37" i="48"/>
  <c r="BC37" i="48"/>
  <c r="CO37" i="48"/>
  <c r="S37" i="48"/>
  <c r="CI37" i="48"/>
  <c r="CK37" i="48"/>
  <c r="AT28" i="48"/>
  <c r="BN28" i="48"/>
  <c r="AZ28" i="48"/>
  <c r="CL28" i="48"/>
  <c r="P28" i="48"/>
  <c r="CF28" i="48"/>
  <c r="CH28" i="48"/>
  <c r="P37" i="48"/>
  <c r="L37" i="48"/>
  <c r="BT37" i="48"/>
  <c r="CP37" i="48"/>
  <c r="AF37" i="48"/>
  <c r="BB37" i="48"/>
  <c r="CT37" i="48"/>
  <c r="AT38" i="48"/>
  <c r="L38" i="48"/>
  <c r="BF38" i="48"/>
  <c r="CT38" i="48"/>
  <c r="J38" i="48"/>
  <c r="AR38" i="48"/>
  <c r="CN38" i="48"/>
  <c r="O18" i="48"/>
  <c r="AE18" i="48"/>
  <c r="BA18" i="48"/>
  <c r="BQ18" i="48"/>
  <c r="CI18" i="48"/>
  <c r="CY18" i="48"/>
  <c r="Y18" i="48"/>
  <c r="CO18" i="48"/>
  <c r="CC18" i="48"/>
  <c r="BO18" i="48"/>
  <c r="AK18" i="48"/>
  <c r="DA18" i="48"/>
  <c r="S18" i="48"/>
  <c r="AI18" i="48"/>
  <c r="BE18" i="48"/>
  <c r="BU18" i="48"/>
  <c r="CM18" i="48"/>
  <c r="AU18" i="48"/>
  <c r="AO18" i="48"/>
  <c r="AC18" i="48"/>
  <c r="CS18" i="48"/>
  <c r="CG18" i="48"/>
  <c r="BC18" i="48"/>
  <c r="K19" i="48"/>
  <c r="AA19" i="48"/>
  <c r="AQ19" i="48"/>
  <c r="BI19" i="48"/>
  <c r="CA19" i="48"/>
  <c r="CQ19" i="48"/>
  <c r="AU19" i="48"/>
  <c r="BK19" i="48"/>
  <c r="AG19" i="48"/>
  <c r="CW19" i="48"/>
  <c r="BS19" i="48"/>
  <c r="AO19" i="48"/>
  <c r="O19" i="48"/>
  <c r="AE19" i="48"/>
  <c r="AW19" i="48"/>
  <c r="BM19" i="48"/>
  <c r="CE19" i="48"/>
  <c r="CU19" i="48"/>
  <c r="M19" i="48"/>
  <c r="CC19" i="48"/>
  <c r="AY19" i="48"/>
  <c r="U19" i="48"/>
  <c r="CK19" i="48"/>
  <c r="BG19" i="48"/>
  <c r="BW28" i="48"/>
  <c r="W28" i="48"/>
  <c r="AM28" i="48"/>
  <c r="BI28" i="48"/>
  <c r="CA28" i="48"/>
  <c r="CQ28" i="48"/>
  <c r="Q28" i="48"/>
  <c r="AY28" i="48"/>
  <c r="CG28" i="48"/>
  <c r="U28" i="48"/>
  <c r="BC28" i="48"/>
  <c r="CK28" i="48"/>
  <c r="K28" i="48"/>
  <c r="AA28" i="48"/>
  <c r="AW28" i="48"/>
  <c r="BM28" i="48"/>
  <c r="CE28" i="48"/>
  <c r="CU28" i="48"/>
  <c r="Y28" i="48"/>
  <c r="BG28" i="48"/>
  <c r="CO28" i="48"/>
  <c r="AC28" i="48"/>
  <c r="BK28" i="48"/>
  <c r="CS28" i="48"/>
  <c r="L19" i="48"/>
  <c r="AB19" i="48"/>
  <c r="AR19" i="48"/>
  <c r="BJ19" i="48"/>
  <c r="CB19" i="48"/>
  <c r="CR19" i="48"/>
  <c r="J19" i="48"/>
  <c r="Z19" i="48"/>
  <c r="AP19" i="48"/>
  <c r="BH19" i="48"/>
  <c r="BZ19" i="48"/>
  <c r="CP19" i="48"/>
  <c r="P19" i="48"/>
  <c r="AF19" i="48"/>
  <c r="AX19" i="48"/>
  <c r="BN19" i="48"/>
  <c r="CF19" i="48"/>
  <c r="CV19" i="48"/>
  <c r="N19" i="48"/>
  <c r="AD19" i="48"/>
  <c r="AV19" i="48"/>
  <c r="BL19" i="48"/>
  <c r="CD19" i="48"/>
  <c r="CT19" i="48"/>
  <c r="L36" i="48"/>
  <c r="AJ36" i="48"/>
  <c r="BJ36" i="48"/>
  <c r="CJ36" i="48"/>
  <c r="T36" i="48"/>
  <c r="BN36" i="48"/>
  <c r="J36" i="48"/>
  <c r="AP36" i="48"/>
  <c r="BZ36" i="48"/>
  <c r="N36" i="48"/>
  <c r="AV36" i="48"/>
  <c r="CD36" i="48"/>
  <c r="P36" i="48"/>
  <c r="AN36" i="48"/>
  <c r="BR36" i="48"/>
  <c r="CN36" i="48"/>
  <c r="AF36" i="48"/>
  <c r="CB36" i="48"/>
  <c r="R36" i="48"/>
  <c r="AZ36" i="48"/>
  <c r="CH36" i="48"/>
  <c r="V36" i="48"/>
  <c r="BD36" i="48"/>
  <c r="CL36" i="48"/>
  <c r="K16" i="48"/>
  <c r="AA16" i="48"/>
  <c r="AQ16" i="48"/>
  <c r="BI16" i="48"/>
  <c r="CA16" i="48"/>
  <c r="CQ16" i="48"/>
  <c r="M16" i="48"/>
  <c r="AC16" i="48"/>
  <c r="O16" i="48"/>
  <c r="AE16" i="48"/>
  <c r="AW16" i="48"/>
  <c r="BM16" i="48"/>
  <c r="CE16" i="48"/>
  <c r="CU16" i="48"/>
  <c r="Q16" i="48"/>
  <c r="AG16" i="48"/>
  <c r="AY16" i="48"/>
  <c r="BO16" i="48"/>
  <c r="CG16" i="48"/>
  <c r="CS16" i="48"/>
  <c r="BY16" i="48"/>
  <c r="BC16" i="48"/>
  <c r="Y16" i="48"/>
  <c r="CM16" i="48"/>
  <c r="BE16" i="48"/>
  <c r="W16" i="48"/>
  <c r="BL36" i="48"/>
  <c r="CP36" i="48"/>
  <c r="Z36" i="48"/>
  <c r="AR36" i="48"/>
  <c r="BX36" i="48"/>
  <c r="X36" i="48"/>
  <c r="CH19" i="48"/>
  <c r="AZ19" i="48"/>
  <c r="R19" i="48"/>
  <c r="CJ19" i="48"/>
  <c r="BB19" i="48"/>
  <c r="T19" i="48"/>
  <c r="BS28" i="48"/>
  <c r="CW28" i="48"/>
  <c r="AG28" i="48"/>
  <c r="CI28" i="48"/>
  <c r="BA28" i="48"/>
  <c r="O28" i="48"/>
  <c r="DA19" i="48"/>
  <c r="BO19" i="48"/>
  <c r="AC19" i="48"/>
  <c r="CI19" i="48"/>
  <c r="BA19" i="48"/>
  <c r="S19" i="48"/>
  <c r="CK18" i="48"/>
  <c r="AY18" i="48"/>
  <c r="BY18" i="48"/>
  <c r="CU18" i="48"/>
  <c r="BM18" i="48"/>
  <c r="AA18" i="48"/>
  <c r="CB38" i="48"/>
  <c r="Z37" i="48"/>
  <c r="BF37" i="48"/>
  <c r="CV28" i="48"/>
  <c r="Y37" i="48"/>
  <c r="AI37" i="48"/>
  <c r="CU20" i="48"/>
  <c r="AQ18" i="48"/>
  <c r="BJ17" i="48"/>
  <c r="CD38" i="48"/>
  <c r="AV38" i="48"/>
  <c r="N38" i="48"/>
  <c r="BX38" i="48"/>
  <c r="AN38" i="48"/>
  <c r="CR38" i="48"/>
  <c r="BJ38" i="48"/>
  <c r="AB38" i="48"/>
  <c r="CP38" i="48"/>
  <c r="BH38" i="48"/>
  <c r="Z38" i="48"/>
  <c r="CO14" i="48"/>
  <c r="BY14" i="48"/>
  <c r="BG14" i="48"/>
  <c r="AO14" i="48"/>
  <c r="Y14" i="48"/>
  <c r="AU14" i="48"/>
  <c r="CM14" i="48"/>
  <c r="BU14" i="48"/>
  <c r="BE14" i="48"/>
  <c r="AM14" i="48"/>
  <c r="W14" i="48"/>
  <c r="BZ37" i="48"/>
  <c r="AP37" i="48"/>
  <c r="J37" i="48"/>
  <c r="CL37" i="48"/>
  <c r="BD37" i="48"/>
  <c r="V37" i="48"/>
  <c r="CF37" i="48"/>
  <c r="AB37" i="48"/>
  <c r="CN37" i="48"/>
  <c r="BR37" i="48"/>
  <c r="AR37" i="48"/>
  <c r="BT28" i="48"/>
  <c r="AL28" i="48"/>
  <c r="CX28" i="48"/>
  <c r="BP28" i="48"/>
  <c r="AH28" i="48"/>
  <c r="BV28" i="48"/>
  <c r="CN28" i="48"/>
  <c r="BX28" i="48"/>
  <c r="BF28" i="48"/>
  <c r="AN28" i="48"/>
  <c r="X28" i="48"/>
  <c r="BY37" i="48"/>
  <c r="AO37" i="48"/>
  <c r="CS37" i="48"/>
  <c r="BS37" i="48"/>
  <c r="AK37" i="48"/>
  <c r="AU37" i="48"/>
  <c r="CQ37" i="48"/>
  <c r="CA37" i="48"/>
  <c r="BI37" i="48"/>
  <c r="AQ37" i="48"/>
  <c r="AA37" i="48"/>
  <c r="AS20" i="48"/>
  <c r="BY20" i="48"/>
  <c r="DA20" i="48"/>
  <c r="AK20" i="48"/>
  <c r="BO20" i="48"/>
  <c r="AU20" i="48"/>
  <c r="CM20" i="48"/>
  <c r="BU20" i="48"/>
  <c r="BE20" i="48"/>
  <c r="AM20" i="48"/>
  <c r="W20" i="48"/>
  <c r="CL18" i="48"/>
  <c r="BT18" i="48"/>
  <c r="BD18" i="48"/>
  <c r="AL18" i="48"/>
  <c r="N18" i="48"/>
  <c r="CV18" i="48"/>
  <c r="CF18" i="48"/>
  <c r="BN18" i="48"/>
  <c r="AX18" i="48"/>
  <c r="AF18" i="48"/>
  <c r="CO27" i="48"/>
  <c r="BG27" i="48"/>
  <c r="Y27" i="48"/>
  <c r="CK27" i="48"/>
  <c r="BC27" i="48"/>
  <c r="U27" i="48"/>
  <c r="CY27" i="48"/>
  <c r="CI27" i="48"/>
  <c r="BQ27" i="48"/>
  <c r="BA27" i="48"/>
  <c r="AI27" i="48"/>
  <c r="AJ33" i="48"/>
  <c r="CL12" i="48"/>
  <c r="BT12" i="48"/>
  <c r="BD12" i="48"/>
  <c r="AL12" i="48"/>
  <c r="V12" i="48"/>
  <c r="BV12" i="48"/>
  <c r="CN12" i="48"/>
  <c r="BX12" i="48"/>
  <c r="BF12" i="48"/>
  <c r="AN12" i="48"/>
  <c r="X12" i="48"/>
  <c r="AT12" i="48"/>
  <c r="AY21" i="48"/>
  <c r="CC21" i="48"/>
  <c r="M21" i="48"/>
  <c r="AO21" i="48"/>
  <c r="BS21" i="48"/>
  <c r="AU21" i="48"/>
  <c r="CQ21" i="48"/>
  <c r="CA21" i="48"/>
  <c r="BI21" i="48"/>
  <c r="AQ21" i="48"/>
  <c r="AA21" i="48"/>
  <c r="K21" i="48"/>
  <c r="AP27" i="48"/>
  <c r="BT27" i="48"/>
  <c r="AT27" i="48"/>
  <c r="BX27" i="48"/>
  <c r="AN27" i="48"/>
  <c r="BV27" i="48"/>
  <c r="CA36" i="48"/>
  <c r="CP27" i="48"/>
  <c r="BH27" i="48"/>
  <c r="Z27" i="48"/>
  <c r="CL27" i="48"/>
  <c r="BD27" i="48"/>
  <c r="V27" i="48"/>
  <c r="CV27" i="48"/>
  <c r="CF27" i="48"/>
  <c r="BN27" i="48"/>
  <c r="AX27" i="48"/>
  <c r="AF27" i="48"/>
  <c r="P27" i="48"/>
  <c r="BC36" i="48"/>
  <c r="Q36" i="48"/>
  <c r="AQ36" i="48"/>
  <c r="CZ34" i="48"/>
  <c r="AV34" i="48"/>
  <c r="BB34" i="48"/>
  <c r="BH34" i="48"/>
  <c r="CV34" i="48"/>
  <c r="CP17" i="48"/>
  <c r="AD18" i="48"/>
  <c r="CX12" i="48"/>
  <c r="CP12" i="48"/>
  <c r="CH12" i="48"/>
  <c r="BZ12" i="48"/>
  <c r="BP12" i="48"/>
  <c r="BH12" i="48"/>
  <c r="AZ12" i="48"/>
  <c r="AP12" i="48"/>
  <c r="AH12" i="48"/>
  <c r="Z12" i="48"/>
  <c r="R12" i="48"/>
  <c r="J12" i="48"/>
  <c r="CZ12" i="48"/>
  <c r="CR12" i="48"/>
  <c r="CJ12" i="48"/>
  <c r="CB12" i="48"/>
  <c r="BR12" i="48"/>
  <c r="BJ12" i="48"/>
  <c r="BB12" i="48"/>
  <c r="AR12" i="48"/>
  <c r="AJ12" i="48"/>
  <c r="AB12" i="48"/>
  <c r="T12" i="48"/>
  <c r="CW21" i="48"/>
  <c r="BO21" i="48"/>
  <c r="AG21" i="48"/>
  <c r="CS21" i="48"/>
  <c r="BK21" i="48"/>
  <c r="AC21" i="48"/>
  <c r="CO21" i="48"/>
  <c r="BG21" i="48"/>
  <c r="Y21" i="48"/>
  <c r="CK21" i="48"/>
  <c r="BC21" i="48"/>
  <c r="U21" i="48"/>
  <c r="BW21" i="48"/>
  <c r="CU21" i="48"/>
  <c r="CM21" i="48"/>
  <c r="CE21" i="48"/>
  <c r="BU21" i="48"/>
  <c r="BM21" i="48"/>
  <c r="BE21" i="48"/>
  <c r="AW21" i="48"/>
  <c r="AM21" i="48"/>
  <c r="AE21" i="48"/>
  <c r="W21" i="48"/>
  <c r="CX27" i="48"/>
  <c r="CH27" i="48"/>
  <c r="BP27" i="48"/>
  <c r="AZ27" i="48"/>
  <c r="AH27" i="48"/>
  <c r="R27" i="48"/>
  <c r="CT27" i="48"/>
  <c r="CD27" i="48"/>
  <c r="BL27" i="48"/>
  <c r="AV27" i="48"/>
  <c r="AD27" i="48"/>
  <c r="N27" i="48"/>
  <c r="CZ27" i="48"/>
  <c r="CR27" i="48"/>
  <c r="CJ27" i="48"/>
  <c r="CB27" i="48"/>
  <c r="BR27" i="48"/>
  <c r="BJ27" i="48"/>
  <c r="BB27" i="48"/>
  <c r="AR27" i="48"/>
  <c r="AJ27" i="48"/>
  <c r="AB27" i="48"/>
  <c r="T27" i="48"/>
  <c r="CK36" i="48"/>
  <c r="U36" i="48"/>
  <c r="AY36" i="48"/>
  <c r="CQ36" i="48"/>
  <c r="BI36" i="48"/>
  <c r="AA36" i="48"/>
  <c r="CD34" i="48"/>
  <c r="CP34" i="48"/>
  <c r="Z34" i="48"/>
  <c r="AX34" i="48"/>
  <c r="BX34" i="48"/>
  <c r="AB34" i="48"/>
  <c r="Z17" i="48"/>
  <c r="BH33" i="48"/>
  <c r="V33" i="48"/>
  <c r="CF33" i="48"/>
  <c r="BH17" i="48"/>
  <c r="CR17" i="48"/>
  <c r="AB17" i="48"/>
  <c r="DA36" i="48"/>
  <c r="BS36" i="48"/>
  <c r="AK36" i="48"/>
  <c r="CW36" i="48"/>
  <c r="BO36" i="48"/>
  <c r="AG36" i="48"/>
  <c r="CY36" i="48"/>
  <c r="CI36" i="48"/>
  <c r="BQ36" i="48"/>
  <c r="BA36" i="48"/>
  <c r="AI36" i="48"/>
  <c r="S36" i="48"/>
  <c r="CT34" i="48"/>
  <c r="BL34" i="48"/>
  <c r="N34" i="48"/>
  <c r="BZ34" i="48"/>
  <c r="AP34" i="48"/>
  <c r="J34" i="48"/>
  <c r="CB34" i="48"/>
  <c r="X34" i="48"/>
  <c r="CJ34" i="48"/>
  <c r="BJ34" i="48"/>
  <c r="AJ34" i="48"/>
  <c r="P34" i="48"/>
  <c r="BZ17" i="48"/>
  <c r="AP17" i="48"/>
  <c r="J17" i="48"/>
  <c r="CB17" i="48"/>
  <c r="AR17" i="48"/>
  <c r="L17" i="48"/>
  <c r="CX17" i="48"/>
  <c r="CH17" i="48"/>
  <c r="BP17" i="48"/>
  <c r="AZ17" i="48"/>
  <c r="AH17" i="48"/>
  <c r="R17" i="48"/>
  <c r="CZ17" i="48"/>
  <c r="CJ17" i="48"/>
  <c r="BR17" i="48"/>
  <c r="BB17" i="48"/>
  <c r="AJ17" i="48"/>
  <c r="T17" i="48"/>
  <c r="BO26" i="48"/>
  <c r="DA26" i="48"/>
  <c r="BQ26" i="48"/>
  <c r="AK26" i="48"/>
  <c r="CY26" i="48"/>
  <c r="AI26" i="48"/>
  <c r="BS26" i="48"/>
  <c r="CW26" i="48"/>
  <c r="AG26" i="48"/>
  <c r="CI26" i="48"/>
  <c r="BA26" i="48"/>
  <c r="S26" i="48"/>
  <c r="CK26" i="48"/>
  <c r="BC26" i="48"/>
  <c r="U26" i="48"/>
  <c r="CG26" i="48"/>
  <c r="AY26" i="48"/>
  <c r="Q26" i="48"/>
  <c r="CQ26" i="48"/>
  <c r="CA26" i="48"/>
  <c r="BI26" i="48"/>
  <c r="AQ26" i="48"/>
  <c r="AA26" i="48"/>
  <c r="K26" i="48"/>
  <c r="CP33" i="48"/>
  <c r="Z33" i="48"/>
  <c r="BD33" i="48"/>
  <c r="CB33" i="48"/>
  <c r="CZ33" i="48"/>
  <c r="BB33" i="48"/>
  <c r="AY17" i="48"/>
  <c r="CE17" i="48"/>
  <c r="CG17" i="48"/>
  <c r="Q17" i="48"/>
  <c r="AW17" i="48"/>
  <c r="CW17" i="48"/>
  <c r="BO17" i="48"/>
  <c r="AG17" i="48"/>
  <c r="CU17" i="48"/>
  <c r="BM17" i="48"/>
  <c r="AE17" i="48"/>
  <c r="AU17" i="48"/>
  <c r="CO17" i="48"/>
  <c r="BY17" i="48"/>
  <c r="BG17" i="48"/>
  <c r="AO17" i="48"/>
  <c r="Y17" i="48"/>
  <c r="BW17" i="48"/>
  <c r="CM17" i="48"/>
  <c r="BU17" i="48"/>
  <c r="BE17" i="48"/>
  <c r="AM17" i="48"/>
  <c r="W17" i="48"/>
  <c r="BZ33" i="48"/>
  <c r="AP33" i="48"/>
  <c r="J33" i="48"/>
  <c r="BT33" i="48"/>
  <c r="AL33" i="48"/>
  <c r="AT33" i="48"/>
  <c r="BF33" i="48"/>
  <c r="P33" i="48"/>
  <c r="CR33" i="48"/>
  <c r="BR33" i="48"/>
  <c r="AN33" i="48"/>
  <c r="AD34" i="48"/>
  <c r="T24" i="48"/>
  <c r="AL24" i="48"/>
  <c r="T33" i="48"/>
  <c r="AF33" i="48"/>
  <c r="AX33" i="48"/>
  <c r="BJ33" i="48"/>
  <c r="BX33" i="48"/>
  <c r="CJ33" i="48"/>
  <c r="CV33" i="48"/>
  <c r="BV33" i="48"/>
  <c r="X33" i="48"/>
  <c r="AR33" i="48"/>
  <c r="BN33" i="48"/>
  <c r="CN33" i="48"/>
  <c r="N33" i="48"/>
  <c r="AD33" i="48"/>
  <c r="AV33" i="48"/>
  <c r="BL33" i="48"/>
  <c r="CD33" i="48"/>
  <c r="CT33" i="48"/>
  <c r="R33" i="48"/>
  <c r="AH33" i="48"/>
  <c r="AZ33" i="48"/>
  <c r="BP33" i="48"/>
  <c r="CH33" i="48"/>
  <c r="CX33" i="48"/>
  <c r="O27" i="48"/>
  <c r="W27" i="48"/>
  <c r="AE27" i="48"/>
  <c r="AM27" i="48"/>
  <c r="AW27" i="48"/>
  <c r="BE27" i="48"/>
  <c r="BM27" i="48"/>
  <c r="BU27" i="48"/>
  <c r="CE27" i="48"/>
  <c r="CM27" i="48"/>
  <c r="CU27" i="48"/>
  <c r="BW27" i="48"/>
  <c r="M27" i="48"/>
  <c r="AC27" i="48"/>
  <c r="AS27" i="48"/>
  <c r="BK27" i="48"/>
  <c r="CC27" i="48"/>
  <c r="CS27" i="48"/>
  <c r="Q27" i="48"/>
  <c r="AG27" i="48"/>
  <c r="AY27" i="48"/>
  <c r="BO27" i="48"/>
  <c r="CG27" i="48"/>
  <c r="CW27" i="48"/>
  <c r="L18" i="48"/>
  <c r="T18" i="48"/>
  <c r="AB18" i="48"/>
  <c r="AJ18" i="48"/>
  <c r="AR18" i="48"/>
  <c r="BB18" i="48"/>
  <c r="BJ18" i="48"/>
  <c r="BR18" i="48"/>
  <c r="CB18" i="48"/>
  <c r="CJ18" i="48"/>
  <c r="CR18" i="48"/>
  <c r="CZ18" i="48"/>
  <c r="J18" i="48"/>
  <c r="R18" i="48"/>
  <c r="Z18" i="48"/>
  <c r="AH18" i="48"/>
  <c r="AP18" i="48"/>
  <c r="AZ18" i="48"/>
  <c r="BH18" i="48"/>
  <c r="BP18" i="48"/>
  <c r="BZ18" i="48"/>
  <c r="CH18" i="48"/>
  <c r="CP18" i="48"/>
  <c r="CX18" i="48"/>
  <c r="K20" i="48"/>
  <c r="S20" i="48"/>
  <c r="AA20" i="48"/>
  <c r="AI20" i="48"/>
  <c r="AQ20" i="48"/>
  <c r="BA20" i="48"/>
  <c r="BI20" i="48"/>
  <c r="BQ20" i="48"/>
  <c r="CA20" i="48"/>
  <c r="CI20" i="48"/>
  <c r="CQ20" i="48"/>
  <c r="CY20" i="48"/>
  <c r="Q20" i="48"/>
  <c r="AY20" i="48"/>
  <c r="CG20" i="48"/>
  <c r="U20" i="48"/>
  <c r="BC20" i="48"/>
  <c r="CK20" i="48"/>
  <c r="Y20" i="48"/>
  <c r="BG20" i="48"/>
  <c r="CO20" i="48"/>
  <c r="AC20" i="48"/>
  <c r="BK20" i="48"/>
  <c r="CS20" i="48"/>
  <c r="O37" i="48"/>
  <c r="W37" i="48"/>
  <c r="AE37" i="48"/>
  <c r="AM37" i="48"/>
  <c r="AW37" i="48"/>
  <c r="BE37" i="48"/>
  <c r="BM37" i="48"/>
  <c r="BU37" i="48"/>
  <c r="CE37" i="48"/>
  <c r="CM37" i="48"/>
  <c r="CU37" i="48"/>
  <c r="BW37" i="48"/>
  <c r="M37" i="48"/>
  <c r="AC37" i="48"/>
  <c r="AS37" i="48"/>
  <c r="BK37" i="48"/>
  <c r="CC37" i="48"/>
  <c r="CW37" i="48"/>
  <c r="Q37" i="48"/>
  <c r="AG37" i="48"/>
  <c r="AY37" i="48"/>
  <c r="BO37" i="48"/>
  <c r="CG37" i="48"/>
  <c r="DA37" i="48"/>
  <c r="L28" i="48"/>
  <c r="T28" i="48"/>
  <c r="AB28" i="48"/>
  <c r="AJ28" i="48"/>
  <c r="AR28" i="48"/>
  <c r="BB28" i="48"/>
  <c r="BJ28" i="48"/>
  <c r="BR28" i="48"/>
  <c r="CB28" i="48"/>
  <c r="CJ28" i="48"/>
  <c r="CR28" i="48"/>
  <c r="CZ28" i="48"/>
  <c r="J28" i="48"/>
  <c r="Z28" i="48"/>
  <c r="AP28" i="48"/>
  <c r="BH28" i="48"/>
  <c r="BZ28" i="48"/>
  <c r="CP28" i="48"/>
  <c r="N28" i="48"/>
  <c r="AD28" i="48"/>
  <c r="AV28" i="48"/>
  <c r="BL28" i="48"/>
  <c r="CD28" i="48"/>
  <c r="CT28" i="48"/>
  <c r="X37" i="48"/>
  <c r="AJ37" i="48"/>
  <c r="AX37" i="48"/>
  <c r="BJ37" i="48"/>
  <c r="BX37" i="48"/>
  <c r="CJ37" i="48"/>
  <c r="BV37" i="48"/>
  <c r="T37" i="48"/>
  <c r="AN37" i="48"/>
  <c r="BN37" i="48"/>
  <c r="AT37" i="48"/>
  <c r="N37" i="48"/>
  <c r="AD37" i="48"/>
  <c r="AV37" i="48"/>
  <c r="BL37" i="48"/>
  <c r="CD37" i="48"/>
  <c r="CX37" i="48"/>
  <c r="CZ37" i="48"/>
  <c r="R37" i="48"/>
  <c r="AH37" i="48"/>
  <c r="AZ37" i="48"/>
  <c r="BP37" i="48"/>
  <c r="CH37" i="48"/>
  <c r="CV37" i="48"/>
  <c r="K14" i="48"/>
  <c r="S14" i="48"/>
  <c r="AA14" i="48"/>
  <c r="AI14" i="48"/>
  <c r="AQ14" i="48"/>
  <c r="BA14" i="48"/>
  <c r="BI14" i="48"/>
  <c r="BQ14" i="48"/>
  <c r="CA14" i="48"/>
  <c r="CI14" i="48"/>
  <c r="CQ14" i="48"/>
  <c r="CY14" i="48"/>
  <c r="M14" i="48"/>
  <c r="U14" i="48"/>
  <c r="AC14" i="48"/>
  <c r="AK14" i="48"/>
  <c r="AS14" i="48"/>
  <c r="BC14" i="48"/>
  <c r="BK14" i="48"/>
  <c r="BS14" i="48"/>
  <c r="CC14" i="48"/>
  <c r="CK14" i="48"/>
  <c r="CS14" i="48"/>
  <c r="DA14" i="48"/>
  <c r="BV38" i="48"/>
  <c r="P38" i="48"/>
  <c r="AF38" i="48"/>
  <c r="AX38" i="48"/>
  <c r="BN38" i="48"/>
  <c r="CF38" i="48"/>
  <c r="CV38" i="48"/>
  <c r="V38" i="48"/>
  <c r="AL38" i="48"/>
  <c r="BD38" i="48"/>
  <c r="BT38" i="48"/>
  <c r="CL38" i="48"/>
  <c r="R38" i="48"/>
  <c r="AH38" i="48"/>
  <c r="AZ38" i="48"/>
  <c r="BP38" i="48"/>
  <c r="CH38" i="48"/>
  <c r="CX38" i="48"/>
  <c r="T38" i="48"/>
  <c r="AJ38" i="48"/>
  <c r="BB38" i="48"/>
  <c r="BR38" i="48"/>
  <c r="CJ38" i="48"/>
  <c r="CZ38" i="48"/>
  <c r="K15" i="48"/>
  <c r="S15" i="48"/>
  <c r="AA15" i="48"/>
  <c r="AI15" i="48"/>
  <c r="AQ15" i="48"/>
  <c r="BA15" i="48"/>
  <c r="BI15" i="48"/>
  <c r="BQ15" i="48"/>
  <c r="CA15" i="48"/>
  <c r="CI15" i="48"/>
  <c r="CQ15" i="48"/>
  <c r="CY15" i="48"/>
  <c r="M15" i="48"/>
  <c r="U15" i="48"/>
  <c r="AC15" i="48"/>
  <c r="AK15" i="48"/>
  <c r="AS15" i="48"/>
  <c r="BC15" i="48"/>
  <c r="BK15" i="48"/>
  <c r="BS15" i="48"/>
  <c r="CC15" i="48"/>
  <c r="CK15" i="48"/>
  <c r="CS15" i="48"/>
  <c r="DA15" i="48"/>
  <c r="K24" i="48"/>
  <c r="S24" i="48"/>
  <c r="AA24" i="48"/>
  <c r="AI24" i="48"/>
  <c r="AQ24" i="48"/>
  <c r="BA24" i="48"/>
  <c r="BI24" i="48"/>
  <c r="BQ24" i="48"/>
  <c r="CA24" i="48"/>
  <c r="CI24" i="48"/>
  <c r="CQ24" i="48"/>
  <c r="CY24" i="48"/>
  <c r="Q24" i="48"/>
  <c r="AY24" i="48"/>
  <c r="BZ24" i="48"/>
  <c r="AR24" i="48"/>
  <c r="BT24" i="48"/>
  <c r="Z24" i="48"/>
  <c r="AB24" i="48"/>
  <c r="BH24" i="48"/>
  <c r="CB24" i="48"/>
  <c r="J24" i="48"/>
  <c r="AD25" i="48"/>
  <c r="CS36" i="48"/>
  <c r="CC36" i="48"/>
  <c r="BK36" i="48"/>
  <c r="AS36" i="48"/>
  <c r="AC36" i="48"/>
  <c r="M36" i="48"/>
  <c r="CO36" i="48"/>
  <c r="BY36" i="48"/>
  <c r="BG36" i="48"/>
  <c r="AO36" i="48"/>
  <c r="Y36" i="48"/>
  <c r="AU36" i="48"/>
  <c r="CU36" i="48"/>
  <c r="CM36" i="48"/>
  <c r="CE36" i="48"/>
  <c r="BU36" i="48"/>
  <c r="BM36" i="48"/>
  <c r="BE36" i="48"/>
  <c r="AW36" i="48"/>
  <c r="AM36" i="48"/>
  <c r="AE36" i="48"/>
  <c r="W36" i="48"/>
  <c r="O36" i="48"/>
  <c r="CL34" i="48"/>
  <c r="BT34" i="48"/>
  <c r="BD34" i="48"/>
  <c r="AL34" i="48"/>
  <c r="V34" i="48"/>
  <c r="CX34" i="48"/>
  <c r="CH34" i="48"/>
  <c r="BP34" i="48"/>
  <c r="AZ34" i="48"/>
  <c r="AH34" i="48"/>
  <c r="R34" i="48"/>
  <c r="BV34" i="48"/>
  <c r="CN34" i="48"/>
  <c r="BN34" i="48"/>
  <c r="AN34" i="48"/>
  <c r="L34" i="48"/>
  <c r="CR34" i="48"/>
  <c r="CF34" i="48"/>
  <c r="BR34" i="48"/>
  <c r="BF34" i="48"/>
  <c r="AR34" i="48"/>
  <c r="AF34" i="48"/>
  <c r="T34" i="48"/>
  <c r="CT17" i="48"/>
  <c r="CL17" i="48"/>
  <c r="CD17" i="48"/>
  <c r="BT17" i="48"/>
  <c r="BL17" i="48"/>
  <c r="BD17" i="48"/>
  <c r="AV17" i="48"/>
  <c r="AL17" i="48"/>
  <c r="AD17" i="48"/>
  <c r="V17" i="48"/>
  <c r="N17" i="48"/>
  <c r="AT17" i="48"/>
  <c r="CV17" i="48"/>
  <c r="CN17" i="48"/>
  <c r="CF17" i="48"/>
  <c r="BX17" i="48"/>
  <c r="BN17" i="48"/>
  <c r="BF17" i="48"/>
  <c r="AX17" i="48"/>
  <c r="AN17" i="48"/>
  <c r="AF17" i="48"/>
  <c r="X17" i="48"/>
  <c r="P17" i="48"/>
  <c r="CS26" i="48"/>
  <c r="CC26" i="48"/>
  <c r="BK26" i="48"/>
  <c r="AS26" i="48"/>
  <c r="AC26" i="48"/>
  <c r="M26" i="48"/>
  <c r="CO26" i="48"/>
  <c r="BY26" i="48"/>
  <c r="BG26" i="48"/>
  <c r="AO26" i="48"/>
  <c r="Y26" i="48"/>
  <c r="AU26" i="48"/>
  <c r="CU26" i="48"/>
  <c r="CM26" i="48"/>
  <c r="CE26" i="48"/>
  <c r="BU26" i="48"/>
  <c r="BM26" i="48"/>
  <c r="BE26" i="48"/>
  <c r="AW26" i="48"/>
  <c r="AM26" i="48"/>
  <c r="AE26" i="48"/>
  <c r="W26" i="48"/>
  <c r="O26" i="48"/>
  <c r="DA17" i="48"/>
  <c r="CS17" i="48"/>
  <c r="CK17" i="48"/>
  <c r="CC17" i="48"/>
  <c r="BS17" i="48"/>
  <c r="BK17" i="48"/>
  <c r="BC17" i="48"/>
  <c r="AS17" i="48"/>
  <c r="AK17" i="48"/>
  <c r="AC17" i="48"/>
  <c r="U17" i="48"/>
  <c r="M17" i="48"/>
  <c r="CY17" i="48"/>
  <c r="CQ17" i="48"/>
  <c r="CI17" i="48"/>
  <c r="CA17" i="48"/>
  <c r="BQ17" i="48"/>
  <c r="BI17" i="48"/>
  <c r="BA17" i="48"/>
  <c r="AQ17" i="48"/>
  <c r="AI17" i="48"/>
  <c r="AA17" i="48"/>
  <c r="S17" i="48"/>
  <c r="CZ11" i="49"/>
  <c r="N11" i="49"/>
  <c r="N52" i="49" s="1"/>
  <c r="V11" i="49"/>
  <c r="V52" i="49" s="1"/>
  <c r="AD11" i="49"/>
  <c r="AD52" i="49" s="1"/>
  <c r="AL11" i="49"/>
  <c r="AL52" i="49" s="1"/>
  <c r="AT11" i="49"/>
  <c r="BB11" i="49"/>
  <c r="BB52" i="49" s="1"/>
  <c r="BJ11" i="49"/>
  <c r="BJ52" i="49" s="1"/>
  <c r="BR11" i="49"/>
  <c r="BR52" i="49" s="1"/>
  <c r="BZ11" i="49"/>
  <c r="BZ52" i="49" s="1"/>
  <c r="CH11" i="49"/>
  <c r="CP11" i="49"/>
  <c r="CP52" i="49" s="1"/>
  <c r="F43" i="49" s="1"/>
  <c r="CX11" i="49"/>
  <c r="CX52" i="49" s="1"/>
  <c r="P11" i="49"/>
  <c r="P52" i="49" s="1"/>
  <c r="X11" i="49"/>
  <c r="X52" i="49" s="1"/>
  <c r="AF11" i="49"/>
  <c r="AF52" i="49" s="1"/>
  <c r="AN11" i="49"/>
  <c r="AV11" i="49"/>
  <c r="AV52" i="49" s="1"/>
  <c r="BD11" i="49"/>
  <c r="BD52" i="49" s="1"/>
  <c r="BL11" i="49"/>
  <c r="BL52" i="49" s="1"/>
  <c r="BT11" i="49"/>
  <c r="BT52" i="49" s="1"/>
  <c r="CB11" i="49"/>
  <c r="CB52" i="49" s="1"/>
  <c r="CJ11" i="49"/>
  <c r="CJ52" i="49" s="1"/>
  <c r="CR11" i="49"/>
  <c r="CR52" i="49" s="1"/>
  <c r="F44" i="49" s="1"/>
  <c r="J11" i="49"/>
  <c r="J52" i="49" s="1"/>
  <c r="R11" i="49"/>
  <c r="R52" i="49" s="1"/>
  <c r="Z11" i="49"/>
  <c r="Z52" i="49" s="1"/>
  <c r="AH11" i="49"/>
  <c r="AH52" i="49" s="1"/>
  <c r="AP11" i="49"/>
  <c r="AP52" i="49" s="1"/>
  <c r="AX11" i="49"/>
  <c r="BF11" i="49"/>
  <c r="BF52" i="49" s="1"/>
  <c r="BN11" i="49"/>
  <c r="BN52" i="49" s="1"/>
  <c r="BV11" i="49"/>
  <c r="BV52" i="49" s="1"/>
  <c r="CD11" i="49"/>
  <c r="CL11" i="49"/>
  <c r="CL52" i="49" s="1"/>
  <c r="F41" i="49" s="1"/>
  <c r="CT11" i="49"/>
  <c r="L11" i="49"/>
  <c r="L52" i="49" s="1"/>
  <c r="T11" i="49"/>
  <c r="AB11" i="49"/>
  <c r="AB52" i="49" s="1"/>
  <c r="AJ11" i="49"/>
  <c r="AJ52" i="49" s="1"/>
  <c r="AR11" i="49"/>
  <c r="AR52" i="49" s="1"/>
  <c r="AZ11" i="49"/>
  <c r="BH11" i="49"/>
  <c r="BH52" i="49" s="1"/>
  <c r="BP11" i="49"/>
  <c r="BP52" i="49" s="1"/>
  <c r="BX11" i="49"/>
  <c r="BX52" i="49" s="1"/>
  <c r="CF11" i="49"/>
  <c r="CN11" i="49"/>
  <c r="CN52" i="49" s="1"/>
  <c r="F42" i="49" s="1"/>
  <c r="CV11" i="49"/>
  <c r="CV52" i="49" s="1"/>
  <c r="F50" i="49" s="1"/>
  <c r="A11" i="49" a="1"/>
  <c r="A11" i="49" s="1"/>
  <c r="I11" i="49" s="1"/>
  <c r="A50" i="49" a="1"/>
  <c r="A50" i="49" s="1"/>
  <c r="I50" i="49" s="1"/>
  <c r="A48" i="49" a="1"/>
  <c r="A48" i="49" s="1"/>
  <c r="I48" i="49" s="1"/>
  <c r="A46" i="49" a="1"/>
  <c r="A46" i="49" s="1"/>
  <c r="I46" i="49" s="1"/>
  <c r="A44" i="49" a="1"/>
  <c r="A44" i="49" s="1"/>
  <c r="I44" i="49" s="1"/>
  <c r="A42" i="49" a="1"/>
  <c r="A42" i="49" s="1"/>
  <c r="I42" i="49" s="1"/>
  <c r="A40" i="49" a="1"/>
  <c r="A40" i="49" s="1"/>
  <c r="I40" i="49" s="1"/>
  <c r="A49" i="49" a="1"/>
  <c r="A49" i="49" s="1"/>
  <c r="I49" i="49" s="1"/>
  <c r="A47" i="49" a="1"/>
  <c r="A47" i="49" s="1"/>
  <c r="I47" i="49" s="1"/>
  <c r="A45" i="49" a="1"/>
  <c r="A45" i="49" s="1"/>
  <c r="I45" i="49" s="1"/>
  <c r="A43" i="49" a="1"/>
  <c r="A43" i="49" s="1"/>
  <c r="I43" i="49" s="1"/>
  <c r="A41" i="49" a="1"/>
  <c r="A41" i="49" s="1"/>
  <c r="I41" i="49" s="1"/>
  <c r="DA11" i="49"/>
  <c r="O11" i="49"/>
  <c r="O52" i="49" s="1"/>
  <c r="W11" i="49"/>
  <c r="W52" i="49" s="1"/>
  <c r="AE11" i="49"/>
  <c r="AE52" i="49" s="1"/>
  <c r="AM11" i="49"/>
  <c r="AM52" i="49" s="1"/>
  <c r="AU11" i="49"/>
  <c r="AU52" i="49" s="1"/>
  <c r="BC11" i="49"/>
  <c r="BC52" i="49" s="1"/>
  <c r="BK11" i="49"/>
  <c r="BK52" i="49" s="1"/>
  <c r="BS11" i="49"/>
  <c r="BS52" i="49" s="1"/>
  <c r="CA11" i="49"/>
  <c r="CA52" i="49" s="1"/>
  <c r="CI11" i="49"/>
  <c r="CI52" i="49" s="1"/>
  <c r="F46" i="49" s="1"/>
  <c r="CQ11" i="49"/>
  <c r="CY11" i="49"/>
  <c r="CY52" i="49" s="1"/>
  <c r="M11" i="49"/>
  <c r="M52" i="49" s="1"/>
  <c r="U11" i="49"/>
  <c r="U52" i="49" s="1"/>
  <c r="AC11" i="49"/>
  <c r="AC52" i="49" s="1"/>
  <c r="AK11" i="49"/>
  <c r="AK52" i="49" s="1"/>
  <c r="AS11" i="49"/>
  <c r="BA11" i="49"/>
  <c r="BI11" i="49"/>
  <c r="BI52" i="49" s="1"/>
  <c r="BQ11" i="49"/>
  <c r="BQ52" i="49" s="1"/>
  <c r="BY11" i="49"/>
  <c r="BY52" i="49" s="1"/>
  <c r="CG11" i="49"/>
  <c r="CG52" i="49" s="1"/>
  <c r="F48" i="49" s="1"/>
  <c r="CO11" i="49"/>
  <c r="CW11" i="49"/>
  <c r="K11" i="49"/>
  <c r="K52" i="49" s="1"/>
  <c r="S11" i="49"/>
  <c r="AA11" i="49"/>
  <c r="AA52" i="49" s="1"/>
  <c r="AI11" i="49"/>
  <c r="AI52" i="49" s="1"/>
  <c r="AQ11" i="49"/>
  <c r="AY11" i="49"/>
  <c r="AY52" i="49" s="1"/>
  <c r="F40" i="49" s="1"/>
  <c r="BG11" i="49"/>
  <c r="BG52" i="49" s="1"/>
  <c r="BO11" i="49"/>
  <c r="BO52" i="49" s="1"/>
  <c r="BW11" i="49"/>
  <c r="BW52" i="49" s="1"/>
  <c r="CE11" i="49"/>
  <c r="CE52" i="49" s="1"/>
  <c r="F47" i="49" s="1"/>
  <c r="CM11" i="49"/>
  <c r="CU11" i="49"/>
  <c r="CU52" i="49" s="1"/>
  <c r="F49" i="49" s="1"/>
  <c r="Q11" i="49"/>
  <c r="Q52" i="49" s="1"/>
  <c r="Y11" i="49"/>
  <c r="Y52" i="49" s="1"/>
  <c r="AG11" i="49"/>
  <c r="AG52" i="49" s="1"/>
  <c r="AO11" i="49"/>
  <c r="AO52" i="49" s="1"/>
  <c r="AW11" i="49"/>
  <c r="BE11" i="49"/>
  <c r="BE52" i="49" s="1"/>
  <c r="BM11" i="49"/>
  <c r="BM52" i="49" s="1"/>
  <c r="BU11" i="49"/>
  <c r="BU52" i="49" s="1"/>
  <c r="CC11" i="49"/>
  <c r="CC52" i="49" s="1"/>
  <c r="CK11" i="49"/>
  <c r="CK52" i="49" s="1"/>
  <c r="CS11" i="49"/>
  <c r="AE33" i="48"/>
  <c r="A50" i="51" a="1"/>
  <c r="A50" i="51" s="1"/>
  <c r="I50" i="51" s="1"/>
  <c r="A46" i="51" a="1"/>
  <c r="A46" i="51" s="1"/>
  <c r="I46" i="51" s="1"/>
  <c r="A42" i="51" a="1"/>
  <c r="A42" i="51" s="1"/>
  <c r="I42" i="51" s="1"/>
  <c r="A49" i="51" a="1"/>
  <c r="A49" i="51" s="1"/>
  <c r="I49" i="51" s="1"/>
  <c r="A45" i="51" a="1"/>
  <c r="A45" i="51" s="1"/>
  <c r="I45" i="51" s="1"/>
  <c r="A41" i="51" a="1"/>
  <c r="A41" i="51" s="1"/>
  <c r="I41" i="51" s="1"/>
  <c r="A48" i="51" a="1"/>
  <c r="A48" i="51" s="1"/>
  <c r="I48" i="51" s="1"/>
  <c r="A44" i="51" a="1"/>
  <c r="A44" i="51" s="1"/>
  <c r="I44" i="51" s="1"/>
  <c r="A40" i="51" a="1"/>
  <c r="A40" i="51" s="1"/>
  <c r="I40" i="51" s="1"/>
  <c r="A47" i="51" a="1"/>
  <c r="A47" i="51" s="1"/>
  <c r="I47" i="51" s="1"/>
  <c r="A43" i="51" a="1"/>
  <c r="A43" i="51" s="1"/>
  <c r="I43" i="51" s="1"/>
  <c r="O33" i="48"/>
  <c r="A47" i="50" a="1"/>
  <c r="A47" i="50" s="1"/>
  <c r="I47" i="50" s="1"/>
  <c r="A43" i="50" a="1"/>
  <c r="A43" i="50" s="1"/>
  <c r="I43" i="50" s="1"/>
  <c r="A50" i="50" a="1"/>
  <c r="A50" i="50" s="1"/>
  <c r="I50" i="50" s="1"/>
  <c r="A46" i="50" a="1"/>
  <c r="A46" i="50" s="1"/>
  <c r="I46" i="50" s="1"/>
  <c r="A42" i="50" a="1"/>
  <c r="A42" i="50" s="1"/>
  <c r="I42" i="50" s="1"/>
  <c r="A49" i="50" a="1"/>
  <c r="A49" i="50" s="1"/>
  <c r="I49" i="50" s="1"/>
  <c r="A45" i="50" a="1"/>
  <c r="A45" i="50" s="1"/>
  <c r="I45" i="50" s="1"/>
  <c r="A41" i="50" a="1"/>
  <c r="A41" i="50" s="1"/>
  <c r="I41" i="50" s="1"/>
  <c r="A48" i="50" a="1"/>
  <c r="A48" i="50" s="1"/>
  <c r="I48" i="50" s="1"/>
  <c r="A44" i="50" a="1"/>
  <c r="A44" i="50" s="1"/>
  <c r="I44" i="50" s="1"/>
  <c r="A40" i="50" a="1"/>
  <c r="A40" i="50" s="1"/>
  <c r="I40" i="50" s="1"/>
  <c r="CP24" i="48"/>
  <c r="AP24" i="48"/>
  <c r="CR24" i="48"/>
  <c r="L24" i="48"/>
  <c r="CL24" i="48"/>
  <c r="BD24" i="48"/>
  <c r="V24" i="48"/>
  <c r="BJ24" i="48"/>
  <c r="Q33" i="48"/>
  <c r="AS33" i="48"/>
  <c r="CU33" i="48"/>
  <c r="AD31" i="48"/>
  <c r="CG33" i="48"/>
  <c r="CE33" i="48"/>
  <c r="CC33" i="48"/>
  <c r="BM33" i="48"/>
  <c r="AY33" i="48"/>
  <c r="M33" i="48"/>
  <c r="AW33" i="48"/>
  <c r="CT24" i="48"/>
  <c r="CD24" i="48"/>
  <c r="BL24" i="48"/>
  <c r="AV24" i="48"/>
  <c r="AD24" i="48"/>
  <c r="N24" i="48"/>
  <c r="CV24" i="48"/>
  <c r="CF24" i="48"/>
  <c r="BN24" i="48"/>
  <c r="AX24" i="48"/>
  <c r="AF24" i="48"/>
  <c r="P24" i="48"/>
  <c r="CO33" i="48"/>
  <c r="BG33" i="48"/>
  <c r="Y33" i="48"/>
  <c r="CK33" i="48"/>
  <c r="BC33" i="48"/>
  <c r="U33" i="48"/>
  <c r="CY33" i="48"/>
  <c r="CI33" i="48"/>
  <c r="BQ33" i="48"/>
  <c r="BA33" i="48"/>
  <c r="AI33" i="48"/>
  <c r="S33" i="48"/>
  <c r="BV24" i="48"/>
  <c r="CN24" i="48"/>
  <c r="BX24" i="48"/>
  <c r="BF24" i="48"/>
  <c r="AN24" i="48"/>
  <c r="X24" i="48"/>
  <c r="AT24" i="48"/>
  <c r="BY33" i="48"/>
  <c r="AO33" i="48"/>
  <c r="DA33" i="48"/>
  <c r="BS33" i="48"/>
  <c r="AK33" i="48"/>
  <c r="AU33" i="48"/>
  <c r="CQ33" i="48"/>
  <c r="CA33" i="48"/>
  <c r="BI33" i="48"/>
  <c r="AQ33" i="48"/>
  <c r="AA33" i="48"/>
  <c r="K33" i="48"/>
  <c r="CX24" i="48"/>
  <c r="CH24" i="48"/>
  <c r="BP24" i="48"/>
  <c r="AZ24" i="48"/>
  <c r="AH24" i="48"/>
  <c r="R24" i="48"/>
  <c r="CZ24" i="48"/>
  <c r="CJ24" i="48"/>
  <c r="BR24" i="48"/>
  <c r="BB24" i="48"/>
  <c r="AJ24" i="48"/>
  <c r="CW33" i="48"/>
  <c r="BO33" i="48"/>
  <c r="AG33" i="48"/>
  <c r="CS33" i="48"/>
  <c r="BK33" i="48"/>
  <c r="AC33" i="48"/>
  <c r="BW33" i="48"/>
  <c r="CM33" i="48"/>
  <c r="BU33" i="48"/>
  <c r="BE33" i="48"/>
  <c r="AM33" i="48"/>
  <c r="DA11" i="51"/>
  <c r="CW11" i="51"/>
  <c r="CS11" i="51"/>
  <c r="CO11" i="51"/>
  <c r="CK11" i="51"/>
  <c r="CK52" i="51" s="1"/>
  <c r="CG11" i="51"/>
  <c r="CG52" i="51" s="1"/>
  <c r="F48" i="51" s="1"/>
  <c r="CC11" i="51"/>
  <c r="CC52" i="51" s="1"/>
  <c r="BY11" i="51"/>
  <c r="BY52" i="51" s="1"/>
  <c r="BU11" i="51"/>
  <c r="BU52" i="51" s="1"/>
  <c r="BQ11" i="51"/>
  <c r="BQ52" i="51" s="1"/>
  <c r="BM11" i="51"/>
  <c r="BM52" i="51" s="1"/>
  <c r="BI11" i="51"/>
  <c r="BI52" i="51" s="1"/>
  <c r="BE11" i="51"/>
  <c r="BE52" i="51" s="1"/>
  <c r="BA11" i="51"/>
  <c r="AW11" i="51"/>
  <c r="AS11" i="51"/>
  <c r="AO11" i="51"/>
  <c r="AO52" i="51" s="1"/>
  <c r="AK11" i="51"/>
  <c r="AK52" i="51" s="1"/>
  <c r="AG11" i="51"/>
  <c r="AG52" i="51" s="1"/>
  <c r="AC11" i="51"/>
  <c r="AC52" i="51" s="1"/>
  <c r="Y11" i="51"/>
  <c r="Y52" i="51" s="1"/>
  <c r="U11" i="51"/>
  <c r="U52" i="51" s="1"/>
  <c r="Q11" i="51"/>
  <c r="Q52" i="51" s="1"/>
  <c r="M11" i="51"/>
  <c r="M52" i="51" s="1"/>
  <c r="CY11" i="51"/>
  <c r="CY52" i="51" s="1"/>
  <c r="CU11" i="51"/>
  <c r="CU52" i="51" s="1"/>
  <c r="F49" i="51" s="1"/>
  <c r="CQ11" i="51"/>
  <c r="CM11" i="51"/>
  <c r="CI11" i="51"/>
  <c r="CI52" i="51" s="1"/>
  <c r="F46" i="51" s="1"/>
  <c r="CE11" i="51"/>
  <c r="CE52" i="51" s="1"/>
  <c r="F47" i="51" s="1"/>
  <c r="CA11" i="51"/>
  <c r="CA52" i="51" s="1"/>
  <c r="BW11" i="51"/>
  <c r="BW52" i="51" s="1"/>
  <c r="BS11" i="51"/>
  <c r="BS52" i="51" s="1"/>
  <c r="BO11" i="51"/>
  <c r="BO52" i="51" s="1"/>
  <c r="BK11" i="51"/>
  <c r="BK52" i="51" s="1"/>
  <c r="BG11" i="51"/>
  <c r="BG52" i="51" s="1"/>
  <c r="BC11" i="51"/>
  <c r="BC52" i="51" s="1"/>
  <c r="AY11" i="51"/>
  <c r="AY52" i="51" s="1"/>
  <c r="F40" i="51" s="1"/>
  <c r="AU11" i="51"/>
  <c r="AU52" i="51" s="1"/>
  <c r="AQ11" i="51"/>
  <c r="AM11" i="51"/>
  <c r="AM52" i="51" s="1"/>
  <c r="AI11" i="51"/>
  <c r="AI52" i="51" s="1"/>
  <c r="AE11" i="51"/>
  <c r="AE52" i="51" s="1"/>
  <c r="AA11" i="51"/>
  <c r="AA52" i="51" s="1"/>
  <c r="W11" i="51"/>
  <c r="W52" i="51" s="1"/>
  <c r="S11" i="51"/>
  <c r="O11" i="51"/>
  <c r="O52" i="51" s="1"/>
  <c r="K11" i="51"/>
  <c r="K52" i="51" s="1"/>
  <c r="CZ11" i="51"/>
  <c r="CV11" i="51"/>
  <c r="CV52" i="51" s="1"/>
  <c r="F50" i="51" s="1"/>
  <c r="CR11" i="51"/>
  <c r="CR52" i="51" s="1"/>
  <c r="F44" i="51" s="1"/>
  <c r="CN11" i="51"/>
  <c r="CN52" i="51" s="1"/>
  <c r="F42" i="51" s="1"/>
  <c r="CJ11" i="51"/>
  <c r="CJ52" i="51" s="1"/>
  <c r="CF11" i="51"/>
  <c r="CB11" i="51"/>
  <c r="CB52" i="51" s="1"/>
  <c r="BX11" i="51"/>
  <c r="BX52" i="51" s="1"/>
  <c r="BT11" i="51"/>
  <c r="BT52" i="51" s="1"/>
  <c r="BP11" i="51"/>
  <c r="BP52" i="51" s="1"/>
  <c r="BL11" i="51"/>
  <c r="BL52" i="51" s="1"/>
  <c r="BH11" i="51"/>
  <c r="BH52" i="51" s="1"/>
  <c r="BD11" i="51"/>
  <c r="BD52" i="51" s="1"/>
  <c r="AZ11" i="51"/>
  <c r="AV11" i="51"/>
  <c r="AV52" i="51" s="1"/>
  <c r="AR11" i="51"/>
  <c r="AR52" i="51" s="1"/>
  <c r="AN11" i="51"/>
  <c r="AJ11" i="51"/>
  <c r="AJ52" i="51" s="1"/>
  <c r="AF11" i="51"/>
  <c r="AF52" i="51" s="1"/>
  <c r="AB11" i="51"/>
  <c r="AB52" i="51" s="1"/>
  <c r="X11" i="51"/>
  <c r="X52" i="51" s="1"/>
  <c r="T11" i="51"/>
  <c r="P11" i="51"/>
  <c r="P52" i="51" s="1"/>
  <c r="L11" i="51"/>
  <c r="L52" i="51" s="1"/>
  <c r="CX11" i="51"/>
  <c r="CX52" i="51" s="1"/>
  <c r="CT11" i="51"/>
  <c r="CP11" i="51"/>
  <c r="CP52" i="51" s="1"/>
  <c r="F43" i="51" s="1"/>
  <c r="CL11" i="51"/>
  <c r="CL52" i="51" s="1"/>
  <c r="F41" i="51" s="1"/>
  <c r="CH11" i="51"/>
  <c r="CD11" i="51"/>
  <c r="BZ11" i="51"/>
  <c r="BZ52" i="51" s="1"/>
  <c r="BV11" i="51"/>
  <c r="BV52" i="51" s="1"/>
  <c r="BR11" i="51"/>
  <c r="BR52" i="51" s="1"/>
  <c r="BN11" i="51"/>
  <c r="BN52" i="51" s="1"/>
  <c r="BJ11" i="51"/>
  <c r="BJ52" i="51" s="1"/>
  <c r="BF11" i="51"/>
  <c r="BF52" i="51" s="1"/>
  <c r="BB11" i="51"/>
  <c r="BB52" i="51" s="1"/>
  <c r="AX11" i="51"/>
  <c r="AT11" i="51"/>
  <c r="AP11" i="51"/>
  <c r="AP52" i="51" s="1"/>
  <c r="AL11" i="51"/>
  <c r="AL52" i="51" s="1"/>
  <c r="AH11" i="51"/>
  <c r="AH52" i="51" s="1"/>
  <c r="AD11" i="51"/>
  <c r="AD52" i="51" s="1"/>
  <c r="Z11" i="51"/>
  <c r="Z52" i="51" s="1"/>
  <c r="V11" i="51"/>
  <c r="V52" i="51" s="1"/>
  <c r="R11" i="51"/>
  <c r="R52" i="51" s="1"/>
  <c r="N11" i="51"/>
  <c r="N52" i="51" s="1"/>
  <c r="J11" i="51"/>
  <c r="J52" i="51" s="1"/>
  <c r="CZ11" i="50"/>
  <c r="CV11" i="50"/>
  <c r="CV52" i="50" s="1"/>
  <c r="F50" i="50" s="1"/>
  <c r="CR11" i="50"/>
  <c r="CR52" i="50" s="1"/>
  <c r="F44" i="50" s="1"/>
  <c r="CN11" i="50"/>
  <c r="CN52" i="50" s="1"/>
  <c r="F42" i="50" s="1"/>
  <c r="CJ11" i="50"/>
  <c r="CJ52" i="50" s="1"/>
  <c r="CF11" i="50"/>
  <c r="CB11" i="50"/>
  <c r="CB52" i="50" s="1"/>
  <c r="BX11" i="50"/>
  <c r="BX52" i="50" s="1"/>
  <c r="BT11" i="50"/>
  <c r="BT52" i="50" s="1"/>
  <c r="BP11" i="50"/>
  <c r="BP52" i="50" s="1"/>
  <c r="BL11" i="50"/>
  <c r="BL52" i="50" s="1"/>
  <c r="BH11" i="50"/>
  <c r="BH52" i="50" s="1"/>
  <c r="BD11" i="50"/>
  <c r="BD52" i="50" s="1"/>
  <c r="AZ11" i="50"/>
  <c r="AV11" i="50"/>
  <c r="AV52" i="50" s="1"/>
  <c r="AR11" i="50"/>
  <c r="AR52" i="50" s="1"/>
  <c r="AN11" i="50"/>
  <c r="AJ11" i="50"/>
  <c r="AJ52" i="50" s="1"/>
  <c r="AF11" i="50"/>
  <c r="AF52" i="50" s="1"/>
  <c r="AB11" i="50"/>
  <c r="AB52" i="50" s="1"/>
  <c r="X11" i="50"/>
  <c r="X52" i="50" s="1"/>
  <c r="T11" i="50"/>
  <c r="P11" i="50"/>
  <c r="P52" i="50" s="1"/>
  <c r="L11" i="50"/>
  <c r="L52" i="50" s="1"/>
  <c r="CX11" i="50"/>
  <c r="CX52" i="50" s="1"/>
  <c r="CT11" i="50"/>
  <c r="CP11" i="50"/>
  <c r="CP52" i="50" s="1"/>
  <c r="F43" i="50" s="1"/>
  <c r="CL11" i="50"/>
  <c r="CL52" i="50" s="1"/>
  <c r="F41" i="50" s="1"/>
  <c r="CH11" i="50"/>
  <c r="CD11" i="50"/>
  <c r="BZ11" i="50"/>
  <c r="BZ52" i="50" s="1"/>
  <c r="BV11" i="50"/>
  <c r="BV52" i="50" s="1"/>
  <c r="BR11" i="50"/>
  <c r="BR52" i="50" s="1"/>
  <c r="BN11" i="50"/>
  <c r="BN52" i="50" s="1"/>
  <c r="BJ11" i="50"/>
  <c r="BJ52" i="50" s="1"/>
  <c r="BF11" i="50"/>
  <c r="BF52" i="50" s="1"/>
  <c r="BB11" i="50"/>
  <c r="BB52" i="50" s="1"/>
  <c r="AX11" i="50"/>
  <c r="AT11" i="50"/>
  <c r="AP11" i="50"/>
  <c r="AP52" i="50" s="1"/>
  <c r="AL11" i="50"/>
  <c r="AL52" i="50" s="1"/>
  <c r="AH11" i="50"/>
  <c r="AH52" i="50" s="1"/>
  <c r="AD11" i="50"/>
  <c r="AD52" i="50" s="1"/>
  <c r="Z11" i="50"/>
  <c r="Z52" i="50" s="1"/>
  <c r="V11" i="50"/>
  <c r="V52" i="50" s="1"/>
  <c r="R11" i="50"/>
  <c r="R52" i="50" s="1"/>
  <c r="N11" i="50"/>
  <c r="N52" i="50" s="1"/>
  <c r="J11" i="50"/>
  <c r="J52" i="50" s="1"/>
  <c r="DA11" i="50"/>
  <c r="CW11" i="50"/>
  <c r="CS11" i="50"/>
  <c r="CO11" i="50"/>
  <c r="CK11" i="50"/>
  <c r="CK52" i="50" s="1"/>
  <c r="CG11" i="50"/>
  <c r="CG52" i="50" s="1"/>
  <c r="F48" i="50" s="1"/>
  <c r="CC11" i="50"/>
  <c r="CC52" i="50" s="1"/>
  <c r="BY11" i="50"/>
  <c r="BY52" i="50" s="1"/>
  <c r="BU11" i="50"/>
  <c r="BU52" i="50" s="1"/>
  <c r="BQ11" i="50"/>
  <c r="BQ52" i="50" s="1"/>
  <c r="BM11" i="50"/>
  <c r="BM52" i="50" s="1"/>
  <c r="BI11" i="50"/>
  <c r="BI52" i="50" s="1"/>
  <c r="BE11" i="50"/>
  <c r="BE52" i="50" s="1"/>
  <c r="BA11" i="50"/>
  <c r="AW11" i="50"/>
  <c r="AS11" i="50"/>
  <c r="AO11" i="50"/>
  <c r="AO52" i="50" s="1"/>
  <c r="AK11" i="50"/>
  <c r="AK52" i="50" s="1"/>
  <c r="AG11" i="50"/>
  <c r="AG52" i="50" s="1"/>
  <c r="AC11" i="50"/>
  <c r="AC52" i="50" s="1"/>
  <c r="Y11" i="50"/>
  <c r="Y52" i="50" s="1"/>
  <c r="U11" i="50"/>
  <c r="U52" i="50" s="1"/>
  <c r="Q11" i="50"/>
  <c r="Q52" i="50" s="1"/>
  <c r="M11" i="50"/>
  <c r="M52" i="50" s="1"/>
  <c r="CY11" i="50"/>
  <c r="CY52" i="50" s="1"/>
  <c r="CU11" i="50"/>
  <c r="CU52" i="50" s="1"/>
  <c r="F49" i="50" s="1"/>
  <c r="CQ11" i="50"/>
  <c r="CM11" i="50"/>
  <c r="CI11" i="50"/>
  <c r="CI52" i="50" s="1"/>
  <c r="F46" i="50" s="1"/>
  <c r="CE11" i="50"/>
  <c r="CE52" i="50" s="1"/>
  <c r="F47" i="50" s="1"/>
  <c r="CA11" i="50"/>
  <c r="CA52" i="50" s="1"/>
  <c r="BW11" i="50"/>
  <c r="BW52" i="50" s="1"/>
  <c r="BS11" i="50"/>
  <c r="BS52" i="50" s="1"/>
  <c r="BO11" i="50"/>
  <c r="BO52" i="50" s="1"/>
  <c r="BK11" i="50"/>
  <c r="BK52" i="50" s="1"/>
  <c r="BG11" i="50"/>
  <c r="BG52" i="50" s="1"/>
  <c r="BC11" i="50"/>
  <c r="BC52" i="50" s="1"/>
  <c r="AY11" i="50"/>
  <c r="AY52" i="50" s="1"/>
  <c r="F40" i="50" s="1"/>
  <c r="AU11" i="50"/>
  <c r="AU52" i="50" s="1"/>
  <c r="AQ11" i="50"/>
  <c r="AM11" i="50"/>
  <c r="AM52" i="50" s="1"/>
  <c r="AI11" i="50"/>
  <c r="AI52" i="50" s="1"/>
  <c r="AE11" i="50"/>
  <c r="AE52" i="50" s="1"/>
  <c r="AA11" i="50"/>
  <c r="AA52" i="50" s="1"/>
  <c r="W11" i="50"/>
  <c r="W52" i="50" s="1"/>
  <c r="S11" i="50"/>
  <c r="O11" i="50"/>
  <c r="O52" i="50" s="1"/>
  <c r="K11" i="50"/>
  <c r="K52" i="50" s="1"/>
  <c r="L19" i="63"/>
  <c r="M19" i="63"/>
  <c r="O19" i="63"/>
  <c r="A38" i="48" a="1"/>
  <c r="A38" i="48" s="1"/>
  <c r="I38" i="48" s="1"/>
  <c r="A34" i="48" a="1"/>
  <c r="A34" i="48" s="1"/>
  <c r="I34" i="48" s="1"/>
  <c r="A30" i="48" a="1"/>
  <c r="A30" i="48" s="1"/>
  <c r="I30" i="48" s="1"/>
  <c r="A26" i="48" a="1"/>
  <c r="A26" i="48" s="1"/>
  <c r="I26" i="48" s="1"/>
  <c r="A22" i="48" a="1"/>
  <c r="A22" i="48" s="1"/>
  <c r="I22" i="48" s="1"/>
  <c r="A18" i="48" a="1"/>
  <c r="A18" i="48" s="1"/>
  <c r="I18" i="48" s="1"/>
  <c r="A14" i="48" a="1"/>
  <c r="A14" i="48" s="1"/>
  <c r="I14" i="48" s="1"/>
  <c r="A37" i="48" a="1"/>
  <c r="A37" i="48" s="1"/>
  <c r="I37" i="48" s="1"/>
  <c r="A33" i="48" a="1"/>
  <c r="A33" i="48" s="1"/>
  <c r="I33" i="48" s="1"/>
  <c r="A29" i="48" a="1"/>
  <c r="A29" i="48" s="1"/>
  <c r="I29" i="48" s="1"/>
  <c r="A25" i="48" a="1"/>
  <c r="A25" i="48" s="1"/>
  <c r="I25" i="48" s="1"/>
  <c r="A21" i="48" a="1"/>
  <c r="A21" i="48" s="1"/>
  <c r="I21" i="48" s="1"/>
  <c r="A17" i="48" a="1"/>
  <c r="A17" i="48" s="1"/>
  <c r="I17" i="48" s="1"/>
  <c r="A13" i="48" a="1"/>
  <c r="A13" i="48" s="1"/>
  <c r="I13" i="48" s="1"/>
  <c r="A36" i="48" a="1"/>
  <c r="A36" i="48" s="1"/>
  <c r="I36" i="48" s="1"/>
  <c r="A32" i="48" a="1"/>
  <c r="A32" i="48" s="1"/>
  <c r="I32" i="48" s="1"/>
  <c r="A28" i="48" a="1"/>
  <c r="A28" i="48" s="1"/>
  <c r="I28" i="48" s="1"/>
  <c r="A24" i="48" a="1"/>
  <c r="A24" i="48" s="1"/>
  <c r="I24" i="48" s="1"/>
  <c r="A20" i="48" a="1"/>
  <c r="A20" i="48" s="1"/>
  <c r="I20" i="48" s="1"/>
  <c r="A16" i="48" a="1"/>
  <c r="A16" i="48" s="1"/>
  <c r="I16" i="48" s="1"/>
  <c r="A12" i="48" a="1"/>
  <c r="A12" i="48" s="1"/>
  <c r="I12" i="48" s="1"/>
  <c r="A35" i="48" a="1"/>
  <c r="A35" i="48" s="1"/>
  <c r="I35" i="48" s="1"/>
  <c r="A31" i="48" a="1"/>
  <c r="A31" i="48" s="1"/>
  <c r="I31" i="48" s="1"/>
  <c r="A27" i="48" a="1"/>
  <c r="A27" i="48" s="1"/>
  <c r="I27" i="48" s="1"/>
  <c r="A23" i="48" a="1"/>
  <c r="A23" i="48" s="1"/>
  <c r="I23" i="48" s="1"/>
  <c r="A19" i="48" a="1"/>
  <c r="A19" i="48" s="1"/>
  <c r="I19" i="48" s="1"/>
  <c r="A15" i="48" a="1"/>
  <c r="A15" i="48" s="1"/>
  <c r="I15" i="48" s="1"/>
  <c r="CZ11" i="48"/>
  <c r="AT11" i="48"/>
  <c r="P11" i="48"/>
  <c r="AF11" i="48"/>
  <c r="AV11" i="48"/>
  <c r="BL11" i="48"/>
  <c r="CD11" i="48"/>
  <c r="CT11" i="48"/>
  <c r="V11" i="48"/>
  <c r="AL11" i="48"/>
  <c r="BF11" i="48"/>
  <c r="BX11" i="48"/>
  <c r="CN11" i="48"/>
  <c r="AJ11" i="48"/>
  <c r="BP11" i="48"/>
  <c r="CH11" i="48"/>
  <c r="CX11" i="48"/>
  <c r="Z11" i="48"/>
  <c r="BJ11" i="48"/>
  <c r="CB11" i="48"/>
  <c r="AN11" i="48"/>
  <c r="BD11" i="48"/>
  <c r="CL11" i="48"/>
  <c r="N11" i="48"/>
  <c r="AX11" i="48"/>
  <c r="CF11" i="48"/>
  <c r="BV11" i="48"/>
  <c r="L11" i="48"/>
  <c r="AB11" i="48"/>
  <c r="AR11" i="48"/>
  <c r="BH11" i="48"/>
  <c r="BZ11" i="48"/>
  <c r="CP11" i="48"/>
  <c r="R11" i="48"/>
  <c r="AH11" i="48"/>
  <c r="BB11" i="48"/>
  <c r="BR11" i="48"/>
  <c r="CJ11" i="48"/>
  <c r="T11" i="48"/>
  <c r="AZ11" i="48"/>
  <c r="J11" i="48"/>
  <c r="AP11" i="48"/>
  <c r="CR11" i="48"/>
  <c r="X11" i="48"/>
  <c r="BT11" i="48"/>
  <c r="AD11" i="48"/>
  <c r="BN11" i="48"/>
  <c r="CV11" i="48"/>
  <c r="A11" i="48" a="1"/>
  <c r="A11" i="48" s="1"/>
  <c r="I11" i="48" s="1"/>
  <c r="A41" i="48" a="1"/>
  <c r="A41" i="48" s="1"/>
  <c r="I41" i="48" s="1"/>
  <c r="A44" i="48" a="1"/>
  <c r="A44" i="48" s="1"/>
  <c r="I44" i="48" s="1"/>
  <c r="A47" i="48" a="1"/>
  <c r="A47" i="48" s="1"/>
  <c r="I47" i="48" s="1"/>
  <c r="A39" i="48" a="1"/>
  <c r="A39" i="48" s="1"/>
  <c r="I39" i="48" s="1"/>
  <c r="A42" i="48" a="1"/>
  <c r="A42" i="48" s="1"/>
  <c r="I42" i="48" s="1"/>
  <c r="A45" i="48" a="1"/>
  <c r="A45" i="48" s="1"/>
  <c r="I45" i="48" s="1"/>
  <c r="A48" i="48" a="1"/>
  <c r="A48" i="48" s="1"/>
  <c r="I48" i="48" s="1"/>
  <c r="A40" i="48" a="1"/>
  <c r="A40" i="48" s="1"/>
  <c r="I40" i="48" s="1"/>
  <c r="A43" i="48" a="1"/>
  <c r="A43" i="48" s="1"/>
  <c r="I43" i="48" s="1"/>
  <c r="A46" i="48" a="1"/>
  <c r="A46" i="48" s="1"/>
  <c r="I46" i="48" s="1"/>
  <c r="DA11" i="48"/>
  <c r="BW11" i="48"/>
  <c r="U11" i="48"/>
  <c r="AK11" i="48"/>
  <c r="BA11" i="48"/>
  <c r="BQ11" i="48"/>
  <c r="CI11" i="48"/>
  <c r="CY11" i="48"/>
  <c r="O11" i="48"/>
  <c r="AE11" i="48"/>
  <c r="AY11" i="48"/>
  <c r="BO11" i="48"/>
  <c r="CG11" i="48"/>
  <c r="CW11" i="48"/>
  <c r="AO11" i="48"/>
  <c r="BU11" i="48"/>
  <c r="CM11" i="48"/>
  <c r="S11" i="48"/>
  <c r="CK11" i="48"/>
  <c r="M11" i="48"/>
  <c r="CA11" i="48"/>
  <c r="W11" i="48"/>
  <c r="BG11" i="48"/>
  <c r="CO11" i="48"/>
  <c r="AU11" i="48"/>
  <c r="Q11" i="48"/>
  <c r="AG11" i="48"/>
  <c r="AW11" i="48"/>
  <c r="BM11" i="48"/>
  <c r="CE11" i="48"/>
  <c r="CU11" i="48"/>
  <c r="K11" i="48"/>
  <c r="AA11" i="48"/>
  <c r="AQ11" i="48"/>
  <c r="BK11" i="48"/>
  <c r="CC11" i="48"/>
  <c r="CS11" i="48"/>
  <c r="Y11" i="48"/>
  <c r="BE11" i="48"/>
  <c r="AI11" i="48"/>
  <c r="BC11" i="48"/>
  <c r="BS11" i="48"/>
  <c r="AC11" i="48"/>
  <c r="AS11" i="48"/>
  <c r="BI11" i="48"/>
  <c r="CQ11" i="48"/>
  <c r="AM11" i="48"/>
  <c r="BY11" i="48"/>
  <c r="P87" i="60"/>
  <c r="A16" i="55"/>
  <c r="B51" i="55"/>
  <c r="A50" i="55"/>
  <c r="N72" i="60"/>
  <c r="N139" i="60"/>
  <c r="N219" i="60"/>
  <c r="N191" i="60"/>
  <c r="N112" i="60"/>
  <c r="N270" i="60"/>
  <c r="N163" i="60"/>
  <c r="I16" i="14"/>
  <c r="I17" i="14" s="1"/>
  <c r="G52" i="60"/>
  <c r="N19" i="63"/>
  <c r="A11" i="50" a="1"/>
  <c r="A11" i="50" s="1"/>
  <c r="I11" i="50" s="1"/>
  <c r="A50" i="48" a="1"/>
  <c r="A50" i="48" s="1"/>
  <c r="I50" i="48" s="1"/>
  <c r="A49" i="48" a="1"/>
  <c r="A49" i="48" s="1"/>
  <c r="I49" i="48" s="1"/>
  <c r="G106" i="42"/>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I101" i="42" s="1"/>
  <c r="I102" i="42" s="1"/>
  <c r="I103" i="42" s="1"/>
  <c r="E121" i="42"/>
  <c r="A11" i="51" a="1"/>
  <c r="A11" i="51" s="1"/>
  <c r="I11" i="51" s="1"/>
  <c r="H106" i="42"/>
  <c r="L32" i="57"/>
  <c r="O20" i="63" l="1"/>
  <c r="DA49" i="49"/>
  <c r="CT49" i="49"/>
  <c r="DA47" i="49"/>
  <c r="CD47" i="49"/>
  <c r="CD52" i="49" s="1"/>
  <c r="CF48" i="49"/>
  <c r="CF52" i="49" s="1"/>
  <c r="DA48" i="49"/>
  <c r="DA46" i="49"/>
  <c r="CH46" i="49"/>
  <c r="CZ50" i="49"/>
  <c r="CW50" i="49"/>
  <c r="CZ42" i="49"/>
  <c r="CO42" i="49"/>
  <c r="CO52" i="49" s="1"/>
  <c r="CM41" i="49"/>
  <c r="CM52" i="49" s="1"/>
  <c r="CZ41" i="49"/>
  <c r="CZ44" i="49"/>
  <c r="CS44" i="49"/>
  <c r="CS52" i="49" s="1"/>
  <c r="CQ43" i="49"/>
  <c r="CQ52" i="49" s="1"/>
  <c r="CZ43" i="49"/>
  <c r="DA46" i="51"/>
  <c r="CH46" i="51"/>
  <c r="CH52" i="51" s="1"/>
  <c r="CM41" i="51"/>
  <c r="CM52" i="51" s="1"/>
  <c r="CZ41" i="51"/>
  <c r="CZ42" i="51"/>
  <c r="CO42" i="51"/>
  <c r="CO52" i="51" s="1"/>
  <c r="CQ43" i="51"/>
  <c r="CQ52" i="51" s="1"/>
  <c r="CZ43" i="51"/>
  <c r="CZ44" i="51"/>
  <c r="CS44" i="51"/>
  <c r="CS52" i="51" s="1"/>
  <c r="S40" i="51"/>
  <c r="S52" i="51" s="1"/>
  <c r="AX40" i="51"/>
  <c r="AX52" i="51" s="1"/>
  <c r="CZ50" i="51"/>
  <c r="CW50" i="51"/>
  <c r="CW52" i="51" s="1"/>
  <c r="DA47" i="51"/>
  <c r="CD47" i="51"/>
  <c r="CD52" i="51" s="1"/>
  <c r="DA49" i="51"/>
  <c r="CT49" i="51"/>
  <c r="CT52" i="51" s="1"/>
  <c r="CF48" i="51"/>
  <c r="CF52" i="51" s="1"/>
  <c r="DA48" i="51"/>
  <c r="S40" i="50"/>
  <c r="S52" i="50" s="1"/>
  <c r="AX40" i="50"/>
  <c r="AX52" i="50" s="1"/>
  <c r="DA46" i="50"/>
  <c r="CH46" i="50"/>
  <c r="CH52" i="50" s="1"/>
  <c r="CM41" i="50"/>
  <c r="CM52" i="50" s="1"/>
  <c r="CZ41" i="50"/>
  <c r="CZ42" i="50"/>
  <c r="CO42" i="50"/>
  <c r="CO52" i="50" s="1"/>
  <c r="CQ43" i="50"/>
  <c r="CQ52" i="50" s="1"/>
  <c r="CZ43" i="50"/>
  <c r="CZ44" i="50"/>
  <c r="CS44" i="50"/>
  <c r="CS52" i="50" s="1"/>
  <c r="DA47" i="50"/>
  <c r="CD47" i="50"/>
  <c r="CD52" i="50" s="1"/>
  <c r="DA49" i="50"/>
  <c r="CT49" i="50"/>
  <c r="CT52" i="50" s="1"/>
  <c r="CF48" i="50"/>
  <c r="CF52" i="50" s="1"/>
  <c r="DA48" i="50"/>
  <c r="CZ50" i="50"/>
  <c r="CW50" i="50"/>
  <c r="CW52" i="50" s="1"/>
  <c r="S40" i="49"/>
  <c r="S52" i="49" s="1"/>
  <c r="AX40" i="49"/>
  <c r="AX52" i="49" s="1"/>
  <c r="L20" i="63"/>
  <c r="M20" i="63"/>
  <c r="BI52" i="48"/>
  <c r="BI54" i="48" s="1"/>
  <c r="BI54" i="49" s="1"/>
  <c r="BI54" i="50" s="1"/>
  <c r="BI54" i="51" s="1"/>
  <c r="BC52" i="48"/>
  <c r="AA52" i="48"/>
  <c r="AA54" i="48" s="1"/>
  <c r="AA54" i="49" s="1"/>
  <c r="AA54" i="50" s="1"/>
  <c r="AA54" i="51" s="1"/>
  <c r="BM52" i="48"/>
  <c r="BM54" i="48" s="1"/>
  <c r="BM54" i="49" s="1"/>
  <c r="BM54" i="50" s="1"/>
  <c r="BM54" i="51" s="1"/>
  <c r="AU52" i="48"/>
  <c r="AU54" i="48" s="1"/>
  <c r="AU54" i="49" s="1"/>
  <c r="AU54" i="50" s="1"/>
  <c r="AU54" i="51" s="1"/>
  <c r="CA52" i="48"/>
  <c r="CA54" i="48" s="1"/>
  <c r="CA54" i="49" s="1"/>
  <c r="CA54" i="50" s="1"/>
  <c r="CA54" i="51" s="1"/>
  <c r="CG52" i="48"/>
  <c r="CG54" i="48" s="1"/>
  <c r="CG54" i="49" s="1"/>
  <c r="CG54" i="50" s="1"/>
  <c r="CG54" i="51" s="1"/>
  <c r="BA52" i="48"/>
  <c r="BA54" i="48" s="1"/>
  <c r="CV52" i="48"/>
  <c r="F50" i="48" s="1"/>
  <c r="X52" i="48"/>
  <c r="X54" i="48" s="1"/>
  <c r="X54" i="49" s="1"/>
  <c r="X54" i="50" s="1"/>
  <c r="X54" i="51" s="1"/>
  <c r="AZ52" i="48"/>
  <c r="BB52" i="48"/>
  <c r="BZ52" i="48"/>
  <c r="BZ54" i="48" s="1"/>
  <c r="BZ54" i="49" s="1"/>
  <c r="BZ54" i="50" s="1"/>
  <c r="BZ54" i="51" s="1"/>
  <c r="CB52" i="48"/>
  <c r="CB54" i="48" s="1"/>
  <c r="CB54" i="49" s="1"/>
  <c r="CB54" i="50" s="1"/>
  <c r="CB54" i="51" s="1"/>
  <c r="BX52" i="48"/>
  <c r="BX54" i="48" s="1"/>
  <c r="BX54" i="49" s="1"/>
  <c r="BX54" i="50" s="1"/>
  <c r="BX54" i="51" s="1"/>
  <c r="AF52" i="48"/>
  <c r="AF54" i="48" s="1"/>
  <c r="AF54" i="49" s="1"/>
  <c r="AF54" i="50" s="1"/>
  <c r="AF54" i="51" s="1"/>
  <c r="BY52" i="48"/>
  <c r="AS52" i="48"/>
  <c r="AS54" i="48" s="1"/>
  <c r="AI52" i="48"/>
  <c r="CC52" i="48"/>
  <c r="CC54" i="48" s="1"/>
  <c r="CC54" i="49" s="1"/>
  <c r="CC54" i="50" s="1"/>
  <c r="CC54" i="51" s="1"/>
  <c r="BU52" i="48"/>
  <c r="BO52" i="48"/>
  <c r="BO54" i="48" s="1"/>
  <c r="BO54" i="49" s="1"/>
  <c r="BO54" i="50" s="1"/>
  <c r="BO54" i="51" s="1"/>
  <c r="CY52" i="48"/>
  <c r="CY54" i="48" s="1"/>
  <c r="CY54" i="49" s="1"/>
  <c r="CY54" i="50" s="1"/>
  <c r="CY54" i="51" s="1"/>
  <c r="AK52" i="48"/>
  <c r="AK54" i="48" s="1"/>
  <c r="AK54" i="49" s="1"/>
  <c r="AK54" i="50" s="1"/>
  <c r="AK54" i="51" s="1"/>
  <c r="BN52" i="48"/>
  <c r="T52" i="48"/>
  <c r="T54" i="48" s="1"/>
  <c r="AH52" i="48"/>
  <c r="AH54" i="48" s="1"/>
  <c r="AH54" i="49" s="1"/>
  <c r="AH54" i="50" s="1"/>
  <c r="AH54" i="51" s="1"/>
  <c r="BH52" i="48"/>
  <c r="BV52" i="48"/>
  <c r="BV54" i="48" s="1"/>
  <c r="BV54" i="49" s="1"/>
  <c r="BV54" i="50" s="1"/>
  <c r="BV54" i="51" s="1"/>
  <c r="CL52" i="48"/>
  <c r="F41" i="48" s="1"/>
  <c r="BJ52" i="48"/>
  <c r="BP52" i="48"/>
  <c r="BF52" i="48"/>
  <c r="BF54" i="48" s="1"/>
  <c r="BF54" i="49" s="1"/>
  <c r="BF54" i="50" s="1"/>
  <c r="BF54" i="51" s="1"/>
  <c r="P52" i="48"/>
  <c r="P54" i="48" s="1"/>
  <c r="P54" i="49" s="1"/>
  <c r="P54" i="50" s="1"/>
  <c r="P54" i="51" s="1"/>
  <c r="AM52" i="48"/>
  <c r="AM54" i="48" s="1"/>
  <c r="AM54" i="49" s="1"/>
  <c r="AM54" i="50" s="1"/>
  <c r="AM54" i="51" s="1"/>
  <c r="AC52" i="48"/>
  <c r="AC54" i="48" s="1"/>
  <c r="AC54" i="49" s="1"/>
  <c r="AC54" i="50" s="1"/>
  <c r="AC54" i="51" s="1"/>
  <c r="BE52" i="48"/>
  <c r="BE54" i="48" s="1"/>
  <c r="BE54" i="49" s="1"/>
  <c r="BE54" i="50" s="1"/>
  <c r="BE54" i="51" s="1"/>
  <c r="BK52" i="48"/>
  <c r="BK54" i="48" s="1"/>
  <c r="BK54" i="49" s="1"/>
  <c r="BK54" i="50" s="1"/>
  <c r="BK54" i="51" s="1"/>
  <c r="CU52" i="48"/>
  <c r="F49" i="48" s="1"/>
  <c r="AG52" i="48"/>
  <c r="BG52" i="48"/>
  <c r="CK52" i="48"/>
  <c r="CK54" i="48" s="1"/>
  <c r="CK54" i="49" s="1"/>
  <c r="CK54" i="50" s="1"/>
  <c r="CK54" i="51" s="1"/>
  <c r="AO52" i="48"/>
  <c r="AO54" i="48" s="1"/>
  <c r="AO54" i="49" s="1"/>
  <c r="AO54" i="50" s="1"/>
  <c r="AO54" i="51" s="1"/>
  <c r="AY52" i="48"/>
  <c r="AY54" i="48" s="1"/>
  <c r="AY54" i="49" s="1"/>
  <c r="AY54" i="50" s="1"/>
  <c r="AY54" i="51" s="1"/>
  <c r="CI52" i="48"/>
  <c r="F46" i="48" s="1"/>
  <c r="AD52" i="48"/>
  <c r="AD54" i="48" s="1"/>
  <c r="AD54" i="49" s="1"/>
  <c r="AD54" i="50" s="1"/>
  <c r="AD54" i="51" s="1"/>
  <c r="AP52" i="48"/>
  <c r="AP54" i="48" s="1"/>
  <c r="AP54" i="49" s="1"/>
  <c r="AP54" i="50" s="1"/>
  <c r="AP54" i="51" s="1"/>
  <c r="CJ52" i="48"/>
  <c r="CJ54" i="48" s="1"/>
  <c r="CJ54" i="49" s="1"/>
  <c r="CJ54" i="50" s="1"/>
  <c r="CJ54" i="51" s="1"/>
  <c r="AR52" i="48"/>
  <c r="BD52" i="48"/>
  <c r="BD54" i="48" s="1"/>
  <c r="BD54" i="49" s="1"/>
  <c r="BD54" i="50" s="1"/>
  <c r="BD54" i="51" s="1"/>
  <c r="Z52" i="48"/>
  <c r="Z54" i="48" s="1"/>
  <c r="Z54" i="49" s="1"/>
  <c r="Z54" i="50" s="1"/>
  <c r="Z54" i="51" s="1"/>
  <c r="AJ52" i="48"/>
  <c r="AJ54" i="48" s="1"/>
  <c r="AJ54" i="49" s="1"/>
  <c r="AJ54" i="50" s="1"/>
  <c r="AJ54" i="51" s="1"/>
  <c r="AL52" i="48"/>
  <c r="AL54" i="48" s="1"/>
  <c r="AL54" i="49" s="1"/>
  <c r="AL54" i="50" s="1"/>
  <c r="AL54" i="51" s="1"/>
  <c r="BL52" i="48"/>
  <c r="AT52" i="48"/>
  <c r="Y52" i="48"/>
  <c r="AQ52" i="48"/>
  <c r="AQ54" i="48" s="1"/>
  <c r="CE52" i="48"/>
  <c r="F47" i="48" s="1"/>
  <c r="W52" i="48"/>
  <c r="W54" i="48" s="1"/>
  <c r="W54" i="49" s="1"/>
  <c r="W54" i="50" s="1"/>
  <c r="W54" i="51" s="1"/>
  <c r="AE52" i="48"/>
  <c r="BQ52" i="48"/>
  <c r="BQ54" i="48" s="1"/>
  <c r="BQ54" i="49" s="1"/>
  <c r="BQ54" i="50" s="1"/>
  <c r="BQ54" i="51" s="1"/>
  <c r="BW52" i="48"/>
  <c r="BT52" i="48"/>
  <c r="BT54" i="48" s="1"/>
  <c r="BT54" i="49" s="1"/>
  <c r="BT54" i="50" s="1"/>
  <c r="BT54" i="51" s="1"/>
  <c r="BR52" i="48"/>
  <c r="BR54" i="48" s="1"/>
  <c r="BR54" i="49" s="1"/>
  <c r="BR54" i="50" s="1"/>
  <c r="BR54" i="51" s="1"/>
  <c r="AB52" i="48"/>
  <c r="AB54" i="48" s="1"/>
  <c r="AB54" i="49" s="1"/>
  <c r="AB54" i="50" s="1"/>
  <c r="AB54" i="51" s="1"/>
  <c r="AN52" i="48"/>
  <c r="CX52" i="48"/>
  <c r="V52" i="48"/>
  <c r="V54" i="48" s="1"/>
  <c r="V54" i="49" s="1"/>
  <c r="V54" i="50" s="1"/>
  <c r="V54" i="51" s="1"/>
  <c r="J17" i="14"/>
  <c r="J18" i="14" s="1"/>
  <c r="B52" i="55"/>
  <c r="A51" i="55"/>
  <c r="A17" i="55"/>
  <c r="P47" i="60"/>
  <c r="N52" i="60"/>
  <c r="N20" i="63"/>
  <c r="L21" i="63" s="1"/>
  <c r="AT52" i="51"/>
  <c r="T52" i="49"/>
  <c r="AQ52" i="49"/>
  <c r="AN52" i="50"/>
  <c r="AS52" i="50"/>
  <c r="AW52" i="50"/>
  <c r="AW52" i="51"/>
  <c r="AS52" i="51"/>
  <c r="AN52" i="51"/>
  <c r="AQ52" i="50"/>
  <c r="T52" i="50"/>
  <c r="AS52" i="49"/>
  <c r="AT52" i="50"/>
  <c r="T52" i="51"/>
  <c r="AQ52" i="51"/>
  <c r="I107" i="42"/>
  <c r="BG53" i="48" l="1"/>
  <c r="BG10" i="49" s="1"/>
  <c r="O21" i="63"/>
  <c r="DA52" i="51"/>
  <c r="CZ52" i="51"/>
  <c r="DA52" i="50"/>
  <c r="CZ52" i="50"/>
  <c r="M21" i="63"/>
  <c r="CZ52" i="49"/>
  <c r="CH52" i="49"/>
  <c r="CW52" i="49"/>
  <c r="CT52" i="49"/>
  <c r="CV54" i="48"/>
  <c r="CV54" i="49" s="1"/>
  <c r="CV54" i="50" s="1"/>
  <c r="CV54" i="51" s="1"/>
  <c r="BI53" i="48"/>
  <c r="CC53" i="48"/>
  <c r="AU53" i="48"/>
  <c r="BH53" i="48"/>
  <c r="AN53" i="48"/>
  <c r="I18" i="14"/>
  <c r="I19" i="14" s="1"/>
  <c r="BY53" i="48"/>
  <c r="AR53" i="48"/>
  <c r="CB53" i="48"/>
  <c r="BG54" i="48"/>
  <c r="BG54" i="49" s="1"/>
  <c r="BG54" i="50" s="1"/>
  <c r="BG54" i="51" s="1"/>
  <c r="BF53" i="48"/>
  <c r="Y53" i="48"/>
  <c r="BC53" i="48"/>
  <c r="BV53" i="48"/>
  <c r="BB54" i="48"/>
  <c r="BB54" i="49" s="1"/>
  <c r="BB54" i="50" s="1"/>
  <c r="BB54" i="51" s="1"/>
  <c r="BM53" i="48"/>
  <c r="CE54" i="48"/>
  <c r="CE54" i="49" s="1"/>
  <c r="CE54" i="50" s="1"/>
  <c r="CE54" i="51" s="1"/>
  <c r="AT53" i="48"/>
  <c r="CI54" i="48"/>
  <c r="CI54" i="49" s="1"/>
  <c r="CI54" i="50" s="1"/>
  <c r="CI54" i="51" s="1"/>
  <c r="AT54" i="48"/>
  <c r="BA53" i="48"/>
  <c r="BN53" i="48"/>
  <c r="CK53" i="48"/>
  <c r="BD53" i="48"/>
  <c r="AZ54" i="48"/>
  <c r="BE53" i="48"/>
  <c r="AZ53" i="48"/>
  <c r="BL53" i="48"/>
  <c r="AQ53" i="48"/>
  <c r="BO53" i="48"/>
  <c r="BX53" i="48"/>
  <c r="BB53" i="48"/>
  <c r="CL54" i="48"/>
  <c r="CL54" i="49" s="1"/>
  <c r="CL54" i="50" s="1"/>
  <c r="CL54" i="51" s="1"/>
  <c r="BY54" i="48"/>
  <c r="BY54" i="49" s="1"/>
  <c r="BY54" i="50" s="1"/>
  <c r="BY54" i="51" s="1"/>
  <c r="BZ53" i="48"/>
  <c r="CA53" i="48"/>
  <c r="CY53" i="48"/>
  <c r="CJ53" i="48"/>
  <c r="BC54" i="48"/>
  <c r="BC54" i="49" s="1"/>
  <c r="BC54" i="50" s="1"/>
  <c r="BC54" i="51" s="1"/>
  <c r="BW53" i="48"/>
  <c r="BW54" i="48"/>
  <c r="BW54" i="49" s="1"/>
  <c r="BW54" i="50" s="1"/>
  <c r="BW54" i="51" s="1"/>
  <c r="AB53" i="48"/>
  <c r="BK53" i="48"/>
  <c r="AJ53" i="48"/>
  <c r="AF53" i="48"/>
  <c r="F48" i="48"/>
  <c r="CF48" i="48" s="1"/>
  <c r="CF52" i="48" s="1"/>
  <c r="X53" i="48"/>
  <c r="Y54" i="48"/>
  <c r="Y54" i="49" s="1"/>
  <c r="Y54" i="50" s="1"/>
  <c r="Y54" i="51" s="1"/>
  <c r="W53" i="48"/>
  <c r="AO53" i="48"/>
  <c r="AM53" i="48"/>
  <c r="BJ53" i="48"/>
  <c r="AK53" i="48"/>
  <c r="AS53" i="48"/>
  <c r="AN54" i="48"/>
  <c r="AE53" i="48"/>
  <c r="AL53" i="48"/>
  <c r="AH53" i="48"/>
  <c r="AA53" i="48"/>
  <c r="AD53" i="48"/>
  <c r="AG53" i="48"/>
  <c r="V53" i="48"/>
  <c r="AR54" i="48"/>
  <c r="AR54" i="49" s="1"/>
  <c r="AR54" i="50" s="1"/>
  <c r="AR54" i="51" s="1"/>
  <c r="CU54" i="48"/>
  <c r="CU54" i="49" s="1"/>
  <c r="CU54" i="50" s="1"/>
  <c r="CU54" i="51" s="1"/>
  <c r="BJ54" i="48"/>
  <c r="BJ54" i="49" s="1"/>
  <c r="BJ54" i="50" s="1"/>
  <c r="BJ54" i="51" s="1"/>
  <c r="Z53" i="48"/>
  <c r="BP53" i="48"/>
  <c r="BU53" i="48"/>
  <c r="AI53" i="48"/>
  <c r="CX54" i="48"/>
  <c r="CX54" i="49" s="1"/>
  <c r="CX54" i="50" s="1"/>
  <c r="CX54" i="51" s="1"/>
  <c r="AE54" i="48"/>
  <c r="AE54" i="49" s="1"/>
  <c r="AE54" i="50" s="1"/>
  <c r="AE54" i="51" s="1"/>
  <c r="BL54" i="48"/>
  <c r="BL54" i="49" s="1"/>
  <c r="BL54" i="50" s="1"/>
  <c r="BL54" i="51" s="1"/>
  <c r="AP53" i="48"/>
  <c r="F40" i="48"/>
  <c r="AX40" i="48" s="1"/>
  <c r="AX52" i="48" s="1"/>
  <c r="AG54" i="48"/>
  <c r="AG54" i="49" s="1"/>
  <c r="AG54" i="50" s="1"/>
  <c r="AG54" i="51" s="1"/>
  <c r="AC53" i="48"/>
  <c r="BP54" i="48"/>
  <c r="BP54" i="49" s="1"/>
  <c r="BP54" i="50" s="1"/>
  <c r="BP54" i="51" s="1"/>
  <c r="CX53" i="48"/>
  <c r="BH54" i="48"/>
  <c r="BH54" i="49" s="1"/>
  <c r="BH54" i="50" s="1"/>
  <c r="BH54" i="51" s="1"/>
  <c r="BN54" i="48"/>
  <c r="BN54" i="49" s="1"/>
  <c r="BN54" i="50" s="1"/>
  <c r="BN54" i="51" s="1"/>
  <c r="BU54" i="48"/>
  <c r="BU54" i="49" s="1"/>
  <c r="BU54" i="50" s="1"/>
  <c r="BU54" i="51" s="1"/>
  <c r="AI54" i="48"/>
  <c r="AI54" i="49" s="1"/>
  <c r="AI54" i="50" s="1"/>
  <c r="AI54" i="51" s="1"/>
  <c r="BT53" i="48"/>
  <c r="BQ53" i="48"/>
  <c r="DA47" i="48"/>
  <c r="CD47" i="48"/>
  <c r="CD52" i="48" s="1"/>
  <c r="DA46" i="48"/>
  <c r="CH46" i="48"/>
  <c r="CH52" i="48" s="1"/>
  <c r="CM41" i="48"/>
  <c r="CM52" i="48" s="1"/>
  <c r="CZ41" i="48"/>
  <c r="CZ50" i="48"/>
  <c r="CW50" i="48"/>
  <c r="CW52" i="48" s="1"/>
  <c r="DA49" i="48"/>
  <c r="CT49" i="48"/>
  <c r="CT52" i="48" s="1"/>
  <c r="N21" i="63"/>
  <c r="N22" i="63" s="1"/>
  <c r="A18" i="55"/>
  <c r="B53" i="55"/>
  <c r="A53" i="55" s="1"/>
  <c r="A52" i="55"/>
  <c r="AZ52" i="50"/>
  <c r="AN52" i="49"/>
  <c r="AZ52" i="51"/>
  <c r="BA52" i="51"/>
  <c r="AW52" i="49"/>
  <c r="AZ52" i="49"/>
  <c r="BA52" i="50"/>
  <c r="AT52" i="49"/>
  <c r="O22" i="63" l="1"/>
  <c r="M22" i="63"/>
  <c r="BQ10" i="49"/>
  <c r="AC10" i="49"/>
  <c r="BU10" i="49"/>
  <c r="AD10" i="49"/>
  <c r="AE10" i="49"/>
  <c r="BJ10" i="49"/>
  <c r="AJ10" i="49"/>
  <c r="BW10" i="49"/>
  <c r="CA10" i="49"/>
  <c r="BB10" i="49"/>
  <c r="BL10" i="49"/>
  <c r="BD10" i="49"/>
  <c r="AT10" i="49"/>
  <c r="BV10" i="49"/>
  <c r="CC10" i="49"/>
  <c r="BT10" i="49"/>
  <c r="BP10" i="49"/>
  <c r="BP53" i="49" s="1"/>
  <c r="AA10" i="49"/>
  <c r="AM10" i="49"/>
  <c r="X10" i="49"/>
  <c r="BK10" i="49"/>
  <c r="BZ10" i="49"/>
  <c r="BX10" i="49"/>
  <c r="AZ10" i="49"/>
  <c r="BA10" i="49"/>
  <c r="BC10" i="49"/>
  <c r="CB10" i="49"/>
  <c r="CB53" i="49" s="1"/>
  <c r="AN10" i="49"/>
  <c r="BI10" i="49"/>
  <c r="CX10" i="49"/>
  <c r="Z10" i="49"/>
  <c r="V10" i="49"/>
  <c r="AH10" i="49"/>
  <c r="AS10" i="49"/>
  <c r="AO10" i="49"/>
  <c r="AB10" i="49"/>
  <c r="CJ10" i="49"/>
  <c r="BO10" i="49"/>
  <c r="BE10" i="49"/>
  <c r="CK10" i="49"/>
  <c r="BM10" i="49"/>
  <c r="Y10" i="49"/>
  <c r="AR10" i="49"/>
  <c r="BH10" i="49"/>
  <c r="AP10" i="49"/>
  <c r="AI10" i="49"/>
  <c r="AG10" i="49"/>
  <c r="AL10" i="49"/>
  <c r="AK10" i="49"/>
  <c r="AK53" i="49" s="1"/>
  <c r="W10" i="49"/>
  <c r="AF10" i="49"/>
  <c r="AF53" i="49" s="1"/>
  <c r="CY10" i="49"/>
  <c r="AQ10" i="49"/>
  <c r="BN10" i="49"/>
  <c r="BN53" i="49" s="1"/>
  <c r="BF10" i="49"/>
  <c r="BF53" i="49" s="1"/>
  <c r="BY10" i="49"/>
  <c r="AU10" i="49"/>
  <c r="DA52" i="49"/>
  <c r="J19" i="14"/>
  <c r="J20" i="14" s="1"/>
  <c r="L22" i="63"/>
  <c r="L23" i="63" s="1"/>
  <c r="DA48" i="48"/>
  <c r="DA52" i="48" s="1"/>
  <c r="S40" i="48"/>
  <c r="S52" i="48" s="1"/>
  <c r="CF54" i="48"/>
  <c r="CF54" i="49" s="1"/>
  <c r="CF54" i="50" s="1"/>
  <c r="CF54" i="51" s="1"/>
  <c r="CF53" i="48"/>
  <c r="CG53" i="48"/>
  <c r="CD53" i="48"/>
  <c r="CD54" i="48"/>
  <c r="CD54" i="49" s="1"/>
  <c r="CD54" i="50" s="1"/>
  <c r="CD54" i="51" s="1"/>
  <c r="CE53" i="48"/>
  <c r="AX54" i="48"/>
  <c r="AX54" i="49" s="1"/>
  <c r="AX54" i="50" s="1"/>
  <c r="AX54" i="51" s="1"/>
  <c r="AX53" i="48"/>
  <c r="AY53" i="48"/>
  <c r="CM53" i="48"/>
  <c r="CM54" i="48"/>
  <c r="CM54" i="49" s="1"/>
  <c r="CM54" i="50" s="1"/>
  <c r="CM54" i="51" s="1"/>
  <c r="CL53" i="48"/>
  <c r="CT53" i="48"/>
  <c r="CT54" i="48"/>
  <c r="CT54" i="49" s="1"/>
  <c r="CT54" i="50" s="1"/>
  <c r="CT54" i="51" s="1"/>
  <c r="CU53" i="48"/>
  <c r="CW53" i="48"/>
  <c r="CW54" i="48"/>
  <c r="CW54" i="49" s="1"/>
  <c r="CW54" i="50" s="1"/>
  <c r="CW54" i="51" s="1"/>
  <c r="CV53" i="48"/>
  <c r="CH53" i="48"/>
  <c r="CH54" i="48"/>
  <c r="CH54" i="49" s="1"/>
  <c r="CH54" i="50" s="1"/>
  <c r="CH54" i="51" s="1"/>
  <c r="CI53" i="48"/>
  <c r="A19" i="55"/>
  <c r="AQ54" i="49"/>
  <c r="AQ54" i="50" s="1"/>
  <c r="AQ54" i="51" s="1"/>
  <c r="BA52" i="49"/>
  <c r="T54" i="49"/>
  <c r="T54" i="50" s="1"/>
  <c r="T54" i="51" s="1"/>
  <c r="AN54" i="49"/>
  <c r="AN54" i="50" s="1"/>
  <c r="AN54" i="51" s="1"/>
  <c r="AT54" i="49"/>
  <c r="AT54" i="50" s="1"/>
  <c r="AT54" i="51" s="1"/>
  <c r="AS54" i="49"/>
  <c r="AS54" i="50" s="1"/>
  <c r="AS54" i="51" s="1"/>
  <c r="BC53" i="49" l="1"/>
  <c r="BC10" i="50" s="1"/>
  <c r="CY53" i="49"/>
  <c r="CY10" i="50" s="1"/>
  <c r="AB53" i="49"/>
  <c r="AB10" i="50" s="1"/>
  <c r="M23" i="63"/>
  <c r="O23" i="6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P10" i="50"/>
  <c r="AK10" i="50"/>
  <c r="BF10" i="50"/>
  <c r="CB10" i="50"/>
  <c r="BN10" i="50"/>
  <c r="AF10" i="50"/>
  <c r="BV53" i="49"/>
  <c r="Z53" i="49"/>
  <c r="BK53" i="49"/>
  <c r="AC53" i="49"/>
  <c r="AE53" i="49"/>
  <c r="BU53" i="49"/>
  <c r="CW10" i="49"/>
  <c r="AX10" i="49"/>
  <c r="CH10" i="49"/>
  <c r="CG10" i="49"/>
  <c r="CV10" i="49"/>
  <c r="CV53" i="49" s="1"/>
  <c r="CM10" i="49"/>
  <c r="CE10" i="49"/>
  <c r="CF10" i="49"/>
  <c r="CL10" i="49"/>
  <c r="CD10" i="49"/>
  <c r="CU10" i="49"/>
  <c r="CI10" i="49"/>
  <c r="CT10" i="49"/>
  <c r="AY10" i="49"/>
  <c r="AY53" i="49" s="1"/>
  <c r="BO53" i="49"/>
  <c r="CX53" i="49"/>
  <c r="BD53" i="49"/>
  <c r="BB53" i="49"/>
  <c r="BW53" i="49"/>
  <c r="BJ53" i="49"/>
  <c r="CJ53" i="49"/>
  <c r="BI53" i="49"/>
  <c r="BX53" i="49"/>
  <c r="BL53" i="49"/>
  <c r="CA53" i="49"/>
  <c r="BQ53" i="49"/>
  <c r="I20" i="14"/>
  <c r="I21" i="14" s="1"/>
  <c r="N23" i="63"/>
  <c r="N24" i="63" s="1"/>
  <c r="S54" i="48"/>
  <c r="S54" i="49" s="1"/>
  <c r="S54" i="50" s="1"/>
  <c r="S54" i="51" s="1"/>
  <c r="DA54" i="48"/>
  <c r="DA54" i="49" s="1"/>
  <c r="DA54" i="50" s="1"/>
  <c r="DA54" i="51" s="1"/>
  <c r="BA54" i="49"/>
  <c r="BA54" i="50" s="1"/>
  <c r="BA54" i="51" s="1"/>
  <c r="AZ54" i="49"/>
  <c r="AZ54" i="50" s="1"/>
  <c r="AZ54" i="51" s="1"/>
  <c r="AR53" i="49"/>
  <c r="AO53" i="49"/>
  <c r="AQ53" i="49"/>
  <c r="AU53" i="49"/>
  <c r="AT53" i="49"/>
  <c r="AP53" i="49"/>
  <c r="AS53" i="49"/>
  <c r="AN53" i="49"/>
  <c r="J21" i="14" l="1"/>
  <c r="J22" i="14" s="1"/>
  <c r="CF53" i="49"/>
  <c r="CF10" i="50" s="1"/>
  <c r="O24" i="63"/>
  <c r="M24" i="63"/>
  <c r="AI53" i="50"/>
  <c r="AI10" i="51" s="1"/>
  <c r="AX53" i="49"/>
  <c r="AX10" i="50" s="1"/>
  <c r="AH53" i="50"/>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i="50"/>
  <c r="AP10" i="50"/>
  <c r="AO10" i="50"/>
  <c r="BL10" i="50"/>
  <c r="BM53" i="50" s="1"/>
  <c r="BM10" i="51" s="1"/>
  <c r="BJ10" i="50"/>
  <c r="CX10" i="50"/>
  <c r="CY53" i="50" s="1"/>
  <c r="CY10" i="51" s="1"/>
  <c r="AC10" i="50"/>
  <c r="AU10" i="50"/>
  <c r="AT10" i="50"/>
  <c r="AR10" i="50"/>
  <c r="BX10" i="50"/>
  <c r="BX53" i="50" s="1"/>
  <c r="BX10" i="51" s="1"/>
  <c r="BW10" i="50"/>
  <c r="BO10" i="50"/>
  <c r="BN53" i="50" s="1"/>
  <c r="BN10" i="51" s="1"/>
  <c r="BU10" i="50"/>
  <c r="BU53" i="50" s="1"/>
  <c r="BU10" i="51" s="1"/>
  <c r="BK10" i="50"/>
  <c r="BQ10" i="50"/>
  <c r="BP53" i="50" s="1"/>
  <c r="BP10" i="51" s="1"/>
  <c r="BI10" i="50"/>
  <c r="BI53" i="50" s="1"/>
  <c r="BI10" i="51" s="1"/>
  <c r="BB10" i="50"/>
  <c r="BB53" i="50" s="1"/>
  <c r="BB10" i="51" s="1"/>
  <c r="AY10" i="50"/>
  <c r="Z10" i="50"/>
  <c r="AS10" i="50"/>
  <c r="AQ10" i="50"/>
  <c r="CA10" i="50"/>
  <c r="CA53" i="50" s="1"/>
  <c r="CA10" i="51" s="1"/>
  <c r="CJ10" i="50"/>
  <c r="CK53" i="50" s="1"/>
  <c r="CK10" i="51" s="1"/>
  <c r="BD10" i="50"/>
  <c r="BE53" i="50" s="1"/>
  <c r="BE10" i="51" s="1"/>
  <c r="CT53" i="49"/>
  <c r="CV10" i="50"/>
  <c r="AE10" i="50"/>
  <c r="BV10" i="50"/>
  <c r="CM53" i="49"/>
  <c r="CD53" i="49"/>
  <c r="CE53" i="49"/>
  <c r="CL53" i="49"/>
  <c r="CG53" i="49"/>
  <c r="CU53" i="49"/>
  <c r="CH53" i="49"/>
  <c r="CW53" i="49"/>
  <c r="L24" i="63"/>
  <c r="L25" i="63" s="1"/>
  <c r="BA53" i="49"/>
  <c r="AZ53" i="49"/>
  <c r="I22" i="14" l="1"/>
  <c r="I23" i="14" s="1"/>
  <c r="Y53" i="51"/>
  <c r="BY53" i="50"/>
  <c r="BY10" i="51" s="1"/>
  <c r="BX53" i="51" s="1"/>
  <c r="BT53" i="50"/>
  <c r="BT10" i="51" s="1"/>
  <c r="BT53" i="51" s="1"/>
  <c r="AI53" i="51"/>
  <c r="BK53" i="50"/>
  <c r="BK10" i="51" s="1"/>
  <c r="M25" i="63"/>
  <c r="O25" i="63"/>
  <c r="BL53" i="50"/>
  <c r="BL10" i="51" s="1"/>
  <c r="BL53" i="51" s="1"/>
  <c r="AQ53" i="50"/>
  <c r="AQ10" i="51" s="1"/>
  <c r="AP53" i="50"/>
  <c r="AP10" i="51" s="1"/>
  <c r="BC53" i="50"/>
  <c r="BC10" i="51" s="1"/>
  <c r="BC53" i="51" s="1"/>
  <c r="BQ53" i="50"/>
  <c r="BQ10" i="51" s="1"/>
  <c r="BQ53" i="51" s="1"/>
  <c r="AY53" i="50"/>
  <c r="AY10" i="51" s="1"/>
  <c r="AH53" i="51"/>
  <c r="AX53" i="50"/>
  <c r="AX10" i="51" s="1"/>
  <c r="AJ53" i="51"/>
  <c r="W53" i="51"/>
  <c r="BH53" i="50"/>
  <c r="BH10" i="51" s="1"/>
  <c r="BI53" i="51" s="1"/>
  <c r="BO53" i="50"/>
  <c r="BO10" i="51" s="1"/>
  <c r="BO53" i="51" s="1"/>
  <c r="BZ53" i="50"/>
  <c r="BZ10" i="51" s="1"/>
  <c r="CA53" i="51" s="1"/>
  <c r="V53" i="51"/>
  <c r="BG53" i="51"/>
  <c r="X53" i="51"/>
  <c r="CC53" i="51"/>
  <c r="AG53" i="51"/>
  <c r="CX53" i="50"/>
  <c r="CX10" i="51" s="1"/>
  <c r="CX53" i="51" s="1"/>
  <c r="AS53" i="50"/>
  <c r="AS10" i="51" s="1"/>
  <c r="AF53" i="51"/>
  <c r="CB53" i="51"/>
  <c r="AR53" i="50"/>
  <c r="AR10" i="51" s="1"/>
  <c r="AK53" i="51"/>
  <c r="AU53" i="50"/>
  <c r="AU10" i="51" s="1"/>
  <c r="AO53" i="50"/>
  <c r="AO10" i="51" s="1"/>
  <c r="BF53" i="51"/>
  <c r="AT53" i="50"/>
  <c r="AT10" i="51" s="1"/>
  <c r="AN53" i="50"/>
  <c r="AN10" i="51" s="1"/>
  <c r="BV53" i="50"/>
  <c r="BV10" i="51" s="1"/>
  <c r="CJ53" i="50"/>
  <c r="CJ10" i="51" s="1"/>
  <c r="CJ53" i="51" s="1"/>
  <c r="BB53" i="51"/>
  <c r="AL53" i="51"/>
  <c r="AM53" i="51"/>
  <c r="CH10" i="50"/>
  <c r="CI53" i="50" s="1"/>
  <c r="CI10" i="51" s="1"/>
  <c r="BD53" i="50"/>
  <c r="BD10" i="51" s="1"/>
  <c r="BD53" i="51" s="1"/>
  <c r="AD53" i="50"/>
  <c r="AD10" i="51" s="1"/>
  <c r="AE53" i="50"/>
  <c r="AE10" i="51" s="1"/>
  <c r="CU10" i="50"/>
  <c r="CE10" i="50"/>
  <c r="CM10" i="50"/>
  <c r="AB53" i="50"/>
  <c r="AB10" i="51" s="1"/>
  <c r="AC53" i="50"/>
  <c r="AC10" i="51" s="1"/>
  <c r="CG10" i="50"/>
  <c r="CF53" i="50" s="1"/>
  <c r="CF10" i="51" s="1"/>
  <c r="AZ10" i="50"/>
  <c r="BA10" i="50"/>
  <c r="CW10" i="50"/>
  <c r="CL10" i="50"/>
  <c r="CD10" i="50"/>
  <c r="CT10" i="50"/>
  <c r="Z53" i="50"/>
  <c r="Z10" i="51" s="1"/>
  <c r="AA53" i="50"/>
  <c r="AA10" i="51" s="1"/>
  <c r="BW53" i="50"/>
  <c r="BW10" i="51" s="1"/>
  <c r="BJ53" i="50"/>
  <c r="BJ10" i="51" s="1"/>
  <c r="CH53" i="50"/>
  <c r="CH10" i="51" s="1"/>
  <c r="CH53" i="51" s="1"/>
  <c r="N25" i="63"/>
  <c r="N26" i="63" s="1"/>
  <c r="J23" i="14" l="1"/>
  <c r="J24" i="14" s="1"/>
  <c r="BY53" i="51"/>
  <c r="BZ53" i="51"/>
  <c r="BM53" i="51"/>
  <c r="BP53" i="51"/>
  <c r="BU53" i="51"/>
  <c r="AY53" i="51"/>
  <c r="AX53" i="51"/>
  <c r="O26" i="63"/>
  <c r="BK53" i="51"/>
  <c r="BN53" i="51"/>
  <c r="M26" i="63"/>
  <c r="AQ53" i="51"/>
  <c r="AU53" i="51"/>
  <c r="AP53" i="51"/>
  <c r="AR53" i="51"/>
  <c r="CY53" i="51"/>
  <c r="BH53" i="51"/>
  <c r="AT53" i="51"/>
  <c r="AO53" i="51"/>
  <c r="AS53" i="51"/>
  <c r="AN53" i="51"/>
  <c r="BV53" i="51"/>
  <c r="CT53" i="50"/>
  <c r="CT10" i="51" s="1"/>
  <c r="CL53" i="50"/>
  <c r="CL10" i="51" s="1"/>
  <c r="BA53" i="50"/>
  <c r="BA10" i="51" s="1"/>
  <c r="CK53" i="51"/>
  <c r="AB53" i="51"/>
  <c r="CG53" i="50"/>
  <c r="CG10" i="51" s="1"/>
  <c r="CG53" i="51" s="1"/>
  <c r="AZ53" i="50"/>
  <c r="AZ10" i="51" s="1"/>
  <c r="AE53" i="51"/>
  <c r="Z53" i="51"/>
  <c r="CD53" i="50"/>
  <c r="CD10" i="51" s="1"/>
  <c r="AA53" i="51"/>
  <c r="AD53" i="51"/>
  <c r="BJ53" i="51"/>
  <c r="BW53" i="51"/>
  <c r="AC53" i="51"/>
  <c r="BE53" i="51"/>
  <c r="CI53" i="51"/>
  <c r="CF53" i="51"/>
  <c r="CV53" i="50"/>
  <c r="CV10" i="51" s="1"/>
  <c r="CW53" i="50"/>
  <c r="CW10" i="51" s="1"/>
  <c r="CE53" i="50"/>
  <c r="CE10" i="51" s="1"/>
  <c r="CM53" i="50"/>
  <c r="CM10" i="51" s="1"/>
  <c r="CU53" i="50"/>
  <c r="CU10" i="51" s="1"/>
  <c r="L26" i="63"/>
  <c r="L27" i="63" s="1"/>
  <c r="F15" i="47"/>
  <c r="F51" i="47" s="1"/>
  <c r="I52" i="47" s="1"/>
  <c r="I24" i="14" l="1"/>
  <c r="M27" i="63"/>
  <c r="O27" i="63"/>
  <c r="BA53" i="51"/>
  <c r="AZ53" i="51"/>
  <c r="CT53" i="51"/>
  <c r="CL53" i="51"/>
  <c r="CD53" i="51"/>
  <c r="CV53" i="51"/>
  <c r="CU53" i="51"/>
  <c r="CE53" i="51"/>
  <c r="CM53" i="51"/>
  <c r="CW53" i="51"/>
  <c r="N27" i="63"/>
  <c r="N28" i="63" s="1"/>
  <c r="H52" i="47"/>
  <c r="H15" i="47"/>
  <c r="I15" i="47"/>
  <c r="O28" i="63" l="1"/>
  <c r="M28" i="63"/>
  <c r="L28" i="63"/>
  <c r="L29" i="63" s="1"/>
  <c r="I16" i="47"/>
  <c r="H16" i="47"/>
  <c r="O29" i="63" l="1"/>
  <c r="M29" i="63"/>
  <c r="N29" i="63"/>
  <c r="N30" i="63" s="1"/>
  <c r="H17" i="47"/>
  <c r="I17" i="47"/>
  <c r="O30" i="63" l="1"/>
  <c r="M30" i="63"/>
  <c r="L30" i="63"/>
  <c r="L31" i="63" s="1"/>
  <c r="I18" i="47"/>
  <c r="H18" i="47"/>
  <c r="M31" i="63" l="1"/>
  <c r="O31" i="63"/>
  <c r="N31" i="63"/>
  <c r="N32" i="63" s="1"/>
  <c r="H19" i="47"/>
  <c r="I19" i="47"/>
  <c r="O32" i="63" l="1"/>
  <c r="L32" i="63"/>
  <c r="M32" i="63"/>
  <c r="I20" i="47"/>
  <c r="H20" i="47"/>
  <c r="M451" i="34"/>
  <c r="H21" i="47" l="1"/>
  <c r="F38" i="43"/>
  <c r="F86" i="43" s="1"/>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U52" i="48"/>
  <c r="I21" i="47"/>
  <c r="I22" i="47" s="1"/>
  <c r="F71" i="15" a="1"/>
  <c r="F71" i="15" s="1"/>
  <c r="M955" i="34"/>
  <c r="F66" i="15" s="1" a="1"/>
  <c r="F66" i="15" s="1"/>
  <c r="F57" i="15" a="1"/>
  <c r="F57" i="15" s="1"/>
  <c r="E57" i="15" a="1"/>
  <c r="E57" i="15" s="1"/>
  <c r="E66" i="15" l="1" a="1"/>
  <c r="E66" i="15" s="1"/>
  <c r="I66" i="15" s="1"/>
  <c r="D13" i="39"/>
  <c r="J27" i="45" a="1"/>
  <c r="J27" i="45" s="1"/>
  <c r="J32" i="45" a="1"/>
  <c r="J32" i="45" s="1"/>
  <c r="L30" i="45" a="1"/>
  <c r="L30" i="45" s="1"/>
  <c r="J31" i="45" a="1"/>
  <c r="J31" i="45" s="1"/>
  <c r="L27" i="45" a="1"/>
  <c r="L27" i="45" s="1"/>
  <c r="P27" i="45" s="1"/>
  <c r="J30" i="45" a="1"/>
  <c r="J30" i="45" s="1"/>
  <c r="L31" i="45" a="1"/>
  <c r="L31" i="45" s="1"/>
  <c r="J29" i="45" a="1"/>
  <c r="J29" i="45" s="1"/>
  <c r="L29" i="45" a="1"/>
  <c r="L29" i="45" s="1"/>
  <c r="J28" i="45" a="1"/>
  <c r="J28" i="45" s="1"/>
  <c r="L28" i="45" a="1"/>
  <c r="L28" i="45" s="1"/>
  <c r="L32" i="45" a="1"/>
  <c r="L32" i="45" s="1"/>
  <c r="J15" i="62" a="1"/>
  <c r="J15" i="62" s="1"/>
  <c r="J14" i="62" a="1"/>
  <c r="J14" i="62" s="1"/>
  <c r="J13" i="62" a="1"/>
  <c r="J13" i="62" s="1"/>
  <c r="J12" i="62" a="1"/>
  <c r="J12" i="62" s="1"/>
  <c r="H15" i="62" a="1"/>
  <c r="H15" i="62" s="1"/>
  <c r="L15" i="62" s="1"/>
  <c r="H14" i="62" a="1"/>
  <c r="H14" i="62" s="1"/>
  <c r="L14" i="62" s="1"/>
  <c r="H13" i="62" a="1"/>
  <c r="H13" i="62" s="1"/>
  <c r="H12" i="62" a="1"/>
  <c r="H12" i="62" s="1"/>
  <c r="L12" i="62" s="1"/>
  <c r="E38" i="12" a="1"/>
  <c r="E38" i="12" s="1"/>
  <c r="E22" i="12" a="1"/>
  <c r="E22" i="12" s="1"/>
  <c r="F22" i="12" a="1"/>
  <c r="F22" i="12" s="1"/>
  <c r="U54" i="48"/>
  <c r="U54" i="49" s="1"/>
  <c r="U54" i="50" s="1"/>
  <c r="U54" i="51" s="1"/>
  <c r="U53" i="48"/>
  <c r="T53" i="48"/>
  <c r="AV52" i="48"/>
  <c r="AV54" i="48" s="1"/>
  <c r="AV54" i="49" s="1"/>
  <c r="AV54" i="50" s="1"/>
  <c r="AV54" i="51" s="1"/>
  <c r="AW52" i="48"/>
  <c r="BS52" i="48"/>
  <c r="H38" i="43"/>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E27" i="12" a="1"/>
  <c r="E27" i="12" s="1"/>
  <c r="J10" i="45" a="1"/>
  <c r="J10" i="45" s="1"/>
  <c r="F23" i="12" a="1"/>
  <c r="F23" i="12" s="1"/>
  <c r="F38" i="12" a="1"/>
  <c r="F38" i="12" s="1"/>
  <c r="E39" i="12" a="1"/>
  <c r="E39" i="12" s="1"/>
  <c r="H29" i="55" a="1"/>
  <c r="H29" i="55" s="1"/>
  <c r="E11" i="12" a="1"/>
  <c r="E11" i="12" s="1"/>
  <c r="H24" i="55" a="1"/>
  <c r="H24" i="55" s="1"/>
  <c r="F6" i="12" a="1"/>
  <c r="F6" i="12" s="1"/>
  <c r="L15" i="45" a="1"/>
  <c r="L15" i="45" s="1"/>
  <c r="F37" i="12" a="1"/>
  <c r="F37" i="12" s="1"/>
  <c r="E35" i="12" a="1"/>
  <c r="E35" i="12" s="1"/>
  <c r="F29" i="12" a="1"/>
  <c r="F29" i="12" s="1"/>
  <c r="E14" i="12" a="1"/>
  <c r="E14" i="12" s="1"/>
  <c r="E40" i="15" a="1"/>
  <c r="E40" i="15" s="1"/>
  <c r="F30" i="12" a="1"/>
  <c r="F30" i="12" s="1"/>
  <c r="E31" i="12" a="1"/>
  <c r="E31" i="12" s="1"/>
  <c r="E32" i="12" a="1"/>
  <c r="E32" i="12" s="1"/>
  <c r="F25" i="12" a="1"/>
  <c r="F25" i="12" s="1"/>
  <c r="F36" i="12" a="1"/>
  <c r="F36" i="12" s="1"/>
  <c r="E12" i="12" a="1"/>
  <c r="E12" i="12" s="1"/>
  <c r="E70" i="15" a="1"/>
  <c r="E70" i="15" s="1"/>
  <c r="E41" i="15" a="1"/>
  <c r="E41" i="15" s="1"/>
  <c r="H9" i="62" a="1"/>
  <c r="H9" i="62" s="1"/>
  <c r="H39" i="55" a="1"/>
  <c r="H39" i="55" s="1"/>
  <c r="F7" i="12" a="1"/>
  <c r="F7" i="12" s="1"/>
  <c r="E49" i="15" a="1"/>
  <c r="E49" i="15" s="1"/>
  <c r="L8" i="45" a="1"/>
  <c r="L8" i="45" s="1"/>
  <c r="J24" i="45" a="1"/>
  <c r="J24" i="45" s="1"/>
  <c r="L16" i="45" a="1"/>
  <c r="L16" i="45" s="1"/>
  <c r="J11" i="62" a="1"/>
  <c r="J11" i="62" s="1"/>
  <c r="E51" i="15" a="1"/>
  <c r="E51" i="15" s="1"/>
  <c r="E13" i="15" a="1"/>
  <c r="E13" i="15" s="1"/>
  <c r="H50" i="55" a="1"/>
  <c r="H50" i="55" s="1"/>
  <c r="H11" i="62" a="1"/>
  <c r="H11" i="62" s="1"/>
  <c r="E15" i="15" a="1"/>
  <c r="E15" i="15" s="1"/>
  <c r="H19" i="62" s="1"/>
  <c r="H10" i="62" a="1"/>
  <c r="H10" i="62" s="1"/>
  <c r="E64" i="15" a="1"/>
  <c r="E64" i="15" s="1"/>
  <c r="H14" i="55" a="1"/>
  <c r="H14" i="55" s="1"/>
  <c r="H34" i="55" a="1"/>
  <c r="H34" i="55" s="1"/>
  <c r="H53" i="55" a="1"/>
  <c r="H53" i="55" s="1"/>
  <c r="J8" i="62" a="1"/>
  <c r="J8" i="62" s="1"/>
  <c r="E46" i="15" a="1"/>
  <c r="E46" i="15" s="1"/>
  <c r="H49" i="55" a="1"/>
  <c r="H49" i="55" s="1"/>
  <c r="L10" i="45" a="1"/>
  <c r="L10" i="45" s="1"/>
  <c r="L26" i="45" a="1"/>
  <c r="L26" i="45" s="1"/>
  <c r="E28" i="15" a="1"/>
  <c r="E28" i="15" s="1"/>
  <c r="F9" i="12" a="1"/>
  <c r="F9" i="12" s="1"/>
  <c r="F34" i="15" a="1"/>
  <c r="F34" i="15" s="1"/>
  <c r="E15" i="12" a="1"/>
  <c r="E15" i="12" s="1"/>
  <c r="J26" i="45" a="1"/>
  <c r="J26" i="45" s="1"/>
  <c r="J19" i="45" a="1"/>
  <c r="J19" i="45" s="1"/>
  <c r="E71" i="15" a="1"/>
  <c r="E71" i="15" s="1"/>
  <c r="I71" i="15" s="1"/>
  <c r="E28" i="12" a="1"/>
  <c r="E28" i="12" s="1"/>
  <c r="E34" i="12" a="1"/>
  <c r="E34" i="12" s="1"/>
  <c r="J6" i="45" a="1"/>
  <c r="J6" i="45" s="1"/>
  <c r="F48" i="15" a="1"/>
  <c r="F48" i="15" s="1"/>
  <c r="F47" i="12" a="1"/>
  <c r="F47" i="12" s="1"/>
  <c r="F41" i="12" a="1"/>
  <c r="F41" i="12" s="1"/>
  <c r="E41" i="12" a="1"/>
  <c r="E41" i="12" s="1"/>
  <c r="E17" i="12" a="1"/>
  <c r="E17" i="12" s="1"/>
  <c r="J18" i="45" a="1"/>
  <c r="J18" i="45" s="1"/>
  <c r="J25" i="45" a="1"/>
  <c r="J25" i="45" s="1"/>
  <c r="E36" i="15" a="1"/>
  <c r="E36" i="15" s="1"/>
  <c r="E37" i="15" s="1"/>
  <c r="J23" i="45" a="1"/>
  <c r="J23" i="45" s="1"/>
  <c r="E5" i="12" a="1"/>
  <c r="E5" i="12" s="1"/>
  <c r="F59" i="15" a="1"/>
  <c r="F59" i="15" s="1"/>
  <c r="J46" i="55" a="1"/>
  <c r="J46" i="55" s="1"/>
  <c r="E65" i="15" a="1"/>
  <c r="E65" i="15" s="1"/>
  <c r="F46" i="15" a="1"/>
  <c r="F46" i="15" s="1"/>
  <c r="L19" i="45" a="1"/>
  <c r="L19" i="45" s="1"/>
  <c r="E13" i="12" a="1"/>
  <c r="E13" i="12" s="1"/>
  <c r="E7" i="12" a="1"/>
  <c r="E7" i="12" s="1"/>
  <c r="J7" i="45" a="1"/>
  <c r="J7" i="45" s="1"/>
  <c r="L11" i="45" a="1"/>
  <c r="L11" i="45" s="1"/>
  <c r="E59" i="15" a="1"/>
  <c r="E59" i="15" s="1"/>
  <c r="J14" i="45" a="1"/>
  <c r="J14" i="45" s="1"/>
  <c r="J9" i="62" a="1"/>
  <c r="J9" i="62" s="1"/>
  <c r="E33" i="15" a="1"/>
  <c r="E33" i="15" s="1"/>
  <c r="F10" i="15" a="1"/>
  <c r="F10" i="15" s="1"/>
  <c r="F13" i="15" a="1"/>
  <c r="F13" i="15" s="1"/>
  <c r="E69" i="15" a="1"/>
  <c r="E69" i="15" s="1"/>
  <c r="E34" i="15" a="1"/>
  <c r="E34" i="15" s="1"/>
  <c r="E18" i="12" a="1"/>
  <c r="E18" i="12" s="1"/>
  <c r="L13" i="45" a="1"/>
  <c r="L13" i="45" s="1"/>
  <c r="F17" i="12" a="1"/>
  <c r="F17" i="12" s="1"/>
  <c r="E12" i="15" a="1"/>
  <c r="E12" i="15" s="1"/>
  <c r="F33" i="15" a="1"/>
  <c r="F33" i="15" s="1"/>
  <c r="L20" i="45" a="1"/>
  <c r="L20" i="45" s="1"/>
  <c r="E22" i="15" a="1"/>
  <c r="E22" i="15" s="1"/>
  <c r="H37" i="55" s="1"/>
  <c r="E10" i="15" a="1"/>
  <c r="E10" i="15" s="1"/>
  <c r="E11" i="15" s="1"/>
  <c r="H48" i="55" a="1"/>
  <c r="H48" i="55" s="1"/>
  <c r="H19" i="55" a="1"/>
  <c r="H19" i="55" s="1"/>
  <c r="F18" i="12" a="1"/>
  <c r="F18" i="12" s="1"/>
  <c r="E67" i="15" a="1"/>
  <c r="E67" i="15" s="1"/>
  <c r="J30" i="55" a="1"/>
  <c r="J30" i="55" s="1"/>
  <c r="H86" i="43"/>
  <c r="H87" i="43" s="1"/>
  <c r="F42" i="12" a="1"/>
  <c r="F42" i="12" s="1"/>
  <c r="F43" i="12" a="1"/>
  <c r="F43" i="12" s="1"/>
  <c r="F29" i="15" a="1"/>
  <c r="F29" i="15" s="1"/>
  <c r="F24" i="12" a="1"/>
  <c r="F24" i="12" s="1"/>
  <c r="F27" i="12" a="1"/>
  <c r="F27" i="12" s="1"/>
  <c r="E6" i="12" a="1"/>
  <c r="E6" i="12" s="1"/>
  <c r="J21" i="45" a="1"/>
  <c r="J21" i="45" s="1"/>
  <c r="F28" i="15" a="1"/>
  <c r="F28" i="15" s="1"/>
  <c r="H12" i="55" a="1"/>
  <c r="H12" i="55" s="1"/>
  <c r="L25" i="45" a="1"/>
  <c r="L25" i="45" s="1"/>
  <c r="H8" i="62" a="1"/>
  <c r="H8" i="62" s="1"/>
  <c r="E26" i="15" a="1"/>
  <c r="E26" i="15" s="1"/>
  <c r="H56" i="55" s="1"/>
  <c r="F24" i="15" a="1"/>
  <c r="F24" i="15" s="1"/>
  <c r="J9" i="45" a="1"/>
  <c r="J9" i="45" s="1"/>
  <c r="F52" i="15" a="1"/>
  <c r="F52" i="15" s="1"/>
  <c r="J38" i="55" a="1"/>
  <c r="J38" i="55" s="1"/>
  <c r="E19" i="12" a="1"/>
  <c r="E19" i="12" s="1"/>
  <c r="H5" i="62" a="1"/>
  <c r="H5" i="62" s="1"/>
  <c r="F15" i="12" a="1"/>
  <c r="F15" i="12" s="1"/>
  <c r="E4" i="12" a="1"/>
  <c r="E4" i="12" s="1"/>
  <c r="F56" i="15" a="1"/>
  <c r="F56" i="15" s="1"/>
  <c r="F58" i="15" s="1"/>
  <c r="L17" i="45" a="1"/>
  <c r="L17" i="45" s="1"/>
  <c r="E31" i="15" a="1"/>
  <c r="E31" i="15" s="1"/>
  <c r="E32" i="15" s="1"/>
  <c r="J13" i="45" a="1"/>
  <c r="J13" i="45" s="1"/>
  <c r="F16" i="12" a="1"/>
  <c r="F16" i="12" s="1"/>
  <c r="F12" i="12" a="1"/>
  <c r="F12" i="12" s="1"/>
  <c r="J10" i="62" a="1"/>
  <c r="J10" i="62" s="1"/>
  <c r="L24" i="45" a="1"/>
  <c r="L24" i="45" s="1"/>
  <c r="N24" i="45" s="1"/>
  <c r="E20" i="15" a="1"/>
  <c r="E20" i="15" s="1"/>
  <c r="H18" i="55" a="1"/>
  <c r="H18" i="55" s="1"/>
  <c r="J5" i="45" a="1"/>
  <c r="J5" i="45" s="1"/>
  <c r="J15" i="45" a="1"/>
  <c r="J15" i="45" s="1"/>
  <c r="J20" i="45" a="1"/>
  <c r="J20" i="45" s="1"/>
  <c r="E10" i="12" a="1"/>
  <c r="E10" i="12" s="1"/>
  <c r="F51" i="15" a="1"/>
  <c r="F51" i="15" s="1"/>
  <c r="H51" i="15" s="1"/>
  <c r="F21" i="12" a="1"/>
  <c r="F21" i="12" s="1"/>
  <c r="J16" i="45" a="1"/>
  <c r="J16" i="45" s="1"/>
  <c r="F20" i="15" a="1"/>
  <c r="F20" i="15" s="1"/>
  <c r="E48" i="15" a="1"/>
  <c r="E48" i="15" s="1"/>
  <c r="E27" i="15" a="1"/>
  <c r="E27" i="15" s="1"/>
  <c r="F41" i="15" a="1"/>
  <c r="F41" i="15" s="1"/>
  <c r="F42" i="15" s="1"/>
  <c r="E24" i="12" a="1"/>
  <c r="E24" i="12" s="1"/>
  <c r="E47" i="12" a="1"/>
  <c r="E47" i="12" s="1"/>
  <c r="F46" i="12" a="1"/>
  <c r="F46" i="12" s="1"/>
  <c r="F5" i="12" a="1"/>
  <c r="F5" i="12" s="1"/>
  <c r="H22" i="55" a="1"/>
  <c r="H22" i="55" s="1"/>
  <c r="F44" i="12" a="1"/>
  <c r="F44" i="12" s="1"/>
  <c r="F39" i="12" a="1"/>
  <c r="F39" i="12" s="1"/>
  <c r="G39" i="12" s="1"/>
  <c r="E44" i="12" a="1"/>
  <c r="E44" i="12" s="1"/>
  <c r="H33" i="55" a="1"/>
  <c r="H33" i="55" s="1"/>
  <c r="H51" i="55" a="1"/>
  <c r="H51" i="55" s="1"/>
  <c r="H31" i="55" a="1"/>
  <c r="H31" i="55" s="1"/>
  <c r="E16" i="12" a="1"/>
  <c r="E16" i="12" s="1"/>
  <c r="F27" i="15" a="1"/>
  <c r="F27" i="15" s="1"/>
  <c r="J11" i="45" a="1"/>
  <c r="J11" i="45" s="1"/>
  <c r="L18" i="45" a="1"/>
  <c r="L18" i="45" s="1"/>
  <c r="H52" i="55" a="1"/>
  <c r="H52" i="55" s="1"/>
  <c r="F31" i="15" a="1"/>
  <c r="F31" i="15" s="1"/>
  <c r="H38" i="55" a="1"/>
  <c r="H38" i="55" s="1"/>
  <c r="F10" i="12" a="1"/>
  <c r="F10" i="12" s="1"/>
  <c r="L14" i="45" a="1"/>
  <c r="L14" i="45" s="1"/>
  <c r="H40" i="55" a="1"/>
  <c r="H40" i="55" s="1"/>
  <c r="H16" i="55" a="1"/>
  <c r="H16" i="55" s="1"/>
  <c r="F54" i="15" a="1"/>
  <c r="F54" i="15" s="1"/>
  <c r="F55" i="15" s="1"/>
  <c r="E21" i="15" a="1"/>
  <c r="E21" i="15" s="1"/>
  <c r="H45" i="55" s="1"/>
  <c r="F20" i="12" a="1"/>
  <c r="F20" i="12" s="1"/>
  <c r="F4" i="12" a="1"/>
  <c r="F4" i="12" s="1"/>
  <c r="F22" i="15" a="1"/>
  <c r="F22" i="15" s="1"/>
  <c r="E39" i="15" a="1"/>
  <c r="E39" i="15" s="1"/>
  <c r="F16" i="15" a="1"/>
  <c r="F16" i="15" s="1"/>
  <c r="H13" i="55" a="1"/>
  <c r="H13" i="55" s="1"/>
  <c r="H6" i="62" a="1"/>
  <c r="H6" i="62" s="1"/>
  <c r="F11" i="12" a="1"/>
  <c r="F11" i="12" s="1"/>
  <c r="H46" i="55" a="1"/>
  <c r="H46" i="55" s="1"/>
  <c r="E25" i="15" a="1"/>
  <c r="E25" i="15" s="1"/>
  <c r="F47" i="15" a="1"/>
  <c r="F47" i="15" s="1"/>
  <c r="H47" i="55" a="1"/>
  <c r="H47" i="55" s="1"/>
  <c r="J5" i="62" a="1"/>
  <c r="J5" i="62" s="1"/>
  <c r="H27" i="55" a="1"/>
  <c r="H27" i="55" s="1"/>
  <c r="J22" i="45" a="1"/>
  <c r="J22" i="45" s="1"/>
  <c r="H15" i="55" a="1"/>
  <c r="H15" i="55" s="1"/>
  <c r="H25" i="55" a="1"/>
  <c r="H25" i="55" s="1"/>
  <c r="E16" i="15" a="1"/>
  <c r="E16" i="15" s="1"/>
  <c r="E17" i="15" s="1"/>
  <c r="E60" i="15" a="1"/>
  <c r="E60" i="15" s="1"/>
  <c r="F13" i="12" a="1"/>
  <c r="F13" i="12" s="1"/>
  <c r="L21" i="45" a="1"/>
  <c r="L21" i="45" s="1"/>
  <c r="F14" i="12" a="1"/>
  <c r="F14" i="12" s="1"/>
  <c r="F25" i="15" a="1"/>
  <c r="F25" i="15" s="1"/>
  <c r="H32" i="55" a="1"/>
  <c r="H32" i="55" s="1"/>
  <c r="F18" i="15" a="1"/>
  <c r="F18" i="15" s="1"/>
  <c r="F19" i="15" s="1"/>
  <c r="F40" i="15" a="1"/>
  <c r="F40" i="15" s="1"/>
  <c r="F44" i="15" a="1"/>
  <c r="F44" i="15" s="1"/>
  <c r="F45" i="15" s="1"/>
  <c r="F19" i="12" a="1"/>
  <c r="F19" i="12" s="1"/>
  <c r="G19" i="12" s="1"/>
  <c r="H22" i="47"/>
  <c r="H23" i="47" s="1"/>
  <c r="J32" i="55" a="1"/>
  <c r="J32" i="55" s="1"/>
  <c r="L22" i="45" a="1"/>
  <c r="L22" i="45" s="1"/>
  <c r="E68" i="15" a="1"/>
  <c r="E68" i="15" s="1"/>
  <c r="J23" i="55" a="1"/>
  <c r="J23" i="55" s="1"/>
  <c r="E29" i="15" a="1"/>
  <c r="E29" i="15" s="1"/>
  <c r="L6" i="45" a="1"/>
  <c r="L6" i="45" s="1"/>
  <c r="F60" i="15" a="1"/>
  <c r="F60" i="15" s="1"/>
  <c r="F38" i="15" a="1"/>
  <c r="F38" i="15" s="1"/>
  <c r="F51" i="12" s="1"/>
  <c r="F21" i="15" a="1"/>
  <c r="F21" i="15" s="1"/>
  <c r="J45" i="55" s="1"/>
  <c r="F15" i="15" a="1"/>
  <c r="F15" i="15" s="1"/>
  <c r="J48" i="55" a="1"/>
  <c r="J48" i="55" s="1"/>
  <c r="H26" i="55" a="1"/>
  <c r="H26" i="55" s="1"/>
  <c r="L12" i="45" a="1"/>
  <c r="L12" i="45" s="1"/>
  <c r="J12" i="55" a="1"/>
  <c r="J12" i="55" s="1"/>
  <c r="E8" i="12" a="1"/>
  <c r="E8" i="12" s="1"/>
  <c r="F68" i="15" a="1"/>
  <c r="F68" i="15" s="1"/>
  <c r="F39" i="15" a="1"/>
  <c r="F39" i="15" s="1"/>
  <c r="E44" i="15" a="1"/>
  <c r="E44" i="15" s="1"/>
  <c r="E45" i="15" s="1"/>
  <c r="L5" i="45" a="1"/>
  <c r="L5" i="45" s="1"/>
  <c r="H30" i="55" a="1"/>
  <c r="H30" i="55" s="1"/>
  <c r="E54" i="15" a="1"/>
  <c r="E54" i="15" s="1"/>
  <c r="H41" i="55" a="1"/>
  <c r="H41" i="55" s="1"/>
  <c r="E47" i="15" a="1"/>
  <c r="E47" i="15" s="1"/>
  <c r="F36" i="15" a="1"/>
  <c r="F36" i="15" s="1"/>
  <c r="J52" i="55" a="1"/>
  <c r="J52" i="55" s="1"/>
  <c r="F65" i="15" a="1"/>
  <c r="F65" i="15" s="1"/>
  <c r="F26" i="15" a="1"/>
  <c r="F26" i="15" s="1"/>
  <c r="F63" i="15" a="1"/>
  <c r="F63" i="15" s="1"/>
  <c r="J50" i="55" a="1"/>
  <c r="J50" i="55" s="1"/>
  <c r="F12" i="15" a="1"/>
  <c r="F12" i="15" s="1"/>
  <c r="J7" i="62" a="1"/>
  <c r="J7" i="62" s="1"/>
  <c r="J51" i="55" a="1"/>
  <c r="J51" i="55" s="1"/>
  <c r="J15" i="55" a="1"/>
  <c r="J15" i="55" s="1"/>
  <c r="J34" i="55" a="1"/>
  <c r="J34" i="55" s="1"/>
  <c r="J42" i="55" a="1"/>
  <c r="J42" i="55" s="1"/>
  <c r="F69" i="15" a="1"/>
  <c r="F69" i="15" s="1"/>
  <c r="H57" i="15"/>
  <c r="J20" i="55" a="1"/>
  <c r="J20" i="55" s="1"/>
  <c r="F64" i="15" a="1"/>
  <c r="F64" i="15" s="1"/>
  <c r="J13" i="55" a="1"/>
  <c r="J13" i="55" s="1"/>
  <c r="J31" i="55" a="1"/>
  <c r="J31" i="55" s="1"/>
  <c r="F70" i="15" a="1"/>
  <c r="F70" i="15" s="1"/>
  <c r="I70" i="15" s="1"/>
  <c r="J29" i="55" a="1"/>
  <c r="J29" i="55" s="1"/>
  <c r="J33" i="55" a="1"/>
  <c r="J33" i="55" s="1"/>
  <c r="J41" i="55" a="1"/>
  <c r="J41" i="55" s="1"/>
  <c r="J18" i="55" a="1"/>
  <c r="J18" i="55" s="1"/>
  <c r="E36" i="12" a="1"/>
  <c r="E36" i="12" s="1"/>
  <c r="E30" i="12" a="1"/>
  <c r="E30" i="12" s="1"/>
  <c r="F40" i="12" a="1"/>
  <c r="F40" i="12" s="1"/>
  <c r="E37" i="12" a="1"/>
  <c r="E37" i="12" s="1"/>
  <c r="F31" i="12" a="1"/>
  <c r="F31" i="12" s="1"/>
  <c r="E52" i="15" a="1"/>
  <c r="E52" i="15" s="1"/>
  <c r="E40" i="12" a="1"/>
  <c r="E40" i="12" s="1"/>
  <c r="E26" i="12" a="1"/>
  <c r="E26" i="12" s="1"/>
  <c r="H23" i="55" a="1"/>
  <c r="H23" i="55" s="1"/>
  <c r="J49" i="55" a="1"/>
  <c r="J49" i="55" s="1"/>
  <c r="J14" i="55" a="1"/>
  <c r="J14" i="55" s="1"/>
  <c r="J40" i="55" a="1"/>
  <c r="J40" i="55" s="1"/>
  <c r="J27" i="55" a="1"/>
  <c r="J27" i="55" s="1"/>
  <c r="J6" i="62" a="1"/>
  <c r="J6" i="62" s="1"/>
  <c r="H20" i="55" a="1"/>
  <c r="H20" i="55" s="1"/>
  <c r="H28" i="55" a="1"/>
  <c r="H28" i="55" s="1"/>
  <c r="F28" i="12" a="1"/>
  <c r="F28" i="12" s="1"/>
  <c r="L7" i="45" a="1"/>
  <c r="L7" i="45" s="1"/>
  <c r="J17" i="45" a="1"/>
  <c r="J17" i="45" s="1"/>
  <c r="F35" i="12" a="1"/>
  <c r="F35" i="12" s="1"/>
  <c r="E63" i="15" a="1"/>
  <c r="E63" i="15" s="1"/>
  <c r="G57" i="15"/>
  <c r="H7" i="62" a="1"/>
  <c r="H7" i="62" s="1"/>
  <c r="E33" i="12" a="1"/>
  <c r="E33" i="12" s="1"/>
  <c r="E23" i="12" a="1"/>
  <c r="E23" i="12" s="1"/>
  <c r="E21" i="12" a="1"/>
  <c r="E21" i="12" s="1"/>
  <c r="E9" i="12" a="1"/>
  <c r="E9" i="12" s="1"/>
  <c r="F49" i="15" a="1"/>
  <c r="F49" i="15" s="1"/>
  <c r="F45" i="12" a="1"/>
  <c r="F45" i="12" s="1"/>
  <c r="E56" i="15" a="1"/>
  <c r="E56" i="15" s="1"/>
  <c r="J12" i="45" a="1"/>
  <c r="J12" i="45" s="1"/>
  <c r="F34" i="12" a="1"/>
  <c r="F34" i="12" s="1"/>
  <c r="E42" i="12" a="1"/>
  <c r="E42" i="12" s="1"/>
  <c r="J39" i="55" a="1"/>
  <c r="J39" i="55" s="1"/>
  <c r="J16" i="55" a="1"/>
  <c r="J16" i="55" s="1"/>
  <c r="J47" i="55" a="1"/>
  <c r="J47" i="55" s="1"/>
  <c r="J22" i="55" a="1"/>
  <c r="J22" i="55" s="1"/>
  <c r="J28" i="55" a="1"/>
  <c r="J28" i="55" s="1"/>
  <c r="E46" i="12" a="1"/>
  <c r="E46" i="12" s="1"/>
  <c r="F8" i="12" a="1"/>
  <c r="F8" i="12" s="1"/>
  <c r="E45" i="12" a="1"/>
  <c r="E45" i="12" s="1"/>
  <c r="H21" i="55" a="1"/>
  <c r="H21" i="55" s="1"/>
  <c r="F33" i="12" a="1"/>
  <c r="F33" i="12" s="1"/>
  <c r="F26" i="12" a="1"/>
  <c r="F26" i="12" s="1"/>
  <c r="L23" i="45" a="1"/>
  <c r="L23" i="45" s="1"/>
  <c r="E25" i="12" a="1"/>
  <c r="E25" i="12" s="1"/>
  <c r="E38" i="15" a="1"/>
  <c r="E38" i="15" s="1"/>
  <c r="H17" i="55" a="1"/>
  <c r="H17" i="55" s="1"/>
  <c r="E18" i="15" a="1"/>
  <c r="E18" i="15" s="1"/>
  <c r="J19" i="55" a="1"/>
  <c r="J19" i="55" s="1"/>
  <c r="J24" i="55" a="1"/>
  <c r="J24" i="55" s="1"/>
  <c r="J21" i="55" a="1"/>
  <c r="J21" i="55" s="1"/>
  <c r="F67" i="15" a="1"/>
  <c r="F67" i="15" s="1"/>
  <c r="J17" i="55" a="1"/>
  <c r="J17" i="55" s="1"/>
  <c r="J26" i="55" a="1"/>
  <c r="J26" i="55" s="1"/>
  <c r="E24" i="15" a="1"/>
  <c r="E24" i="15" s="1"/>
  <c r="G24" i="15" s="1"/>
  <c r="J25" i="55" a="1"/>
  <c r="J25" i="55" s="1"/>
  <c r="J53" i="55" a="1"/>
  <c r="J53" i="55" s="1"/>
  <c r="J8" i="45" a="1"/>
  <c r="J8" i="45" s="1"/>
  <c r="H42" i="55" a="1"/>
  <c r="H42" i="55" s="1"/>
  <c r="E20" i="12" a="1"/>
  <c r="E20" i="12" s="1"/>
  <c r="E43" i="12" a="1"/>
  <c r="E43" i="12" s="1"/>
  <c r="E29" i="12" a="1"/>
  <c r="E29" i="12" s="1"/>
  <c r="G29" i="12" s="1"/>
  <c r="F32" i="12" a="1"/>
  <c r="F32" i="12" s="1"/>
  <c r="L9" i="45" a="1"/>
  <c r="L9" i="45" s="1"/>
  <c r="C14" i="39"/>
  <c r="G56" i="15" l="1"/>
  <c r="I67" i="15"/>
  <c r="H35" i="12"/>
  <c r="L24" i="55"/>
  <c r="L12" i="55"/>
  <c r="E35" i="15"/>
  <c r="G38" i="12"/>
  <c r="G12" i="15"/>
  <c r="H28" i="15"/>
  <c r="G43" i="12"/>
  <c r="G25" i="12"/>
  <c r="G40" i="15"/>
  <c r="N11" i="45"/>
  <c r="H38" i="12"/>
  <c r="H34" i="12"/>
  <c r="F61" i="15"/>
  <c r="F62" i="15" s="1"/>
  <c r="G46" i="15"/>
  <c r="L13" i="62"/>
  <c r="L34" i="55"/>
  <c r="G15" i="15"/>
  <c r="P31" i="45"/>
  <c r="L49" i="55"/>
  <c r="G30" i="12"/>
  <c r="H13" i="12"/>
  <c r="P32" i="45"/>
  <c r="G48" i="15"/>
  <c r="N28" i="45"/>
  <c r="N30" i="45"/>
  <c r="P29" i="45"/>
  <c r="P28" i="45"/>
  <c r="P30" i="45"/>
  <c r="N32" i="45"/>
  <c r="N27" i="45"/>
  <c r="N29" i="45"/>
  <c r="N31" i="45"/>
  <c r="H7" i="12"/>
  <c r="G47" i="12"/>
  <c r="L8" i="62"/>
  <c r="H22" i="12"/>
  <c r="G31" i="15"/>
  <c r="G32" i="15" s="1"/>
  <c r="N12" i="62"/>
  <c r="N13" i="62"/>
  <c r="N14" i="62"/>
  <c r="G24" i="12"/>
  <c r="N15" i="62"/>
  <c r="G22" i="12"/>
  <c r="H16" i="12"/>
  <c r="P25" i="45"/>
  <c r="N10" i="45"/>
  <c r="P10" i="45"/>
  <c r="G27" i="12"/>
  <c r="U10" i="49"/>
  <c r="T10" i="49"/>
  <c r="I23" i="47"/>
  <c r="I24" i="47" s="1"/>
  <c r="L39" i="55"/>
  <c r="L11" i="62"/>
  <c r="G23" i="12"/>
  <c r="H28" i="12"/>
  <c r="H22" i="15"/>
  <c r="N8" i="45"/>
  <c r="G37" i="12"/>
  <c r="H46" i="15"/>
  <c r="H47" i="12"/>
  <c r="L26" i="55"/>
  <c r="H38" i="15"/>
  <c r="L16" i="55"/>
  <c r="L51" i="55"/>
  <c r="G15" i="12"/>
  <c r="G11" i="12"/>
  <c r="H5" i="12"/>
  <c r="H12" i="12"/>
  <c r="H40" i="15"/>
  <c r="H27" i="12"/>
  <c r="G42" i="12"/>
  <c r="P7" i="45"/>
  <c r="AV53" i="48"/>
  <c r="H44" i="12"/>
  <c r="L13" i="55"/>
  <c r="N26" i="45"/>
  <c r="H32" i="12"/>
  <c r="G41" i="15"/>
  <c r="G42" i="15" s="1"/>
  <c r="P19" i="45"/>
  <c r="G6" i="12"/>
  <c r="P9" i="45"/>
  <c r="G21" i="15"/>
  <c r="L45" i="55" s="1"/>
  <c r="H13" i="15"/>
  <c r="AW54" i="48"/>
  <c r="AW54" i="49" s="1"/>
  <c r="AW54" i="50" s="1"/>
  <c r="AW54" i="51" s="1"/>
  <c r="AW53" i="48"/>
  <c r="J52" i="48"/>
  <c r="J54" i="48" s="1"/>
  <c r="J54" i="49" s="1"/>
  <c r="J54" i="50" s="1"/>
  <c r="J54" i="51" s="1"/>
  <c r="CR52" i="48"/>
  <c r="F44" i="48" s="1"/>
  <c r="CZ44" i="48" s="1"/>
  <c r="H25" i="15"/>
  <c r="H27" i="15"/>
  <c r="G20" i="15"/>
  <c r="G33" i="15"/>
  <c r="I59" i="15"/>
  <c r="N20" i="45"/>
  <c r="H17" i="12"/>
  <c r="H34" i="15"/>
  <c r="N8" i="62"/>
  <c r="N15" i="45"/>
  <c r="H21" i="15"/>
  <c r="G40" i="12"/>
  <c r="P20" i="45"/>
  <c r="CP52" i="48"/>
  <c r="F43" i="48" s="1"/>
  <c r="N5" i="45"/>
  <c r="G52" i="15"/>
  <c r="BS54" i="48"/>
  <c r="BS54" i="49" s="1"/>
  <c r="BS54" i="50" s="1"/>
  <c r="BS54" i="51" s="1"/>
  <c r="BR53" i="48"/>
  <c r="BS53" i="48"/>
  <c r="P23" i="45"/>
  <c r="L29" i="55"/>
  <c r="I64" i="15"/>
  <c r="I65" i="15"/>
  <c r="N14" i="45"/>
  <c r="H10" i="12"/>
  <c r="G10" i="15"/>
  <c r="G11" i="15" s="1"/>
  <c r="G51" i="15"/>
  <c r="F35" i="15"/>
  <c r="F53" i="15"/>
  <c r="L50" i="55"/>
  <c r="G14" i="12"/>
  <c r="G28" i="15"/>
  <c r="L19" i="55"/>
  <c r="G34" i="15"/>
  <c r="G7" i="12"/>
  <c r="H31" i="15"/>
  <c r="H32" i="15" s="1"/>
  <c r="P15" i="45"/>
  <c r="P13" i="45"/>
  <c r="N9" i="62"/>
  <c r="G44" i="12"/>
  <c r="H11" i="12"/>
  <c r="P14" i="45"/>
  <c r="P11" i="45"/>
  <c r="N10" i="62"/>
  <c r="E14" i="15"/>
  <c r="N16" i="45"/>
  <c r="H6" i="12"/>
  <c r="H39" i="12"/>
  <c r="F11" i="15"/>
  <c r="E23" i="15"/>
  <c r="L47" i="55"/>
  <c r="H49" i="15"/>
  <c r="H41" i="15"/>
  <c r="H42" i="15" s="1"/>
  <c r="E42" i="15"/>
  <c r="E43" i="15" s="1"/>
  <c r="G5" i="12"/>
  <c r="K52" i="48"/>
  <c r="K54" i="48" s="1"/>
  <c r="K54" i="49" s="1"/>
  <c r="K54" i="50" s="1"/>
  <c r="K54" i="51" s="1"/>
  <c r="L48" i="55"/>
  <c r="F23" i="15"/>
  <c r="G9" i="12"/>
  <c r="L10" i="62"/>
  <c r="G13" i="15"/>
  <c r="H10" i="15"/>
  <c r="H11" i="15" s="1"/>
  <c r="H31" i="12"/>
  <c r="G36" i="12"/>
  <c r="L52" i="55"/>
  <c r="P16" i="45"/>
  <c r="G27" i="15"/>
  <c r="G4" i="12"/>
  <c r="N11" i="62"/>
  <c r="G16" i="15"/>
  <c r="G17" i="15" s="1"/>
  <c r="L15" i="55"/>
  <c r="H44" i="15"/>
  <c r="H16" i="15"/>
  <c r="H17" i="15" s="1"/>
  <c r="F32" i="15"/>
  <c r="H4" i="12"/>
  <c r="I69" i="15"/>
  <c r="E30" i="15"/>
  <c r="H15" i="12"/>
  <c r="F17" i="15"/>
  <c r="N13" i="45"/>
  <c r="G22" i="15"/>
  <c r="L37" i="55" s="1"/>
  <c r="N18" i="45"/>
  <c r="L9" i="62"/>
  <c r="G12" i="12"/>
  <c r="G20" i="12"/>
  <c r="F30" i="15"/>
  <c r="H24" i="12"/>
  <c r="G21" i="12"/>
  <c r="L14" i="55"/>
  <c r="G26" i="15"/>
  <c r="L56" i="55" s="1"/>
  <c r="H8" i="12"/>
  <c r="P24" i="45"/>
  <c r="H33" i="15"/>
  <c r="G41" i="12"/>
  <c r="L27" i="55"/>
  <c r="L23" i="55"/>
  <c r="G16" i="12"/>
  <c r="CN52" i="48"/>
  <c r="CN54" i="48" s="1"/>
  <c r="CN54" i="49" s="1"/>
  <c r="CN54" i="50" s="1"/>
  <c r="CN54" i="51" s="1"/>
  <c r="N12" i="45"/>
  <c r="H14" i="12"/>
  <c r="G44" i="15"/>
  <c r="F43" i="15"/>
  <c r="H15" i="15"/>
  <c r="H47" i="15"/>
  <c r="P26" i="45"/>
  <c r="G25" i="15"/>
  <c r="L20" i="55"/>
  <c r="F14" i="15"/>
  <c r="H12" i="15"/>
  <c r="J19" i="62"/>
  <c r="L41" i="55"/>
  <c r="P22" i="45"/>
  <c r="G10" i="12"/>
  <c r="N5" i="62"/>
  <c r="P21" i="45"/>
  <c r="H29" i="15"/>
  <c r="H18" i="12"/>
  <c r="E61" i="15"/>
  <c r="L7" i="62"/>
  <c r="N17" i="45"/>
  <c r="L18" i="55"/>
  <c r="J37" i="55"/>
  <c r="P18" i="45"/>
  <c r="N6" i="45"/>
  <c r="L42" i="55"/>
  <c r="N6" i="62"/>
  <c r="L31" i="55"/>
  <c r="H20" i="15"/>
  <c r="N25" i="45"/>
  <c r="G54" i="15"/>
  <c r="N22" i="45"/>
  <c r="L46" i="55"/>
  <c r="H44" i="55"/>
  <c r="G45" i="55" s="1"/>
  <c r="L38" i="55"/>
  <c r="G46" i="12"/>
  <c r="G47" i="15"/>
  <c r="E50" i="15"/>
  <c r="H54" i="15"/>
  <c r="E55" i="15"/>
  <c r="G55" i="15" s="1"/>
  <c r="L5" i="62"/>
  <c r="H36" i="15"/>
  <c r="L30" i="55"/>
  <c r="I68" i="15"/>
  <c r="L22" i="55"/>
  <c r="H55" i="55"/>
  <c r="G56" i="55" s="1"/>
  <c r="L33" i="55"/>
  <c r="L25" i="55"/>
  <c r="L40" i="55"/>
  <c r="G39" i="15"/>
  <c r="H39" i="15"/>
  <c r="G18" i="12"/>
  <c r="G13" i="12"/>
  <c r="N19" i="45"/>
  <c r="H41" i="12"/>
  <c r="G29" i="15"/>
  <c r="G35" i="12"/>
  <c r="I63" i="15"/>
  <c r="N21" i="45"/>
  <c r="G17" i="12"/>
  <c r="H48" i="15"/>
  <c r="L32" i="55"/>
  <c r="H23" i="12"/>
  <c r="H46" i="12"/>
  <c r="H37" i="12"/>
  <c r="H45" i="15"/>
  <c r="H19" i="12"/>
  <c r="P6" i="45"/>
  <c r="I60" i="15"/>
  <c r="H33" i="12"/>
  <c r="P5" i="45"/>
  <c r="H26" i="12"/>
  <c r="F50" i="15"/>
  <c r="M52" i="48"/>
  <c r="M54" i="48" s="1"/>
  <c r="M54" i="49" s="1"/>
  <c r="M54" i="50" s="1"/>
  <c r="M54" i="51" s="1"/>
  <c r="F37" i="15"/>
  <c r="H37" i="15" s="1"/>
  <c r="H56" i="15"/>
  <c r="H58" i="15" s="1"/>
  <c r="J56" i="55"/>
  <c r="H26" i="15"/>
  <c r="G36" i="15"/>
  <c r="N52" i="48"/>
  <c r="N54" i="48" s="1"/>
  <c r="N54" i="49" s="1"/>
  <c r="N54" i="50" s="1"/>
  <c r="N54" i="51" s="1"/>
  <c r="R52" i="48"/>
  <c r="S53" i="48" s="1"/>
  <c r="Q52" i="48"/>
  <c r="P53" i="48" s="1"/>
  <c r="L52" i="48"/>
  <c r="O52" i="48"/>
  <c r="E53" i="15"/>
  <c r="P17" i="45"/>
  <c r="J55" i="55"/>
  <c r="L6" i="62"/>
  <c r="N7" i="45"/>
  <c r="H30" i="12"/>
  <c r="H52" i="15"/>
  <c r="H53" i="15" s="1"/>
  <c r="P35" i="45" s="1"/>
  <c r="G31" i="12"/>
  <c r="H36" i="12"/>
  <c r="H42" i="12"/>
  <c r="J36" i="55"/>
  <c r="G45" i="12"/>
  <c r="E19" i="15"/>
  <c r="G19" i="15" s="1"/>
  <c r="G18" i="15"/>
  <c r="H18" i="15"/>
  <c r="H29" i="12"/>
  <c r="E49" i="12"/>
  <c r="G49" i="15"/>
  <c r="H24" i="15"/>
  <c r="H40" i="12"/>
  <c r="N7" i="62"/>
  <c r="P12" i="45"/>
  <c r="P8" i="45"/>
  <c r="L17" i="55"/>
  <c r="H45" i="12"/>
  <c r="G58" i="15"/>
  <c r="L28" i="55"/>
  <c r="L34" i="45"/>
  <c r="J44" i="55"/>
  <c r="I45" i="55" s="1"/>
  <c r="H9" i="12"/>
  <c r="F49" i="12"/>
  <c r="F53" i="12" s="1"/>
  <c r="E51" i="12"/>
  <c r="G38" i="15"/>
  <c r="H20" i="12"/>
  <c r="H36" i="55"/>
  <c r="G37" i="55" s="1"/>
  <c r="G33" i="12"/>
  <c r="G45" i="15"/>
  <c r="E58" i="15"/>
  <c r="J34" i="45"/>
  <c r="H25" i="12"/>
  <c r="G8" i="12"/>
  <c r="L53" i="55"/>
  <c r="G34" i="12"/>
  <c r="G32" i="12"/>
  <c r="L21" i="55"/>
  <c r="H43" i="12"/>
  <c r="H17" i="62"/>
  <c r="H21" i="62" s="1"/>
  <c r="N9" i="45"/>
  <c r="N23" i="45"/>
  <c r="G26" i="12"/>
  <c r="H21" i="12"/>
  <c r="J17" i="62"/>
  <c r="G28" i="12"/>
  <c r="G14" i="15" l="1"/>
  <c r="F72" i="15"/>
  <c r="I61" i="15"/>
  <c r="J34" i="14"/>
  <c r="G53" i="15"/>
  <c r="H30" i="15"/>
  <c r="G43" i="15"/>
  <c r="U53" i="49"/>
  <c r="U10" i="50" s="1"/>
  <c r="T53" i="49"/>
  <c r="T10" i="50" s="1"/>
  <c r="BR10" i="49"/>
  <c r="AW10" i="49"/>
  <c r="P10" i="49"/>
  <c r="S10" i="49"/>
  <c r="BS10" i="49"/>
  <c r="AV10" i="49"/>
  <c r="AV53" i="49" s="1"/>
  <c r="H24" i="47"/>
  <c r="H25" i="47" s="1"/>
  <c r="H14" i="15"/>
  <c r="G30" i="15"/>
  <c r="G35" i="15"/>
  <c r="I37" i="55"/>
  <c r="H23" i="15"/>
  <c r="G37" i="15"/>
  <c r="E62" i="15"/>
  <c r="I62" i="15" s="1"/>
  <c r="CS44" i="48"/>
  <c r="CS52" i="48" s="1"/>
  <c r="CS54" i="48" s="1"/>
  <c r="CS54" i="49" s="1"/>
  <c r="CS54" i="50" s="1"/>
  <c r="CS54" i="51" s="1"/>
  <c r="CR54" i="48"/>
  <c r="CR54" i="49" s="1"/>
  <c r="CR54" i="50" s="1"/>
  <c r="CR54" i="51" s="1"/>
  <c r="H35" i="15"/>
  <c r="CP54" i="48"/>
  <c r="CP54" i="49" s="1"/>
  <c r="CP54" i="50" s="1"/>
  <c r="CP54" i="51" s="1"/>
  <c r="H43" i="15"/>
  <c r="F42" i="48"/>
  <c r="CZ42" i="48" s="1"/>
  <c r="G50" i="15"/>
  <c r="H55" i="15"/>
  <c r="G23" i="15"/>
  <c r="L55" i="55"/>
  <c r="K56" i="55" s="1"/>
  <c r="H50" i="15"/>
  <c r="K53" i="48"/>
  <c r="J53" i="48"/>
  <c r="L17" i="62"/>
  <c r="L53" i="48"/>
  <c r="J21" i="62"/>
  <c r="L44" i="55"/>
  <c r="K45" i="55" s="1"/>
  <c r="N17" i="62"/>
  <c r="I56" i="55"/>
  <c r="N53" i="48"/>
  <c r="R53" i="48"/>
  <c r="Q54" i="48"/>
  <c r="Q54" i="49" s="1"/>
  <c r="Q54" i="50" s="1"/>
  <c r="Q54" i="51" s="1"/>
  <c r="Q53" i="48"/>
  <c r="R54" i="48"/>
  <c r="R54" i="49" s="1"/>
  <c r="R54" i="50" s="1"/>
  <c r="R54" i="51" s="1"/>
  <c r="L54" i="48"/>
  <c r="L54" i="49" s="1"/>
  <c r="L54" i="50" s="1"/>
  <c r="L54" i="51" s="1"/>
  <c r="O54" i="48"/>
  <c r="O54" i="49" s="1"/>
  <c r="O54" i="50" s="1"/>
  <c r="O54" i="51" s="1"/>
  <c r="O53" i="48"/>
  <c r="M53" i="48"/>
  <c r="CQ43" i="48"/>
  <c r="CQ52" i="48" s="1"/>
  <c r="CZ43" i="48"/>
  <c r="H19" i="15"/>
  <c r="L36" i="55"/>
  <c r="K37" i="55" s="1"/>
  <c r="G49" i="12"/>
  <c r="N34" i="45"/>
  <c r="P34" i="45"/>
  <c r="P36" i="45" s="1"/>
  <c r="H49" i="12"/>
  <c r="E53" i="12"/>
  <c r="G72" i="15" l="1"/>
  <c r="H72" i="15"/>
  <c r="E72" i="15"/>
  <c r="BS53" i="49"/>
  <c r="BS10" i="50" s="1"/>
  <c r="I34" i="14"/>
  <c r="I35" i="14" s="1"/>
  <c r="CZ52" i="48"/>
  <c r="CZ53" i="48" s="1"/>
  <c r="CZ10" i="49" s="1"/>
  <c r="U53" i="50"/>
  <c r="U10" i="51" s="1"/>
  <c r="T53" i="50"/>
  <c r="T10" i="51" s="1"/>
  <c r="AW53" i="49"/>
  <c r="AW10" i="50" s="1"/>
  <c r="AV10" i="50"/>
  <c r="L10" i="49"/>
  <c r="M10" i="49"/>
  <c r="N10" i="49"/>
  <c r="J10" i="49"/>
  <c r="O10" i="49"/>
  <c r="Q10" i="49"/>
  <c r="Q53" i="49" s="1"/>
  <c r="R10" i="49"/>
  <c r="S53" i="49" s="1"/>
  <c r="K10" i="49"/>
  <c r="BR53" i="49"/>
  <c r="I25" i="47"/>
  <c r="I26" i="47" s="1"/>
  <c r="CS53" i="48"/>
  <c r="CR53" i="48"/>
  <c r="CO42" i="48"/>
  <c r="CO52" i="48" s="1"/>
  <c r="CO53" i="48" s="1"/>
  <c r="CQ53" i="48"/>
  <c r="CQ54" i="48"/>
  <c r="CQ54" i="49" s="1"/>
  <c r="CQ54" i="50" s="1"/>
  <c r="CQ54" i="51" s="1"/>
  <c r="CP53" i="48"/>
  <c r="CZ54" i="48" l="1"/>
  <c r="CZ54" i="49" s="1"/>
  <c r="CZ54" i="50" s="1"/>
  <c r="CZ54" i="51" s="1"/>
  <c r="DA53" i="48"/>
  <c r="DA10" i="49" s="1"/>
  <c r="DA53" i="49" s="1"/>
  <c r="J35" i="14"/>
  <c r="J36" i="14" s="1"/>
  <c r="O53" i="49"/>
  <c r="O10" i="50" s="1"/>
  <c r="U53" i="51"/>
  <c r="T53" i="51"/>
  <c r="H74" i="15"/>
  <c r="N53" i="49"/>
  <c r="N10" i="50" s="1"/>
  <c r="M53" i="49"/>
  <c r="M10" i="50" s="1"/>
  <c r="AV53" i="50"/>
  <c r="AV10" i="51" s="1"/>
  <c r="L53" i="49"/>
  <c r="L10" i="50" s="1"/>
  <c r="BR10" i="50"/>
  <c r="BS53" i="50" s="1"/>
  <c r="BS10" i="51" s="1"/>
  <c r="Q10" i="50"/>
  <c r="S10" i="50"/>
  <c r="K53" i="49"/>
  <c r="AW53" i="50"/>
  <c r="AW10" i="51" s="1"/>
  <c r="R53" i="49"/>
  <c r="J53" i="49"/>
  <c r="P53" i="49"/>
  <c r="CR10" i="49"/>
  <c r="CP10" i="49"/>
  <c r="CS10" i="49"/>
  <c r="CQ10" i="49"/>
  <c r="CO10" i="49"/>
  <c r="H26" i="47"/>
  <c r="H27" i="47" s="1"/>
  <c r="CO54" i="48"/>
  <c r="CO54" i="49" s="1"/>
  <c r="CO54" i="50" s="1"/>
  <c r="CO54" i="51" s="1"/>
  <c r="CN53" i="48"/>
  <c r="I36" i="14" l="1"/>
  <c r="I37" i="14" s="1"/>
  <c r="L53" i="50"/>
  <c r="L10" i="51" s="1"/>
  <c r="N53" i="50"/>
  <c r="N10" i="51" s="1"/>
  <c r="CP53" i="49"/>
  <c r="CP10" i="50" s="1"/>
  <c r="O53" i="50"/>
  <c r="O10" i="51" s="1"/>
  <c r="CZ53" i="49"/>
  <c r="CZ10" i="50" s="1"/>
  <c r="M53" i="50"/>
  <c r="M10" i="51" s="1"/>
  <c r="CS53" i="49"/>
  <c r="CS10" i="50" s="1"/>
  <c r="BR53" i="50"/>
  <c r="BR10" i="51" s="1"/>
  <c r="BR53" i="51" s="1"/>
  <c r="P10" i="50"/>
  <c r="J10" i="50"/>
  <c r="K10" i="50"/>
  <c r="R10" i="50"/>
  <c r="CQ53" i="49"/>
  <c r="DA10" i="50"/>
  <c r="AV53" i="51"/>
  <c r="AW53" i="51"/>
  <c r="CR53" i="49"/>
  <c r="CN10" i="49"/>
  <c r="CN53" i="49" s="1"/>
  <c r="I27" i="47"/>
  <c r="I28" i="47" s="1"/>
  <c r="J37" i="14" l="1"/>
  <c r="J38" i="14" s="1"/>
  <c r="L53" i="51"/>
  <c r="O53" i="51"/>
  <c r="M53" i="51"/>
  <c r="N53" i="51"/>
  <c r="BS53" i="51"/>
  <c r="DA53" i="50"/>
  <c r="DA10" i="51" s="1"/>
  <c r="K53" i="50"/>
  <c r="K10" i="51" s="1"/>
  <c r="CZ53" i="50"/>
  <c r="CZ10" i="51" s="1"/>
  <c r="CR10" i="50"/>
  <c r="CS53" i="50" s="1"/>
  <c r="CS10" i="51" s="1"/>
  <c r="CQ10" i="50"/>
  <c r="CN10" i="50"/>
  <c r="S53" i="50"/>
  <c r="S10" i="51" s="1"/>
  <c r="R53" i="50"/>
  <c r="R10" i="51" s="1"/>
  <c r="J53" i="50"/>
  <c r="J10" i="51" s="1"/>
  <c r="P53" i="50"/>
  <c r="Q53" i="50"/>
  <c r="Q10" i="51" s="1"/>
  <c r="CO53" i="49"/>
  <c r="H28" i="47"/>
  <c r="H29" i="47" s="1"/>
  <c r="I38" i="14" l="1"/>
  <c r="CZ53" i="51"/>
  <c r="S53" i="51"/>
  <c r="DA53" i="51"/>
  <c r="R53" i="51"/>
  <c r="P10" i="51"/>
  <c r="Q53" i="51" s="1"/>
  <c r="J53" i="51"/>
  <c r="K53" i="51"/>
  <c r="CR53" i="50"/>
  <c r="CR10" i="51" s="1"/>
  <c r="CR53" i="51" s="1"/>
  <c r="CQ53" i="50"/>
  <c r="CQ10" i="51" s="1"/>
  <c r="CP53" i="50"/>
  <c r="CP10" i="51" s="1"/>
  <c r="CO10" i="50"/>
  <c r="CN53" i="50" s="1"/>
  <c r="CN10" i="51" s="1"/>
  <c r="I29" i="47"/>
  <c r="I30" i="47" s="1"/>
  <c r="CP53" i="51" l="1"/>
  <c r="P53" i="51"/>
  <c r="CS53" i="51"/>
  <c r="CQ53" i="51"/>
  <c r="CO53" i="50"/>
  <c r="CO10" i="51" s="1"/>
  <c r="CO53" i="51" s="1"/>
  <c r="H30" i="47"/>
  <c r="H31" i="47" s="1"/>
  <c r="CN53" i="51" l="1"/>
  <c r="I31" i="47"/>
  <c r="I32" i="47" s="1"/>
  <c r="H32" i="47" l="1"/>
  <c r="H33" i="47" s="1"/>
  <c r="I33" i="47" l="1"/>
  <c r="I34" i="47" s="1"/>
  <c r="H34" i="47" l="1"/>
  <c r="H35" i="47" s="1"/>
  <c r="I35" i="47" l="1"/>
  <c r="I36" i="47" s="1"/>
  <c r="H36" i="47" l="1"/>
  <c r="H37" i="47" s="1"/>
  <c r="I37" i="47" l="1"/>
  <c r="I38" i="47" s="1"/>
  <c r="H38" i="47" l="1"/>
  <c r="H39" i="47" s="1"/>
  <c r="I39" i="47" l="1"/>
  <c r="I40" i="47" s="1"/>
  <c r="H40" i="47" l="1"/>
  <c r="H41" i="47" s="1"/>
  <c r="I41" i="47" l="1"/>
  <c r="I42" i="47" s="1"/>
  <c r="H42" i="47" l="1"/>
  <c r="H43" i="47" s="1"/>
  <c r="I43" i="47" l="1"/>
  <c r="I44" i="47" s="1"/>
  <c r="H44" i="47" l="1"/>
  <c r="H45" i="47" s="1"/>
  <c r="I45" i="47" l="1"/>
  <c r="I46" i="47" s="1"/>
  <c r="H46" i="47" l="1"/>
  <c r="H47" i="47" s="1"/>
  <c r="I47" i="47" l="1"/>
  <c r="I48" i="47" s="1"/>
  <c r="H48" i="47" l="1"/>
  <c r="H49" i="47" s="1"/>
  <c r="I49" i="47" l="1"/>
  <c r="I50" i="47" s="1"/>
  <c r="H50" i="47" l="1"/>
</calcChain>
</file>

<file path=xl/sharedStrings.xml><?xml version="1.0" encoding="utf-8"?>
<sst xmlns="http://schemas.openxmlformats.org/spreadsheetml/2006/main" count="6848" uniqueCount="1393">
  <si>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</si>
  <si>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</si>
  <si>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</si>
  <si>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</si>
  <si>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</si>
  <si>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</si>
  <si>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</si>
  <si>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</si>
  <si>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</si>
  <si>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</si>
  <si>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</si>
  <si>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</si>
  <si>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</si>
  <si>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</si>
  <si>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</si>
  <si>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</si>
  <si>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</si>
  <si>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</si>
  <si>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</si>
  <si>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</si>
  <si>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</si>
  <si>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</si>
  <si>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</si>
  <si>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</si>
  <si>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</si>
  <si>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</si>
  <si>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</si>
  <si>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</si>
  <si>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</si>
  <si>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</si>
  <si>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</si>
  <si>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</si>
  <si>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</si>
  <si>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</si>
  <si>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</si>
  <si>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</si>
  <si>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</si>
  <si>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</si>
  <si>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</si>
  <si>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</si>
  <si>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</si>
  <si>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</si>
  <si>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</si>
  <si>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</si>
  <si>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</si>
  <si>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</si>
  <si>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</si>
  <si>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</si>
  <si>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</si>
  <si>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</si>
  <si>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</si>
  <si>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</si>
  <si>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</si>
  <si>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</si>
  <si>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</si>
  <si>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</si>
  <si>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</si>
  <si>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</si>
  <si>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</si>
  <si>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</si>
  <si>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</si>
  <si>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</si>
  <si>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</si>
  <si>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</si>
  <si>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</si>
  <si>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</si>
  <si>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</si>
  <si>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</si>
  <si>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</si>
  <si>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</si>
  <si>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</si>
  <si>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</si>
  <si>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</si>
  <si>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</si>
  <si>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</si>
  <si>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</si>
  <si>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</si>
  <si>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</si>
  <si>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</si>
  <si>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</si>
  <si>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</si>
  <si>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</si>
  <si>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</si>
  <si>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</si>
  <si>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</si>
  <si>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</si>
  <si>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</si>
  <si>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</si>
  <si>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</si>
  <si>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</si>
  <si>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</si>
  <si>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</si>
  <si>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</si>
  <si>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</si>
  <si>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</si>
  <si>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</si>
  <si>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</si>
  <si>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</si>
  <si>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</si>
  <si>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</si>
  <si>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</si>
  <si>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</si>
  <si>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</si>
  <si>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</si>
  <si>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</si>
  <si>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</si>
  <si>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</si>
  <si>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</si>
  <si>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</si>
  <si>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</si>
  <si>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</si>
  <si>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</si>
  <si>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</si>
  <si>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</si>
  <si>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</si>
  <si>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</si>
  <si>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</si>
  <si>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</si>
  <si>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</si>
  <si>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</si>
  <si>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</si>
  <si>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</si>
  <si>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</si>
  <si>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</si>
  <si>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</si>
  <si>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</si>
  <si>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</si>
  <si>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</si>
  <si>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</si>
  <si>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</si>
  <si>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</si>
  <si>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</si>
  <si>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</si>
  <si>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</si>
  <si>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</si>
  <si>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</si>
  <si>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</si>
  <si>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</si>
  <si>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</si>
  <si>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</si>
  <si>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</si>
  <si>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</si>
  <si>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</si>
  <si>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</si>
  <si>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</si>
  <si>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</si>
  <si>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</si>
  <si>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</si>
  <si>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</si>
  <si>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</si>
  <si>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</si>
  <si>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</si>
  <si>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</si>
  <si>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</si>
  <si>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</si>
  <si>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</si>
  <si>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</si>
  <si>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</si>
  <si>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</si>
  <si>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</si>
  <si>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</si>
  <si>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</si>
  <si>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</si>
  <si>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</si>
  <si>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</si>
  <si>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</si>
  <si>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</si>
  <si>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</si>
  <si>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</si>
  <si>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</si>
  <si>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</si>
  <si>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</si>
  <si>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</si>
  <si>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</si>
  <si>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</si>
  <si>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</si>
  <si>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</si>
  <si>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</si>
  <si>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</si>
  <si>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</si>
  <si>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</si>
  <si>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</si>
  <si>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</si>
  <si>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</si>
  <si>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</si>
  <si>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</si>
  <si>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</si>
  <si>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</si>
  <si>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</si>
  <si>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</si>
  <si>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</si>
  <si>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</si>
  <si>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</si>
  <si>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</si>
  <si>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</si>
  <si>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</si>
  <si>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</si>
  <si>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</si>
  <si>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</si>
  <si>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</si>
  <si>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</si>
  <si>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</si>
  <si>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</si>
  <si>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</si>
  <si>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</si>
  <si>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</si>
  <si>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</si>
  <si>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</si>
  <si>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</si>
  <si>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</si>
  <si>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</si>
  <si>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</si>
  <si>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</si>
  <si>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</si>
  <si>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</si>
  <si>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</si>
  <si>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</si>
  <si>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</si>
  <si>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</si>
  <si>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</si>
  <si>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</si>
  <si>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</si>
  <si>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</si>
  <si>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</si>
  <si>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</si>
  <si>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</si>
  <si>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</si>
  <si>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</si>
  <si>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</si>
  <si>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</si>
  <si>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</si>
  <si>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</si>
  <si>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</si>
  <si>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</si>
  <si>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</si>
  <si>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</si>
  <si>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</si>
  <si>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</si>
  <si>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</si>
  <si>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</si>
  <si>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</si>
  <si>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</si>
  <si>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</si>
  <si>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</si>
  <si>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</si>
  <si>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</si>
  <si>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</si>
  <si>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</si>
  <si>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</si>
  <si>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</si>
  <si>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</si>
  <si>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</si>
  <si>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</si>
  <si>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</si>
  <si>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</si>
  <si>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</si>
  <si>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</si>
  <si>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</si>
  <si>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</si>
  <si>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</si>
  <si>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</si>
  <si>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</si>
  <si>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</si>
  <si>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</si>
  <si>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</si>
  <si>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</si>
  <si>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</si>
  <si>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</si>
  <si>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</si>
  <si>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</si>
  <si>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</si>
  <si>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</si>
  <si>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</si>
  <si>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</si>
  <si>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</si>
  <si>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</si>
  <si>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</si>
  <si>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</si>
  <si>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</si>
  <si>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</si>
  <si>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</si>
  <si>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</si>
  <si>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</si>
  <si>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</si>
  <si>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</si>
  <si>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</si>
  <si>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</si>
  <si>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</si>
  <si>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</si>
  <si>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</si>
  <si>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</si>
  <si>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</si>
  <si>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</si>
  <si>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</si>
  <si>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</si>
  <si>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</si>
  <si>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</si>
  <si>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</si>
  <si>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</si>
  <si>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</si>
  <si>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</si>
  <si>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</si>
  <si>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</si>
  <si>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</si>
  <si>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</si>
  <si>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</si>
  <si>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</si>
  <si>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</si>
  <si>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</si>
  <si>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</si>
  <si>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</si>
  <si>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</si>
  <si>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</si>
  <si>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</si>
  <si>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</si>
  <si>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</si>
  <si>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</si>
  <si>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</si>
  <si>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</si>
  <si>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</si>
  <si>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</si>
  <si>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</si>
  <si>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</si>
  <si>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</si>
  <si>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</si>
  <si>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</si>
  <si>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</si>
  <si>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</si>
  <si>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</si>
  <si>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</si>
  <si>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</si>
  <si>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</si>
  <si>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</si>
  <si>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</si>
  <si>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</si>
  <si>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</si>
  <si>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</si>
  <si>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</si>
  <si>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</si>
  <si>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</si>
  <si>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</si>
  <si>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</si>
  <si>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</si>
  <si>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</si>
  <si>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</si>
  <si>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</si>
  <si>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</si>
  <si>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</si>
  <si>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</si>
  <si>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</si>
  <si>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</si>
  <si>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</si>
  <si>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</si>
  <si>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</si>
  <si>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</si>
  <si>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</si>
  <si>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</si>
  <si>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</si>
  <si>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</si>
  <si>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</si>
  <si>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</si>
  <si>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</si>
  <si>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</si>
  <si>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</si>
  <si>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</si>
  <si>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</si>
  <si>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</si>
  <si>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</si>
  <si>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</si>
  <si>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</si>
  <si>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</si>
  <si>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</si>
  <si>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</si>
  <si>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</si>
  <si>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</si>
  <si>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</si>
  <si>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</si>
  <si>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</si>
  <si>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</si>
  <si>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</si>
  <si>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</si>
  <si>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</si>
  <si>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</si>
  <si>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</si>
  <si>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</si>
  <si>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</si>
  <si>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</si>
  <si>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</si>
  <si>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</si>
  <si>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</si>
  <si>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</si>
  <si>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</si>
  <si>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</si>
  <si>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</si>
  <si>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</si>
  <si>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</si>
  <si>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</si>
  <si>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</si>
  <si>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</si>
  <si>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</si>
  <si>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</si>
  <si>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</si>
  <si>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</si>
  <si>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</si>
  <si>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</si>
  <si>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</si>
  <si>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</si>
  <si>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</si>
  <si>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</si>
  <si>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</si>
  <si>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</si>
  <si>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</si>
  <si>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</si>
  <si>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</si>
  <si>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</si>
  <si>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</si>
  <si>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</si>
  <si>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</si>
  <si>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</si>
  <si>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</si>
  <si>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</si>
  <si>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</si>
  <si>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</si>
  <si>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</si>
  <si>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</si>
  <si>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</si>
  <si>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</si>
  <si>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</si>
  <si>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</si>
  <si>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</si>
  <si>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</si>
  <si>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</si>
  <si>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</si>
  <si>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</si>
  <si>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</si>
  <si>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</si>
  <si>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</si>
  <si>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</si>
  <si>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</si>
  <si>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</si>
  <si>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</si>
  <si>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</si>
  <si>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</si>
  <si>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</si>
  <si>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</si>
  <si>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</si>
  <si>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</si>
  <si>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</si>
  <si>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</si>
  <si>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</si>
  <si>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</si>
  <si>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</si>
  <si>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</si>
  <si>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</si>
  <si>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</si>
  <si>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</si>
  <si>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</si>
  <si>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</si>
  <si>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</si>
  <si>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</si>
  <si>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</si>
  <si>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</si>
  <si>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</si>
  <si>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</si>
  <si>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</si>
  <si>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</si>
  <si>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</si>
  <si>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</si>
  <si>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</si>
  <si>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</si>
  <si>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</si>
  <si>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</si>
  <si>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</si>
  <si>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</si>
  <si>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</si>
  <si>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</si>
  <si>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</si>
  <si>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</si>
  <si>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</si>
  <si>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</si>
  <si>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</si>
  <si>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</si>
  <si>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</si>
  <si>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</si>
  <si>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</si>
  <si>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</si>
  <si>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</si>
  <si>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</si>
  <si>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</si>
  <si>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</si>
  <si>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</si>
  <si>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</si>
  <si>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</si>
  <si>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</si>
  <si>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</si>
  <si>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</si>
  <si>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</si>
  <si>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</si>
  <si>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</si>
  <si>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</si>
  <si>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</si>
  <si>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</si>
  <si>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</si>
  <si>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</si>
  <si>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</si>
  <si>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</si>
  <si>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</si>
  <si>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</si>
  <si>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</si>
  <si>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</si>
  <si>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</si>
  <si>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</si>
  <si>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</si>
  <si>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</si>
  <si>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</si>
  <si>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</si>
  <si>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</si>
  <si>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</si>
  <si>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</si>
  <si>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</si>
  <si>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</si>
  <si>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</si>
  <si>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</si>
  <si>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</si>
  <si>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</si>
  <si>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</si>
  <si>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</si>
  <si>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</si>
  <si>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</si>
  <si>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</si>
  <si>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</si>
  <si>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</si>
  <si>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</si>
  <si>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</si>
  <si>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</si>
  <si>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</si>
  <si>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</si>
  <si>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</si>
  <si>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</si>
  <si>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</si>
  <si>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</si>
  <si>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</si>
  <si>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</si>
  <si>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</si>
  <si>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</si>
  <si>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</si>
  <si>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</si>
  <si>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</si>
  <si>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</si>
  <si>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</si>
  <si>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</si>
  <si>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</si>
  <si>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</si>
  <si>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</si>
  <si>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</si>
  <si>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</si>
  <si>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</si>
  <si>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</si>
  <si>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</si>
  <si>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</si>
  <si>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</si>
  <si>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</si>
  <si>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</si>
  <si>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</si>
  <si>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</si>
  <si>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</si>
  <si>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</si>
  <si>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</si>
  <si>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</si>
  <si>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</si>
  <si>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</si>
  <si>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</si>
  <si>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</si>
  <si>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</si>
  <si>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</si>
  <si>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</si>
  <si>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</si>
  <si>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</si>
  <si>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</si>
  <si>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</si>
  <si>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</si>
  <si>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</si>
  <si>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</si>
  <si>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</si>
  <si>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</si>
  <si>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</si>
  <si>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8%</t>
  </si>
  <si>
    <t>18%</t>
  </si>
  <si>
    <t>1.5%</t>
  </si>
  <si>
    <t>3%</t>
  </si>
  <si>
    <t>1%</t>
  </si>
  <si>
    <t>131</t>
  </si>
  <si>
    <t>2143</t>
  </si>
  <si>
    <t>2141</t>
  </si>
  <si>
    <t>641</t>
  </si>
  <si>
    <t>3341</t>
  </si>
  <si>
    <t>3383</t>
  </si>
  <si>
    <t>3384</t>
  </si>
  <si>
    <t>3386</t>
  </si>
  <si>
    <t>TP/X01</t>
  </si>
  <si>
    <t>TP/X02</t>
  </si>
  <si>
    <t>SAY D.S CO., LTD</t>
  </si>
  <si>
    <t>O.CHEON INDUSTRY CO.,LTD</t>
  </si>
  <si>
    <t>BIOVITAL COMPANY</t>
  </si>
  <si>
    <t>TOKAI DENPUN</t>
  </si>
  <si>
    <t>MARKOV K.A.</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</si>
  <si>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</si>
  <si>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</si>
  <si>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</si>
  <si>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</si>
  <si>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</si>
  <si>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</si>
  <si>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</si>
  <si>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</si>
  <si>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</si>
  <si>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</si>
  <si>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</si>
  <si>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</si>
  <si>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</si>
  <si>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</si>
  <si>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</si>
  <si>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</si>
  <si>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</si>
  <si>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</si>
  <si>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</si>
  <si>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</si>
  <si>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TM DV Bao Bì Giấy Tân Minh Thư</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</si>
  <si>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</si>
  <si>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</si>
  <si>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</si>
  <si>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</si>
  <si>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</si>
  <si>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</si>
  <si>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</si>
  <si>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</si>
  <si>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</si>
  <si>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</si>
  <si>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</si>
  <si>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</si>
  <si>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</si>
  <si>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</si>
  <si>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</si>
  <si>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</si>
  <si>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</si>
  <si>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</si>
  <si>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</si>
  <si>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</si>
  <si>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</si>
  <si>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</si>
  <si>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</si>
  <si>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</si>
  <si>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</si>
  <si>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</si>
  <si>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</si>
  <si>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</si>
  <si>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</si>
  <si>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</si>
  <si>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</si>
  <si>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</si>
  <si>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</si>
  <si>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</si>
  <si>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</si>
  <si>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</si>
  <si>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</si>
  <si>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</si>
  <si>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</si>
  <si>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</si>
  <si>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</si>
  <si>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</si>
  <si>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</si>
  <si>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</si>
  <si>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</si>
  <si>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</si>
  <si>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</si>
  <si>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</si>
  <si>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</si>
  <si>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</si>
  <si>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</si>
  <si>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</si>
  <si>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</si>
  <si>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</si>
  <si>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</si>
  <si>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</si>
  <si>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</si>
  <si>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</si>
  <si>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</si>
  <si>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</si>
  <si>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</si>
  <si>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</si>
  <si>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</si>
  <si>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</si>
  <si>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</si>
  <si>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</si>
  <si>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</si>
  <si>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</si>
  <si>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</si>
  <si>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</si>
  <si>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</si>
  <si>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</si>
  <si>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</si>
  <si>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</si>
  <si>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</si>
  <si>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</si>
  <si>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</si>
  <si>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</si>
  <si>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</si>
  <si>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</si>
  <si>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</si>
  <si>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</si>
  <si>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</si>
  <si>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</si>
  <si>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</si>
  <si>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</si>
  <si>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</si>
  <si>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</si>
  <si>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</si>
  <si>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</si>
  <si>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</si>
  <si>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</si>
  <si>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</si>
  <si>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</si>
  <si>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</si>
  <si>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</si>
  <si>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</si>
  <si>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</si>
  <si>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</si>
  <si>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</si>
  <si>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</si>
  <si>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</si>
  <si>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</si>
  <si>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</si>
  <si>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</si>
  <si>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</si>
  <si>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</si>
  <si>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</si>
  <si>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</si>
  <si>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</si>
  <si>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</si>
  <si>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</si>
  <si>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</si>
  <si>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</si>
  <si>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</si>
  <si>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</si>
  <si>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</si>
  <si>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</si>
  <si>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</si>
  <si>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</si>
  <si>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</si>
  <si>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</si>
  <si>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</si>
  <si>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</si>
  <si>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</si>
  <si>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</si>
  <si>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</si>
  <si>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</si>
  <si>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</si>
  <si>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</si>
  <si>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</si>
  <si>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</si>
  <si>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</si>
  <si>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</si>
  <si>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</si>
  <si>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</si>
  <si>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</si>
  <si>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</si>
  <si>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</si>
  <si>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</si>
  <si>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</si>
  <si>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</si>
  <si>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</si>
  <si>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</si>
  <si>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</si>
  <si>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</si>
  <si>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</si>
  <si>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</si>
  <si>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</si>
  <si>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</si>
  <si>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</si>
  <si>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</si>
  <si>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</si>
  <si>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</si>
  <si>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</si>
  <si>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</si>
  <si>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</si>
  <si>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</si>
  <si>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</si>
  <si>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</si>
  <si>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</si>
  <si>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</si>
  <si>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</si>
  <si>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</si>
  <si>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</si>
  <si>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</si>
  <si>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</si>
  <si>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</si>
  <si>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</si>
  <si>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</si>
  <si>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</si>
  <si>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</si>
  <si>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</si>
  <si>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</si>
  <si>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</si>
  <si>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</si>
  <si>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</si>
  <si>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</si>
  <si>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</si>
  <si>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</si>
  <si>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</si>
  <si>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</si>
  <si>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</si>
  <si>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</si>
  <si>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</si>
  <si>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</si>
  <si>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</si>
  <si>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</si>
  <si>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</si>
  <si>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</si>
  <si>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</si>
  <si>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</si>
  <si>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</si>
  <si>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</si>
  <si>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</si>
  <si>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</si>
  <si>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</si>
  <si>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</si>
  <si>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</si>
  <si>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</si>
  <si>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</si>
  <si>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</si>
  <si>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</si>
  <si>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</si>
  <si>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</si>
  <si>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</si>
  <si>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</si>
  <si>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</si>
  <si>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</si>
  <si>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</si>
  <si>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</si>
  <si>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</si>
  <si>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</si>
  <si>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</si>
  <si>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</si>
  <si>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</si>
  <si>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</si>
  <si>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</si>
  <si>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</si>
  <si>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</si>
  <si>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</si>
  <si>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</si>
  <si>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</si>
  <si>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</si>
  <si>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</si>
  <si>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</si>
  <si>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</si>
  <si>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</si>
  <si>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</si>
  <si>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</si>
  <si>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</si>
  <si>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</si>
  <si>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</si>
  <si>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</si>
  <si>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</si>
  <si>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</si>
  <si>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</si>
  <si>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</si>
  <si>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</si>
  <si>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</si>
  <si>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</si>
  <si>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</si>
  <si>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</si>
  <si>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</si>
  <si>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</si>
  <si>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</si>
  <si>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</si>
  <si>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</si>
  <si>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</si>
  <si>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</si>
  <si>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</si>
  <si>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</si>
  <si>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</si>
  <si>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</si>
  <si>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</si>
  <si>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</si>
  <si>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</si>
  <si>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</si>
  <si>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</si>
  <si>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</si>
  <si>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</si>
  <si>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</si>
  <si>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</si>
  <si>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</si>
  <si>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</si>
  <si>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</si>
  <si>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</si>
  <si>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</si>
  <si>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</si>
  <si>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</si>
  <si>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</si>
  <si>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</si>
  <si>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</si>
  <si>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</si>
  <si>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</si>
  <si>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</si>
  <si>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</si>
  <si>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</si>
  <si>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</si>
  <si>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</si>
  <si>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</si>
  <si>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</si>
  <si>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</si>
  <si>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</si>
  <si>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</si>
  <si>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</si>
  <si>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</si>
  <si>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</si>
  <si>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</si>
  <si>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</si>
  <si>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</si>
  <si>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</si>
  <si>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</si>
  <si>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</si>
  <si>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</si>
  <si>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</si>
  <si>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</si>
  <si>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</si>
  <si>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</si>
  <si>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</si>
  <si>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</si>
  <si>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</si>
  <si>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</si>
  <si>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</si>
  <si>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</si>
  <si>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</si>
  <si>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</si>
  <si>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</si>
  <si>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</si>
  <si>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</si>
  <si>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</si>
  <si>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</si>
  <si>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</si>
  <si>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</si>
  <si>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</si>
  <si>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</si>
  <si>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</si>
  <si>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</si>
  <si>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</si>
  <si>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</si>
  <si>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</si>
  <si>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</si>
  <si>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</si>
  <si>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</si>
  <si>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</si>
  <si>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</si>
  <si>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</si>
  <si>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</si>
  <si>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</si>
  <si>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</si>
  <si>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</si>
  <si>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</si>
  <si>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</si>
  <si>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</si>
  <si>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</si>
  <si>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</si>
  <si>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</si>
  <si>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</si>
  <si>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</si>
  <si>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</si>
  <si>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</si>
  <si>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</si>
  <si>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</si>
  <si>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</si>
  <si>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</si>
  <si>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</si>
  <si>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</si>
  <si>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</si>
  <si>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</si>
  <si>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</si>
  <si>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</si>
  <si>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</si>
  <si>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</si>
  <si>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</si>
  <si>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</si>
  <si>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</si>
  <si>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</si>
  <si>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</si>
  <si>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</si>
  <si>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</si>
  <si>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</si>
  <si>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</si>
  <si>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</si>
  <si>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</si>
  <si>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</si>
  <si>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</si>
  <si>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</si>
  <si>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</si>
  <si>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</si>
  <si>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</si>
  <si>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</si>
  <si>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</si>
  <si>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</si>
  <si>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</si>
  <si>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</si>
  <si>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</si>
  <si>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</si>
  <si>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</si>
  <si>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</si>
  <si>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</si>
  <si>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</si>
  <si>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</si>
  <si>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</si>
  <si>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</si>
  <si>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</si>
  <si>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</si>
  <si>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</si>
  <si>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</si>
  <si>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</si>
  <si>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</si>
  <si>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</si>
  <si>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</si>
  <si>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</si>
  <si>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</si>
  <si>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</si>
  <si>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</si>
  <si>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</si>
  <si>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</si>
  <si>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</si>
  <si>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</si>
  <si>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</si>
  <si>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</si>
  <si>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</si>
  <si>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</si>
  <si>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</si>
  <si>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</si>
  <si>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</si>
  <si>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</si>
  <si>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</si>
  <si>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</si>
  <si>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</si>
  <si>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</si>
  <si>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</si>
  <si>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</si>
  <si>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</si>
  <si>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</si>
  <si>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</si>
  <si>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</si>
  <si>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</si>
  <si>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</si>
  <si>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</si>
  <si>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</si>
  <si>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</si>
  <si>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</si>
  <si>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</si>
  <si>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</si>
  <si>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</si>
  <si>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</si>
  <si>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</si>
  <si>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</si>
  <si>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</si>
  <si>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</si>
  <si>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</si>
  <si>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</si>
  <si>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</si>
  <si>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</si>
  <si>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</si>
  <si>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</si>
  <si>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</si>
  <si>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</si>
  <si>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</si>
  <si>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</si>
  <si>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</si>
  <si>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</si>
  <si>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</si>
  <si>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</si>
  <si>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</si>
  <si>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</si>
  <si>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</si>
  <si>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</si>
  <si>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</si>
  <si>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</si>
  <si>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</si>
  <si>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</si>
  <si>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</si>
  <si>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</si>
  <si>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</si>
  <si>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</si>
  <si>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</si>
  <si>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</si>
  <si>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</si>
  <si>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</si>
  <si>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</si>
  <si>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</si>
  <si>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</si>
  <si>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</si>
  <si>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</si>
  <si>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</si>
  <si>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</si>
  <si>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</si>
  <si>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</si>
  <si>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</si>
  <si>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</si>
  <si>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</si>
  <si>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</si>
  <si>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</si>
  <si>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</si>
  <si>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TU02</t>
  </si>
  <si>
    <t>Phí NH Nước ngoài gỉam trừ</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</si>
  <si>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</si>
  <si>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</si>
  <si>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</si>
  <si>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</si>
  <si>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</si>
  <si>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</si>
  <si>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</si>
  <si>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</si>
  <si>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</si>
  <si>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</si>
  <si>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</si>
  <si>
    <t>0093367</t>
  </si>
  <si>
    <t xml:space="preserve">Tổng Công Ty CP Bưu Chính Viettel </t>
  </si>
  <si>
    <t>Nộp tiền mặt vào TK NH</t>
  </si>
  <si>
    <t>0271497</t>
  </si>
  <si>
    <t>Công Ty CP Vật Tư - Xăng Dầu (Comeco)</t>
  </si>
  <si>
    <t xml:space="preserve">Hũ ly trung </t>
  </si>
  <si>
    <t>0026323</t>
  </si>
  <si>
    <t xml:space="preserve">VAT Hũ ly trung </t>
  </si>
  <si>
    <t>Công Ty TNHH Nhựa Duy Tân</t>
  </si>
  <si>
    <t>Xăng 95</t>
  </si>
  <si>
    <t>0271625</t>
  </si>
  <si>
    <t>0271679</t>
  </si>
  <si>
    <t>0271761</t>
  </si>
  <si>
    <t>Thuốc diệt chuột</t>
  </si>
  <si>
    <t>0074034</t>
  </si>
  <si>
    <t>0271887</t>
  </si>
  <si>
    <t>Bình ắc quy</t>
  </si>
  <si>
    <t>VAT Bình ắc quy</t>
  </si>
  <si>
    <t>0001476</t>
  </si>
  <si>
    <t>Cty TNHH TM và DV Ắc Quy Vạn Phước Thịnh</t>
  </si>
  <si>
    <t>0271925</t>
  </si>
  <si>
    <t xml:space="preserve">VAT Phí thẩm định </t>
  </si>
  <si>
    <t>0001844</t>
  </si>
  <si>
    <t>Công Ty CP Thẩm Định Giám Định Cửu Long</t>
  </si>
  <si>
    <t>Phí sử dụng phần mềm CDS</t>
  </si>
  <si>
    <t>0000698</t>
  </si>
  <si>
    <t>Cty TNHH TM DV Công Nghệ Thông Tin G.O.L</t>
  </si>
  <si>
    <t>Bảo dưỡng xe 51A - 14174</t>
  </si>
  <si>
    <t>VAT Bảo dưỡng xe 51A - 14174</t>
  </si>
  <si>
    <t>0005236</t>
  </si>
  <si>
    <t>Công Ty CP TM Dịch Vụ Ngọc An</t>
  </si>
  <si>
    <t>Phí phát hành bill, điện giao hàng, xếp dỡ, niêm chì</t>
  </si>
  <si>
    <t>VAT Phí phát hành bill, điện giao hàng, xếp dỡ, niêm chì</t>
  </si>
  <si>
    <t>0000190</t>
  </si>
  <si>
    <t>Cty TNHH Giao Nhận Vận Chuyển Ánh Dương</t>
  </si>
  <si>
    <t>0000189</t>
  </si>
  <si>
    <t>0001435</t>
  </si>
  <si>
    <t>Sửa chữa xe 51F - 080.56</t>
  </si>
  <si>
    <t>VAT Sửa chữa xe 51F - 080.56</t>
  </si>
  <si>
    <t>0021134</t>
  </si>
  <si>
    <t>Cty TNHH Dịch Vụ Ôtô Sài Gòn Toyota Tshusho</t>
  </si>
  <si>
    <t>Rút tiền gửi NH nhập quỹ TM</t>
  </si>
  <si>
    <t>Tiền điện CSPK</t>
  </si>
  <si>
    <t>VAT Tiền điện CSPK</t>
  </si>
  <si>
    <t>0000023</t>
  </si>
  <si>
    <t>Cước VT - CNTT T2/2016</t>
  </si>
  <si>
    <t>0072259</t>
  </si>
  <si>
    <t>Kính trắng 5mm</t>
  </si>
  <si>
    <t>VAT Kính trắng 5mm</t>
  </si>
  <si>
    <t>0012556</t>
  </si>
  <si>
    <t>Cty TNHH TM - DV Thái Sơn</t>
  </si>
  <si>
    <t>0012613</t>
  </si>
  <si>
    <t xml:space="preserve">Nhôm thanh </t>
  </si>
  <si>
    <t xml:space="preserve">VAT Nhôm thanh </t>
  </si>
  <si>
    <t>0001348</t>
  </si>
  <si>
    <t>DNTN DV và TM Tiến Cường</t>
  </si>
  <si>
    <t>Nhôm thanh 265</t>
  </si>
  <si>
    <t>VAT Nhôm thanh 265</t>
  </si>
  <si>
    <t>0032037</t>
  </si>
  <si>
    <t>Cty TNHH MTV Thép Phú Xuân Việt</t>
  </si>
  <si>
    <t>0012787</t>
  </si>
  <si>
    <t>Tiền điện kỳ 1 T3/2016</t>
  </si>
  <si>
    <t>VAT Tiền điện kỳ 1 T3/2016</t>
  </si>
  <si>
    <t>Tiền điện kỳ 2 T3/2016</t>
  </si>
  <si>
    <t>VAT Tiền điện kỳ 2 T3/2016</t>
  </si>
  <si>
    <t>Tiền điện kỳ 3 T3/2016</t>
  </si>
  <si>
    <t>VAT Tiền điện kỳ 3 T3/2016</t>
  </si>
  <si>
    <t>Máy điều hoà không khí</t>
  </si>
  <si>
    <t>VAT Máy điều hoà không khí</t>
  </si>
  <si>
    <t>0001290</t>
  </si>
  <si>
    <t>Công Ty TNHH KoolMan Việt Nam</t>
  </si>
  <si>
    <t>Phí dịch vụ</t>
  </si>
  <si>
    <t>0001270</t>
  </si>
  <si>
    <t>0014133</t>
  </si>
  <si>
    <t xml:space="preserve">Phí thẩm định </t>
  </si>
  <si>
    <t>0000516</t>
  </si>
  <si>
    <t>VAT Băng keo</t>
  </si>
  <si>
    <t>Thanh toán tiền băng keo</t>
  </si>
  <si>
    <t>VAT Cước VT - CNTT T2/2016</t>
  </si>
  <si>
    <t>Cước CPN T1 + T2</t>
  </si>
  <si>
    <t>VAT Cước CPN T1 + T2</t>
  </si>
  <si>
    <t>0061885; 0121544</t>
  </si>
  <si>
    <t>Mua NT trả nợ vay</t>
  </si>
  <si>
    <t>KU 1015LDS201600429</t>
  </si>
  <si>
    <t>Vay NH</t>
  </si>
  <si>
    <t>KU 1015LDS201600434</t>
  </si>
  <si>
    <t>Trả gốc vay</t>
  </si>
  <si>
    <t>Bán NT chuyển TK VND</t>
  </si>
  <si>
    <t>Chênh lệch tỷ giá vay</t>
  </si>
  <si>
    <t>Chiết khấu LC</t>
  </si>
  <si>
    <t>Phí thông báo LC</t>
  </si>
  <si>
    <t>VAT Phí thông báo LC</t>
  </si>
  <si>
    <t>VAT Phí xử lý bộ chứng từ</t>
  </si>
  <si>
    <t>Bưu phí</t>
  </si>
  <si>
    <t>VAT Bưu phí</t>
  </si>
  <si>
    <t>Lãi vay</t>
  </si>
  <si>
    <t>Tiền hàng</t>
  </si>
  <si>
    <t>VAT Điện phí</t>
  </si>
  <si>
    <t>Phí chuyển tiền</t>
  </si>
  <si>
    <t>VAT Phí chuyển tiền</t>
  </si>
  <si>
    <t>Chuyển VNĐ</t>
  </si>
  <si>
    <t>Phí thông báo số dư 0903921945 VNĐ</t>
  </si>
  <si>
    <t>Phí thông báo số dư 0903921945 USD</t>
  </si>
  <si>
    <t>VAT Phí thông báo số dư</t>
  </si>
  <si>
    <t>Thanh toán tiền điện Kỳ 1 T2/16</t>
  </si>
  <si>
    <t>Nguyễn Thị Thanh Nga</t>
  </si>
  <si>
    <t>Trả lại lãi vay do trừ sai</t>
  </si>
  <si>
    <t>Nguyễn Tấn Hùng</t>
  </si>
  <si>
    <t>Thanh toán tiền điện Kỳ 3 T2/16</t>
  </si>
  <si>
    <t>Thanh toán phí kiểm nghiệm T11</t>
  </si>
  <si>
    <t>Thanh toán tiền điện Kỳ 1 T3/16</t>
  </si>
  <si>
    <t>Thanh toán tiền bao bì</t>
  </si>
  <si>
    <t>Nộp tiền BHXH</t>
  </si>
  <si>
    <t>Nộp tiền BHYT</t>
  </si>
  <si>
    <t>Nộp tiền BHTN</t>
  </si>
  <si>
    <t>Thanh toán tiền sorbitol</t>
  </si>
  <si>
    <t>Thanh toán tiền cước vận chuyển</t>
  </si>
  <si>
    <t>Hoàn vốn</t>
  </si>
  <si>
    <t>Cty TNHH Hải Sản An Lạc Trà Vinh</t>
  </si>
  <si>
    <t>Phạt nộp thuế do kê khai sai</t>
  </si>
  <si>
    <t>Cục Thuế Long An</t>
  </si>
  <si>
    <t>Phí thông báo số dư 0982911262 VNĐ</t>
  </si>
  <si>
    <t>Phí thông báo số dư 0982911262 USD</t>
  </si>
  <si>
    <t>Thanh toán tiền điện Kỳ 2 T3/16</t>
  </si>
  <si>
    <t>Thanh toán lương T3/2016</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</si>
  <si>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</si>
  <si>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</si>
  <si>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</si>
  <si>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</si>
  <si>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</si>
  <si>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</si>
  <si>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</si>
  <si>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</si>
  <si>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</si>
  <si>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</si>
  <si>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</si>
  <si>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</si>
  <si>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</si>
  <si>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</si>
  <si>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</si>
  <si>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</si>
  <si>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</si>
  <si>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</si>
  <si>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</si>
  <si>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</si>
  <si>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</si>
  <si>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</si>
  <si>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</si>
  <si>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</si>
  <si>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</si>
  <si>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</si>
  <si>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</si>
  <si>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</si>
  <si>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</si>
  <si>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</si>
  <si>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</si>
  <si>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</si>
  <si>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</si>
  <si>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</si>
  <si>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</si>
  <si>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</si>
  <si>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</si>
  <si>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</si>
  <si>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</si>
  <si>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</si>
  <si>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</si>
  <si>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</si>
  <si>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</si>
  <si>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</si>
  <si>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</si>
  <si>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</si>
  <si>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</si>
  <si>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</si>
  <si>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</si>
  <si>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</si>
  <si>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</si>
  <si>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</si>
  <si>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</si>
  <si>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</si>
  <si>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</si>
  <si>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</si>
  <si>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</si>
  <si>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</si>
  <si>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</si>
  <si>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</si>
  <si>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</si>
  <si>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</si>
  <si>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</si>
  <si>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</si>
  <si>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</si>
  <si>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</si>
  <si>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</si>
  <si>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</si>
  <si>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</si>
  <si>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</si>
  <si>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</si>
  <si>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</si>
  <si>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</si>
  <si>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</si>
  <si>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</si>
  <si>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</si>
  <si>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</si>
  <si>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</si>
  <si>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</si>
  <si>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</si>
  <si>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</si>
  <si>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</si>
  <si>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</si>
  <si>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</si>
  <si>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</si>
  <si>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</si>
  <si>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</si>
  <si>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</si>
  <si>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</si>
  <si>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</si>
  <si>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Trích khấu hao TSCĐ Vô hình</t>
  </si>
  <si>
    <t>Trích khấu hao TSCĐ Hữu hình</t>
  </si>
  <si>
    <t>SX 10/10</t>
  </si>
  <si>
    <t>VAT Phí DHL</t>
  </si>
  <si>
    <t>0001968</t>
  </si>
  <si>
    <t>Cty TNHH Chuyển Phát Nhanh DHL - VNPT</t>
  </si>
  <si>
    <t>0008924</t>
  </si>
  <si>
    <t>Phí dịch vụ bảo vệ T3/2015</t>
  </si>
  <si>
    <t>VAT Phí dịch vụ bảo vệ T3/2015</t>
  </si>
  <si>
    <t>0000540</t>
  </si>
  <si>
    <t>01/2011</t>
  </si>
  <si>
    <t xml:space="preserve">Lý do đình chỉ: </t>
  </si>
  <si>
    <t>Đình chỉ sử dụng TSCĐ  :</t>
  </si>
  <si>
    <t>Ngày  31   tháng  12  năm  2016</t>
  </si>
  <si>
    <t>Trần Minh Nghĩa</t>
  </si>
  <si>
    <t>Tiền lương BP Văn Phòng</t>
  </si>
  <si>
    <t>Tiền lương BP Phân Xưởng &amp; CN</t>
  </si>
  <si>
    <t>BHXH khấu trừ Văn Phòng</t>
  </si>
  <si>
    <t>BHXH khấu trừ BP Phân Xưởng &amp; CN</t>
  </si>
  <si>
    <t>BHXH phải trả cho Văn Phòng</t>
  </si>
  <si>
    <t>BHXH phải trả cho BP Phân Xưởng &amp; CN</t>
  </si>
  <si>
    <t>BHYT khấu trừ Văn Phòng</t>
  </si>
  <si>
    <t>BHYT khấu trừ BP Phân Xưởng &amp; CN</t>
  </si>
  <si>
    <t>BHYT phải trả cho Văn Phòng</t>
  </si>
  <si>
    <t>BHYT phải trả cho BP Phân Xưởng &amp; CN</t>
  </si>
  <si>
    <t>BHTN khấu trừ Văn Phòng</t>
  </si>
  <si>
    <t>BHTN khấu trừ BP Phân Xưởng &amp; CN</t>
  </si>
  <si>
    <t>BHTN phải trả cho Văn Phòng</t>
  </si>
  <si>
    <t>BHTN phải trả cho BP Phân Xưởng &amp; CN</t>
  </si>
  <si>
    <t>0358109</t>
  </si>
  <si>
    <t>0358160</t>
  </si>
  <si>
    <t>VAT Xăng 95</t>
  </si>
  <si>
    <t>0358223</t>
  </si>
  <si>
    <t>0358324</t>
  </si>
  <si>
    <t>0358362</t>
  </si>
  <si>
    <t>0358400</t>
  </si>
  <si>
    <t>0358457</t>
  </si>
  <si>
    <t>0001368</t>
  </si>
  <si>
    <t>0358526</t>
  </si>
  <si>
    <t>Chênh lệch tỷ giá tiền gửi NH - Quý I</t>
  </si>
  <si>
    <t>Hữu Hình</t>
  </si>
  <si>
    <t>0007329</t>
  </si>
  <si>
    <t>VAT Gas</t>
  </si>
  <si>
    <t>Thanh toán tiền gas</t>
  </si>
  <si>
    <t xml:space="preserve"> Chi phí bán hàng</t>
  </si>
  <si>
    <t>'Ghẹ khô tẩm TP</t>
  </si>
  <si>
    <t>Quyết định Số: 528/QĐ-CT (Giảm thuế TNDN)</t>
  </si>
  <si>
    <t>Cục Thuế Tỉnh Long An</t>
  </si>
  <si>
    <t>Phí giao thông</t>
  </si>
  <si>
    <t>VAT Phí giao thông</t>
  </si>
  <si>
    <t>Nguyễn Văn Bé Tư</t>
  </si>
  <si>
    <t>Cước CPN T3/2016</t>
  </si>
  <si>
    <t>VAT Cước CPN T3/2016</t>
  </si>
  <si>
    <t>0121736</t>
  </si>
  <si>
    <t>Công Ty CP Bưu Chính Viettel</t>
  </si>
  <si>
    <t>K/C lãi ( lỗ ) SXKD - Quý I</t>
  </si>
  <si>
    <t>K/C lãi ( lỗ ) SXKD - Quý II</t>
  </si>
  <si>
    <t>K/C lãi ( lỗ ) SXKD  - Quý III</t>
  </si>
  <si>
    <t>K/C lãi ( lỗ ) SXKD  - Quý IV</t>
  </si>
  <si>
    <t>300789167730</t>
  </si>
  <si>
    <t>MICHANG COMMERCIAL</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</si>
</sst>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5">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0"/>
      <color rgb="FFC00000"/>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4" fillId="0" borderId="0"/>
  </cellStyleXfs>
  <cellXfs count="1429">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2"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7"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7"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79" fillId="0" borderId="0" xfId="0" applyFont="1" applyAlignment="1">
      <alignment horizontal="center"/>
    </xf>
    <xf numFmtId="164" fontId="79"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80" fillId="0" borderId="0" xfId="77" applyFont="1" applyAlignment="1">
      <alignment horizontal="center" vertical="center"/>
    </xf>
    <xf numFmtId="0" fontId="82"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3"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4"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5"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6" fillId="0" borderId="0" xfId="54" applyNumberFormat="1" applyFont="1" applyAlignment="1">
      <alignment vertical="center" wrapText="1"/>
    </xf>
    <xf numFmtId="164" fontId="86"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3" fillId="0" borderId="0" xfId="98" applyFont="1" applyAlignment="1">
      <alignment vertical="center"/>
    </xf>
    <xf numFmtId="0" fontId="82" fillId="0" borderId="0" xfId="0" applyFont="1" applyAlignment="1">
      <alignment vertical="center"/>
    </xf>
    <xf numFmtId="0" fontId="87" fillId="0" borderId="0" xfId="0" applyFont="1" applyAlignment="1">
      <alignment vertical="center"/>
    </xf>
    <xf numFmtId="0" fontId="34" fillId="0" borderId="0" xfId="0" applyFont="1" applyAlignment="1">
      <alignment vertical="center"/>
    </xf>
    <xf numFmtId="0" fontId="86"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6"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6"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8" fillId="0" borderId="16" xfId="0" applyFont="1" applyFill="1" applyBorder="1" applyAlignment="1">
      <alignment vertical="center"/>
    </xf>
    <xf numFmtId="0" fontId="88" fillId="0" borderId="16" xfId="0" applyFont="1" applyFill="1" applyBorder="1" applyAlignment="1">
      <alignment horizontal="center" vertical="center"/>
    </xf>
    <xf numFmtId="164" fontId="88" fillId="0" borderId="16" xfId="29" applyNumberFormat="1" applyFont="1" applyFill="1" applyBorder="1" applyAlignment="1">
      <alignment vertical="center"/>
    </xf>
    <xf numFmtId="164" fontId="88" fillId="0" borderId="16" xfId="29" applyNumberFormat="1" applyFont="1" applyBorder="1" applyAlignment="1">
      <alignment vertical="center"/>
    </xf>
    <xf numFmtId="0" fontId="41"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7" fillId="0" borderId="0" xfId="80" applyFont="1" applyAlignment="1" applyProtection="1">
      <alignment horizontal="left" vertical="center"/>
      <protection hidden="1"/>
    </xf>
    <xf numFmtId="0" fontId="77"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2" fillId="0" borderId="0" xfId="100" applyFont="1" applyAlignment="1">
      <alignment vertical="center"/>
    </xf>
    <xf numFmtId="164" fontId="75" fillId="0" borderId="0" xfId="29" applyNumberFormat="1" applyFont="1" applyAlignment="1">
      <alignment vertical="center"/>
    </xf>
    <xf numFmtId="0" fontId="93"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79" fillId="0" borderId="0" xfId="100" applyFont="1" applyAlignment="1">
      <alignment horizontal="center" vertical="center"/>
    </xf>
    <xf numFmtId="43" fontId="75" fillId="0" borderId="0" xfId="29" applyFont="1" applyAlignment="1">
      <alignment vertical="center"/>
    </xf>
    <xf numFmtId="164" fontId="79" fillId="0" borderId="0" xfId="29" applyNumberFormat="1" applyFont="1" applyAlignment="1">
      <alignment horizontal="center" vertical="center"/>
    </xf>
    <xf numFmtId="174" fontId="75" fillId="0" borderId="0" xfId="100" applyNumberFormat="1"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5"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6" fillId="0" borderId="23" xfId="101" applyFont="1" applyFill="1" applyBorder="1"/>
    <xf numFmtId="175" fontId="96" fillId="0" borderId="23" xfId="29" applyNumberFormat="1" applyFont="1" applyBorder="1"/>
    <xf numFmtId="164" fontId="34" fillId="0" borderId="23" xfId="29" applyNumberFormat="1" applyFont="1" applyFill="1" applyBorder="1"/>
    <xf numFmtId="164" fontId="96" fillId="0" borderId="23" xfId="29" applyNumberFormat="1" applyFont="1" applyFill="1" applyBorder="1"/>
    <xf numFmtId="164" fontId="96" fillId="29" borderId="23" xfId="29" applyNumberFormat="1" applyFont="1" applyFill="1" applyBorder="1" applyAlignment="1">
      <alignment horizontal="right"/>
    </xf>
    <xf numFmtId="164" fontId="34" fillId="0" borderId="16" xfId="29" applyNumberFormat="1" applyFont="1" applyBorder="1"/>
    <xf numFmtId="164" fontId="96" fillId="0" borderId="23" xfId="29" applyNumberFormat="1" applyFont="1" applyBorder="1" applyAlignment="1"/>
    <xf numFmtId="43" fontId="96" fillId="0" borderId="23" xfId="29" applyFont="1" applyFill="1" applyBorder="1"/>
    <xf numFmtId="164" fontId="34" fillId="0" borderId="0" xfId="29" applyNumberFormat="1" applyFont="1" applyFill="1" applyBorder="1" applyAlignment="1">
      <alignment horizontal="left"/>
    </xf>
    <xf numFmtId="0" fontId="96"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1" xfId="29" applyNumberFormat="1" applyFont="1" applyBorder="1" applyAlignment="1">
      <alignment horizontal="left"/>
    </xf>
    <xf numFmtId="14" fontId="34" fillId="0" borderId="51" xfId="29" applyNumberFormat="1" applyFont="1" applyBorder="1" applyAlignment="1">
      <alignment horizontal="center"/>
    </xf>
    <xf numFmtId="164" fontId="34" fillId="0" borderId="51" xfId="29" applyNumberFormat="1" applyFont="1" applyBorder="1" applyAlignment="1">
      <alignment horizontal="center"/>
    </xf>
    <xf numFmtId="0" fontId="34" fillId="0" borderId="51"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6" fillId="0" borderId="19" xfId="101" applyFont="1" applyFill="1" applyBorder="1"/>
    <xf numFmtId="175" fontId="96" fillId="0" borderId="19" xfId="29" applyNumberFormat="1" applyFont="1" applyBorder="1"/>
    <xf numFmtId="164" fontId="96" fillId="0" borderId="19" xfId="29" applyNumberFormat="1" applyFont="1" applyFill="1" applyBorder="1"/>
    <xf numFmtId="164" fontId="96" fillId="29" borderId="19" xfId="29" applyNumberFormat="1" applyFont="1" applyFill="1" applyBorder="1" applyAlignment="1">
      <alignment horizontal="right"/>
    </xf>
    <xf numFmtId="164" fontId="96"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6" fillId="0" borderId="19" xfId="29" applyFont="1" applyFill="1" applyBorder="1"/>
    <xf numFmtId="0" fontId="34" fillId="0" borderId="52"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6"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3"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8" fillId="0" borderId="16" xfId="90" applyNumberFormat="1" applyFont="1" applyFill="1" applyBorder="1" applyAlignment="1">
      <alignment horizontal="center" vertical="center"/>
    </xf>
    <xf numFmtId="164" fontId="88" fillId="0" borderId="16" xfId="90" applyNumberFormat="1" applyFont="1" applyFill="1" applyBorder="1" applyAlignment="1">
      <alignment horizontal="left" vertical="center"/>
    </xf>
    <xf numFmtId="164" fontId="88" fillId="0" borderId="16" xfId="0" applyNumberFormat="1" applyFont="1" applyFill="1" applyBorder="1" applyAlignment="1">
      <alignment vertical="center"/>
    </xf>
    <xf numFmtId="14" fontId="95" fillId="0" borderId="16" xfId="54" applyNumberFormat="1" applyFont="1" applyFill="1" applyBorder="1" applyAlignment="1">
      <alignment horizontal="center" vertical="center"/>
    </xf>
    <xf numFmtId="164" fontId="95" fillId="0" borderId="16" xfId="54" applyNumberFormat="1" applyFont="1" applyFill="1" applyBorder="1" applyAlignment="1">
      <alignment horizontal="left" vertical="center"/>
    </xf>
    <xf numFmtId="164" fontId="95"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0" fontId="88" fillId="0" borderId="16" xfId="90" quotePrefix="1" applyNumberFormat="1" applyFont="1" applyFill="1" applyBorder="1" applyAlignment="1">
      <alignment horizontal="center" vertical="center"/>
    </xf>
    <xf numFmtId="1" fontId="95" fillId="0" borderId="16" xfId="54" quotePrefix="1" applyNumberFormat="1" applyFont="1" applyFill="1" applyBorder="1" applyAlignment="1">
      <alignment horizontal="center" vertical="center"/>
    </xf>
    <xf numFmtId="1" fontId="95" fillId="0" borderId="16" xfId="54" applyNumberFormat="1" applyFont="1" applyFill="1" applyBorder="1" applyAlignment="1">
      <alignment horizontal="center" vertical="center"/>
    </xf>
    <xf numFmtId="0" fontId="95" fillId="0" borderId="16" xfId="54" quotePrefix="1" applyNumberFormat="1" applyFont="1" applyFill="1" applyBorder="1" applyAlignment="1">
      <alignment horizontal="center" vertical="center"/>
    </xf>
    <xf numFmtId="164" fontId="97" fillId="0" borderId="16" xfId="0" applyNumberFormat="1" applyFont="1" applyFill="1" applyBorder="1" applyAlignment="1">
      <alignment vertical="center"/>
    </xf>
    <xf numFmtId="0" fontId="97" fillId="0" borderId="16" xfId="54"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8" fillId="0" borderId="16" xfId="76" applyNumberFormat="1" applyFont="1" applyFill="1" applyBorder="1" applyAlignment="1">
      <alignment horizontal="left" vertical="center"/>
    </xf>
    <xf numFmtId="164" fontId="88" fillId="0" borderId="16" xfId="29" applyNumberFormat="1" applyFont="1" applyFill="1" applyBorder="1" applyAlignment="1">
      <alignment horizontal="left" vertical="center"/>
    </xf>
    <xf numFmtId="43" fontId="88" fillId="0" borderId="16" xfId="29" applyFont="1" applyFill="1" applyBorder="1" applyAlignment="1">
      <alignment horizontal="left" vertical="center"/>
    </xf>
    <xf numFmtId="43" fontId="88" fillId="0" borderId="16" xfId="29" applyNumberFormat="1" applyFont="1" applyFill="1" applyBorder="1" applyAlignment="1">
      <alignment horizontal="left" vertical="center"/>
    </xf>
    <xf numFmtId="14" fontId="88"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8" fillId="0" borderId="16" xfId="0" quotePrefix="1" applyNumberFormat="1" applyFont="1" applyFill="1" applyBorder="1" applyAlignment="1">
      <alignment horizontal="left" vertical="center"/>
    </xf>
    <xf numFmtId="164" fontId="88" fillId="0" borderId="16" xfId="76" quotePrefix="1" applyNumberFormat="1" applyFont="1" applyFill="1" applyBorder="1" applyAlignment="1">
      <alignment horizontal="left" vertical="center"/>
    </xf>
    <xf numFmtId="164" fontId="95"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14" fontId="34" fillId="25" borderId="16" xfId="90" applyNumberFormat="1" applyFont="1" applyFill="1" applyBorder="1" applyAlignment="1">
      <alignment horizontal="center" vertical="center"/>
    </xf>
    <xf numFmtId="164" fontId="34" fillId="25" borderId="16" xfId="90" quotePrefix="1" applyNumberFormat="1" applyFont="1" applyFill="1" applyBorder="1" applyAlignment="1">
      <alignment horizontal="left" vertical="center"/>
    </xf>
    <xf numFmtId="164" fontId="34" fillId="25" borderId="16" xfId="76" quotePrefix="1" applyNumberFormat="1" applyFont="1" applyFill="1" applyBorder="1" applyAlignment="1">
      <alignment horizontal="left" vertical="center"/>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2"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49" fillId="0" borderId="16" xfId="77" applyNumberFormat="1" applyFont="1" applyFill="1" applyBorder="1" applyAlignment="1">
      <alignment horizontal="center" vertical="center"/>
    </xf>
    <xf numFmtId="164" fontId="49" fillId="0" borderId="16" xfId="90" quotePrefix="1" applyNumberFormat="1" applyFont="1" applyFill="1" applyBorder="1" applyAlignment="1">
      <alignment horizontal="left" vertic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91"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8" fillId="0" borderId="2" xfId="95" applyFont="1" applyBorder="1" applyAlignment="1">
      <alignment horizontal="center" vertical="center"/>
    </xf>
    <xf numFmtId="164" fontId="98" fillId="0" borderId="2" xfId="96" applyNumberFormat="1" applyFont="1" applyBorder="1" applyAlignment="1">
      <alignment horizontal="center" vertical="center"/>
    </xf>
    <xf numFmtId="0" fontId="98"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2" xfId="95" applyFont="1" applyBorder="1" applyAlignment="1">
      <alignment horizontal="center" vertical="center"/>
    </xf>
    <xf numFmtId="0" fontId="34" fillId="0" borderId="42" xfId="95" applyFont="1" applyBorder="1" applyAlignment="1">
      <alignment vertical="center"/>
    </xf>
    <xf numFmtId="164" fontId="34" fillId="0" borderId="42" xfId="95" applyNumberFormat="1" applyFont="1" applyBorder="1" applyAlignment="1">
      <alignment vertical="center"/>
    </xf>
    <xf numFmtId="164" fontId="34" fillId="0" borderId="42"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7"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6" fillId="0" borderId="0" xfId="96" applyNumberFormat="1" applyFont="1" applyBorder="1" applyAlignment="1">
      <alignment vertical="center"/>
    </xf>
    <xf numFmtId="0" fontId="77" fillId="0" borderId="0" xfId="95" applyFont="1" applyAlignment="1">
      <alignment vertical="center"/>
    </xf>
    <xf numFmtId="0" fontId="77" fillId="0" borderId="0" xfId="95" applyFont="1" applyAlignment="1">
      <alignment horizontal="center" vertical="center"/>
    </xf>
    <xf numFmtId="164" fontId="99" fillId="0" borderId="0" xfId="96" applyNumberFormat="1" applyFont="1" applyBorder="1" applyAlignment="1">
      <alignment vertical="center"/>
    </xf>
    <xf numFmtId="164" fontId="77"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8" fillId="0" borderId="16" xfId="95" applyFont="1" applyBorder="1" applyAlignment="1">
      <alignment horizontal="center" vertical="center"/>
    </xf>
    <xf numFmtId="0" fontId="34" fillId="0" borderId="16" xfId="95" applyFont="1" applyBorder="1" applyAlignment="1">
      <alignment horizontal="center" vertical="center"/>
    </xf>
    <xf numFmtId="0" fontId="98" fillId="0" borderId="21" xfId="95" applyFont="1" applyBorder="1" applyAlignment="1">
      <alignment horizontal="center" vertical="center"/>
    </xf>
    <xf numFmtId="0" fontId="98" fillId="0" borderId="21" xfId="95" applyFont="1" applyBorder="1" applyAlignment="1">
      <alignment horizontal="left" vertical="center"/>
    </xf>
    <xf numFmtId="0" fontId="98" fillId="0" borderId="16" xfId="95" applyFont="1" applyBorder="1" applyAlignment="1">
      <alignment horizontal="left" vertical="center"/>
    </xf>
    <xf numFmtId="49" fontId="34" fillId="0" borderId="42" xfId="46" applyNumberFormat="1" applyFont="1" applyFill="1" applyBorder="1" applyAlignment="1">
      <alignment vertical="center"/>
    </xf>
    <xf numFmtId="14" fontId="34" fillId="0" borderId="42" xfId="46" applyNumberFormat="1" applyFont="1" applyFill="1" applyBorder="1" applyAlignment="1">
      <alignment horizontal="center" vertical="center"/>
    </xf>
    <xf numFmtId="3" fontId="34" fillId="0" borderId="42" xfId="46" applyFont="1" applyFill="1" applyBorder="1" applyAlignment="1">
      <alignment vertical="center"/>
    </xf>
    <xf numFmtId="164" fontId="34" fillId="0" borderId="0" xfId="95" applyNumberFormat="1" applyFont="1" applyBorder="1" applyAlignment="1">
      <alignment vertical="center"/>
    </xf>
    <xf numFmtId="164" fontId="98"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8" fillId="0" borderId="16" xfId="29" applyNumberFormat="1" applyFont="1" applyBorder="1" applyAlignment="1">
      <alignment horizontal="center" vertical="center"/>
    </xf>
    <xf numFmtId="164" fontId="34" fillId="0" borderId="42"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2" xfId="95" applyNumberFormat="1" applyFont="1" applyBorder="1" applyAlignment="1">
      <alignment horizontal="center" vertical="center"/>
    </xf>
    <xf numFmtId="3" fontId="34" fillId="0" borderId="42"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7" fillId="0" borderId="0" xfId="95" applyFont="1" applyAlignment="1">
      <alignment horizontal="center" vertical="center"/>
    </xf>
    <xf numFmtId="0" fontId="86" fillId="0" borderId="0" xfId="95" applyFont="1" applyAlignment="1">
      <alignment vertical="center"/>
    </xf>
    <xf numFmtId="0" fontId="100" fillId="0" borderId="0" xfId="95" applyFont="1" applyAlignment="1">
      <alignment vertical="center"/>
    </xf>
    <xf numFmtId="0" fontId="85" fillId="0" borderId="0" xfId="95" applyFont="1" applyAlignment="1">
      <alignment vertical="center" wrapText="1"/>
    </xf>
    <xf numFmtId="0" fontId="101" fillId="0" borderId="0" xfId="95" applyFont="1" applyAlignment="1">
      <alignment vertical="center"/>
    </xf>
    <xf numFmtId="0" fontId="102"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2"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103" fillId="0" borderId="0" xfId="95" applyFont="1" applyAlignment="1">
      <alignment vertical="center"/>
    </xf>
    <xf numFmtId="0" fontId="92"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9" fillId="0" borderId="0" xfId="29" applyNumberFormat="1" applyFont="1" applyAlignment="1">
      <alignment vertical="center"/>
    </xf>
    <xf numFmtId="41" fontId="89"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60" fillId="0" borderId="0" xfId="95" applyFont="1" applyAlignment="1">
      <alignment horizontal="center" vertical="center"/>
    </xf>
    <xf numFmtId="164" fontId="60" fillId="0" borderId="0" xfId="96" applyNumberFormat="1" applyFont="1" applyAlignment="1">
      <alignment horizontal="center" vertical="center"/>
    </xf>
    <xf numFmtId="164" fontId="60"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60" fillId="0" borderId="0" xfId="0" applyFont="1" applyAlignment="1" applyProtection="1">
      <alignment horizontal="center"/>
      <protection hidden="1"/>
    </xf>
    <xf numFmtId="0" fontId="79" fillId="0" borderId="0" xfId="95" applyFont="1" applyAlignment="1">
      <alignment horizontal="center" vertical="center"/>
    </xf>
    <xf numFmtId="164" fontId="79" fillId="0" borderId="0" xfId="96" applyNumberFormat="1" applyFont="1" applyAlignment="1">
      <alignment horizontal="center" vertical="center"/>
    </xf>
    <xf numFmtId="49" fontId="48" fillId="0" borderId="16" xfId="90" applyNumberFormat="1" applyFont="1" applyFill="1" applyBorder="1" applyAlignment="1">
      <alignment horizontal="left" vertical="center"/>
    </xf>
    <xf numFmtId="0" fontId="49" fillId="0" borderId="16" xfId="90" quotePrefix="1" applyNumberFormat="1" applyFont="1" applyFill="1" applyBorder="1" applyAlignment="1">
      <alignment horizontal="center" vertical="center"/>
    </xf>
    <xf numFmtId="0" fontId="88" fillId="0" borderId="16" xfId="77" applyNumberFormat="1" applyFont="1" applyFill="1" applyBorder="1" applyAlignment="1">
      <alignment horizontal="center" vertical="center"/>
    </xf>
    <xf numFmtId="164" fontId="88" fillId="0" borderId="16" xfId="76" applyNumberFormat="1" applyFont="1" applyFill="1" applyBorder="1" applyAlignment="1">
      <alignment horizontal="left" vertical="center"/>
    </xf>
    <xf numFmtId="164" fontId="88" fillId="0" borderId="16" xfId="77" applyNumberFormat="1" applyFont="1" applyFill="1" applyBorder="1" applyAlignment="1">
      <alignment vertical="center"/>
    </xf>
    <xf numFmtId="0" fontId="88" fillId="0" borderId="16" xfId="76" quotePrefix="1" applyNumberFormat="1" applyFont="1" applyFill="1" applyBorder="1" applyAlignment="1">
      <alignment horizontal="center" vertical="center"/>
    </xf>
    <xf numFmtId="0" fontId="104" fillId="0" borderId="0" xfId="0" applyFont="1" applyFill="1"/>
    <xf numFmtId="0" fontId="77" fillId="0" borderId="0" xfId="95" applyFont="1" applyAlignment="1">
      <alignment horizontal="center" vertical="center"/>
    </xf>
    <xf numFmtId="14" fontId="49" fillId="0" borderId="16" xfId="90" applyNumberFormat="1" applyFont="1" applyFill="1" applyBorder="1" applyAlignment="1">
      <alignment horizontal="center" vertical="center"/>
    </xf>
    <xf numFmtId="0" fontId="36" fillId="27" borderId="31" xfId="87" applyFont="1" applyFill="1" applyBorder="1" applyAlignment="1" applyProtection="1">
      <alignment vertical="center"/>
      <protection locked="0" hidden="1"/>
    </xf>
    <xf numFmtId="0" fontId="92" fillId="0" borderId="0" xfId="100" applyFont="1" applyAlignment="1">
      <alignment vertical="center" wrapText="1"/>
    </xf>
    <xf numFmtId="0" fontId="75" fillId="0" borderId="0" xfId="100" applyFont="1" applyAlignment="1">
      <alignment vertical="center" wrapText="1"/>
    </xf>
    <xf numFmtId="0" fontId="42"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6" fillId="0" borderId="0" xfId="29" applyNumberFormat="1" applyFont="1" applyAlignment="1">
      <alignment vertical="center" wrapText="1"/>
    </xf>
    <xf numFmtId="164" fontId="75" fillId="0" borderId="0" xfId="100" applyNumberFormat="1" applyFont="1" applyAlignment="1">
      <alignment vertical="center" wrapText="1"/>
    </xf>
    <xf numFmtId="43" fontId="75" fillId="0" borderId="0" xfId="29" applyFont="1" applyAlignment="1">
      <alignment horizontal="center" vertical="center" wrapText="1"/>
    </xf>
    <xf numFmtId="0" fontId="0" fillId="0" borderId="0" xfId="0" applyAlignment="1">
      <alignment wrapText="1"/>
    </xf>
    <xf numFmtId="0" fontId="51" fillId="0" borderId="16" xfId="0" applyFont="1" applyFill="1" applyBorder="1" applyAlignment="1">
      <alignment horizontal="center"/>
    </xf>
    <xf numFmtId="0" fontId="51" fillId="0" borderId="16" xfId="77" applyNumberFormat="1" applyFont="1" applyFill="1" applyBorder="1" applyAlignment="1">
      <alignment horizontal="center" vertical="center"/>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left" vertical="center"/>
    </xf>
    <xf numFmtId="49" fontId="51" fillId="0" borderId="16" xfId="90" applyNumberFormat="1" applyFont="1" applyFill="1" applyBorder="1" applyAlignment="1">
      <alignment horizontal="left" vertical="center"/>
    </xf>
    <xf numFmtId="0" fontId="3" fillId="0" borderId="0" xfId="0" applyFont="1" applyFill="1" applyAlignment="1"/>
    <xf numFmtId="164" fontId="34" fillId="0" borderId="0" xfId="87" applyNumberFormat="1" applyFont="1" applyFill="1" applyAlignment="1">
      <alignment vertical="center"/>
    </xf>
    <xf numFmtId="164" fontId="51" fillId="0" borderId="16" xfId="76" quotePrefix="1" applyNumberFormat="1" applyFont="1" applyFill="1" applyBorder="1" applyAlignment="1">
      <alignment horizontal="lef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71"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88" fillId="0" borderId="16" xfId="0" applyFont="1" applyFill="1" applyBorder="1" applyAlignment="1">
      <alignment horizontal="center"/>
    </xf>
    <xf numFmtId="0" fontId="104" fillId="0" borderId="0" xfId="0" applyFont="1" applyFill="1" applyAlignment="1"/>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8"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2"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60"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9"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49" xfId="100" applyFont="1" applyBorder="1" applyAlignment="1">
      <alignment horizontal="center" vertical="center" wrapText="1"/>
    </xf>
    <xf numFmtId="0" fontId="46" fillId="0" borderId="50"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1"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9"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0" fontId="22" fillId="0" borderId="0" xfId="78" applyFont="1" applyAlignment="1">
      <alignment horizontal="center" vertical="center"/>
    </xf>
    <xf numFmtId="0" fontId="89" fillId="0" borderId="0" xfId="78" applyFont="1" applyAlignment="1">
      <alignment horizontal="center" vertical="center"/>
    </xf>
    <xf numFmtId="0" fontId="89" fillId="0" borderId="0" xfId="95" applyFont="1" applyAlignment="1">
      <alignment horizontal="center" vertical="center"/>
    </xf>
    <xf numFmtId="0" fontId="39" fillId="0" borderId="0" xfId="95" applyFont="1" applyAlignment="1">
      <alignment horizontal="center" vertical="center"/>
    </xf>
    <xf numFmtId="164" fontId="39" fillId="0" borderId="0" xfId="96" applyNumberFormat="1" applyFont="1" applyAlignment="1">
      <alignment horizontal="center" vertical="center"/>
    </xf>
    <xf numFmtId="0" fontId="77" fillId="0" borderId="0" xfId="95" applyFont="1" applyAlignment="1">
      <alignment horizontal="center" vertical="center"/>
    </xf>
    <xf numFmtId="164" fontId="77"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0" fontId="81"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201\Downloads\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User%201\Downloads\152%20-%20155%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6"/>
  <sheetViews>
    <sheetView tabSelected="1" topLeftCell="A8" workbookViewId="0">
      <pane xSplit="2" ySplit="2" topLeftCell="C28" activePane="bottomRight" state="frozen"/>
      <selection activeCell="D43" sqref="D43"/>
      <selection pane="topRight" activeCell="D43" sqref="D43"/>
      <selection pane="bottomLeft" activeCell="D43" sqref="D43"/>
      <selection pane="bottomRight" activeCell="J48" sqref="J48"/>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14912520000</v>
      </c>
      <c r="F10" s="43">
        <f t="array" ref="F10">SUM(IF(A10=KHC,TH))</f>
        <v>10835725519</v>
      </c>
      <c r="G10" s="44">
        <f>MAX(C10+E10-D10-F10,0)</f>
        <v>7781833576</v>
      </c>
      <c r="H10" s="44">
        <f>MAX(D10+F10-E10-C10,0)</f>
        <v>0</v>
      </c>
      <c r="K10" s="45"/>
      <c r="L10" s="45"/>
    </row>
    <row r="11" spans="1:12" s="32" customFormat="1">
      <c r="A11" s="46" t="s">
        <v>18</v>
      </c>
      <c r="B11" s="47" t="s">
        <v>65</v>
      </c>
      <c r="C11" s="48">
        <v>3705039095</v>
      </c>
      <c r="D11" s="48">
        <v>0</v>
      </c>
      <c r="E11" s="48">
        <f>E10</f>
        <v>14912520000</v>
      </c>
      <c r="F11" s="48">
        <f>F10</f>
        <v>10835725519</v>
      </c>
      <c r="G11" s="48">
        <f>G10</f>
        <v>7781833576</v>
      </c>
      <c r="H11" s="48">
        <f>H10</f>
        <v>0</v>
      </c>
    </row>
    <row r="12" spans="1:12" s="32" customFormat="1">
      <c r="A12" s="49" t="s">
        <v>26</v>
      </c>
      <c r="B12" s="42" t="s">
        <v>66</v>
      </c>
      <c r="C12" s="43">
        <v>19829295</v>
      </c>
      <c r="D12" s="43">
        <v>0</v>
      </c>
      <c r="E12" s="43">
        <f t="array" ref="E12">SUM(IF(A12=KHN,TH))</f>
        <v>22761618394</v>
      </c>
      <c r="F12" s="43">
        <f t="array" ref="F12">SUM(IF(A12=KHC,TH))</f>
        <v>22763903150</v>
      </c>
      <c r="G12" s="44">
        <f>MAX(C12+E12-D12-F12,0)</f>
        <v>17544539</v>
      </c>
      <c r="H12" s="44">
        <f>MAX(D12+F12-E12-C12,0)</f>
        <v>0</v>
      </c>
      <c r="K12" s="45"/>
      <c r="L12" s="45"/>
    </row>
    <row r="13" spans="1:12" s="32" customFormat="1">
      <c r="A13" s="49" t="s">
        <v>267</v>
      </c>
      <c r="B13" s="42" t="s">
        <v>268</v>
      </c>
      <c r="C13" s="43">
        <v>2236796790</v>
      </c>
      <c r="D13" s="43">
        <v>0</v>
      </c>
      <c r="E13" s="43">
        <f t="array" ref="E13">SUM(IF(A13=KHN,TH))</f>
        <v>20792122400.400002</v>
      </c>
      <c r="F13" s="43">
        <f t="array" ref="F13">SUM(IF(A13=KHC,TH))</f>
        <v>22919862752</v>
      </c>
      <c r="G13" s="44">
        <f>MAX(C13+E13-D13-F13,0)</f>
        <v>109056438.40000153</v>
      </c>
      <c r="H13" s="44">
        <f>MAX(D13+F13-E13-C13,0)</f>
        <v>0</v>
      </c>
      <c r="K13" s="45"/>
      <c r="L13" s="45"/>
    </row>
    <row r="14" spans="1:12" s="32" customFormat="1">
      <c r="A14" s="46" t="s">
        <v>67</v>
      </c>
      <c r="B14" s="47" t="s">
        <v>68</v>
      </c>
      <c r="C14" s="48">
        <v>2256626085</v>
      </c>
      <c r="D14" s="48">
        <v>0</v>
      </c>
      <c r="E14" s="48">
        <f t="shared" ref="E14:H14" si="0">E12+E13</f>
        <v>43553740794.400002</v>
      </c>
      <c r="F14" s="48">
        <f t="shared" si="0"/>
        <v>45683765902</v>
      </c>
      <c r="G14" s="48">
        <f t="shared" si="0"/>
        <v>126600977.40000153</v>
      </c>
      <c r="H14" s="48">
        <f t="shared" si="0"/>
        <v>0</v>
      </c>
    </row>
    <row r="15" spans="1:12" s="32" customFormat="1">
      <c r="A15" s="46" t="s">
        <v>591</v>
      </c>
      <c r="B15" s="47" t="s">
        <v>878</v>
      </c>
      <c r="C15" s="48">
        <v>3343381600</v>
      </c>
      <c r="D15" s="48">
        <v>0</v>
      </c>
      <c r="E15" s="87">
        <f t="array" ref="E15">SUM(IF(A15=KHN,TH))</f>
        <v>9052358025</v>
      </c>
      <c r="F15" s="87">
        <f t="array" ref="F15">SUM(IF(A15=KHC,TH))</f>
        <v>7468525982</v>
      </c>
      <c r="G15" s="48">
        <f>MAX(C15+E15-D15-F15,0)</f>
        <v>4927213643</v>
      </c>
      <c r="H15" s="48">
        <f>MAX(D15+F15-E15-C15,0)</f>
        <v>0</v>
      </c>
    </row>
    <row r="16" spans="1:12" s="32" customFormat="1">
      <c r="A16" s="49" t="s">
        <v>9</v>
      </c>
      <c r="B16" s="42" t="s">
        <v>69</v>
      </c>
      <c r="C16" s="43">
        <v>162420936</v>
      </c>
      <c r="D16" s="43">
        <v>0</v>
      </c>
      <c r="E16" s="43">
        <f t="array" ref="E16">SUM(IF(A16=KHN,TH))</f>
        <v>98328489</v>
      </c>
      <c r="F16" s="43">
        <f t="array" ref="F16">SUM(IF(A16=KHC,TH))</f>
        <v>0</v>
      </c>
      <c r="G16" s="44">
        <f>MAX(C16+E16-D16-F16,0)</f>
        <v>260749425</v>
      </c>
      <c r="H16" s="44">
        <f>MAX(D16+F16-E16-C16,0)</f>
        <v>0</v>
      </c>
    </row>
    <row r="17" spans="1:8" s="32" customFormat="1">
      <c r="A17" s="46" t="s">
        <v>70</v>
      </c>
      <c r="B17" s="47" t="s">
        <v>71</v>
      </c>
      <c r="C17" s="48">
        <v>162420936</v>
      </c>
      <c r="D17" s="48">
        <v>0</v>
      </c>
      <c r="E17" s="48">
        <f>E16</f>
        <v>98328489</v>
      </c>
      <c r="F17" s="48">
        <f>F16</f>
        <v>0</v>
      </c>
      <c r="G17" s="48">
        <f>G16</f>
        <v>260749425</v>
      </c>
      <c r="H17" s="48">
        <f>H16</f>
        <v>0</v>
      </c>
    </row>
    <row r="18" spans="1:8" s="32" customFormat="1">
      <c r="A18" s="49" t="s">
        <v>72</v>
      </c>
      <c r="B18" s="42" t="s">
        <v>73</v>
      </c>
      <c r="C18" s="43">
        <v>1500000000</v>
      </c>
      <c r="D18" s="43">
        <v>0</v>
      </c>
      <c r="E18" s="43">
        <f t="array" ref="E18">SUM(IF(A18=KHN,TH))</f>
        <v>5000000</v>
      </c>
      <c r="F18" s="43">
        <f t="array" ref="F18">SUM(IF(A18=KHC,TH))</f>
        <v>160000000</v>
      </c>
      <c r="G18" s="44">
        <f t="shared" ref="G18:G41" si="1">MAX(C18+E18-D18-F18,0)</f>
        <v>1345000000</v>
      </c>
      <c r="H18" s="44">
        <f t="shared" ref="H18:H41" si="2">MAX(D18+F18-E18-C18,0)</f>
        <v>0</v>
      </c>
    </row>
    <row r="19" spans="1:8" s="32" customFormat="1">
      <c r="A19" s="46" t="s">
        <v>74</v>
      </c>
      <c r="B19" s="47" t="s">
        <v>75</v>
      </c>
      <c r="C19" s="48">
        <v>1500000000</v>
      </c>
      <c r="D19" s="48">
        <v>0</v>
      </c>
      <c r="E19" s="48">
        <f>E18</f>
        <v>5000000</v>
      </c>
      <c r="F19" s="48">
        <f>F18</f>
        <v>160000000</v>
      </c>
      <c r="G19" s="48">
        <f t="shared" si="1"/>
        <v>1345000000</v>
      </c>
      <c r="H19" s="48">
        <f t="shared" si="2"/>
        <v>0</v>
      </c>
    </row>
    <row r="20" spans="1:8" s="32" customFormat="1">
      <c r="A20" s="46" t="s">
        <v>273</v>
      </c>
      <c r="B20" s="47" t="s">
        <v>274</v>
      </c>
      <c r="C20" s="48"/>
      <c r="D20" s="48">
        <v>0</v>
      </c>
      <c r="E20" s="87">
        <f t="array" ref="E20">SUM(IF(A20=KHN,TH))</f>
        <v>3700000000</v>
      </c>
      <c r="F20" s="87">
        <f t="array" ref="F20">SUM(IF(A20=KHC,TH))</f>
        <v>3656600000</v>
      </c>
      <c r="G20" s="48">
        <f t="shared" si="1"/>
        <v>43400000</v>
      </c>
      <c r="H20" s="48">
        <f t="shared" si="2"/>
        <v>0</v>
      </c>
    </row>
    <row r="21" spans="1:8" s="32" customFormat="1">
      <c r="A21" s="49" t="s">
        <v>275</v>
      </c>
      <c r="B21" s="42" t="s">
        <v>276</v>
      </c>
      <c r="C21" s="43">
        <v>2772400000</v>
      </c>
      <c r="D21" s="43">
        <v>0</v>
      </c>
      <c r="E21" s="43">
        <f t="array" ref="E21">SUM(IF(A21=KHN,TH))</f>
        <v>3656600000</v>
      </c>
      <c r="F21" s="43">
        <f t="array" ref="F21">SUM(IF(A21=KHC,TH))</f>
        <v>6429000000</v>
      </c>
      <c r="G21" s="44">
        <f t="shared" si="1"/>
        <v>0</v>
      </c>
      <c r="H21" s="44">
        <f t="shared" si="2"/>
        <v>0</v>
      </c>
    </row>
    <row r="22" spans="1:8" s="32" customFormat="1">
      <c r="A22" s="49" t="s">
        <v>277</v>
      </c>
      <c r="B22" s="42" t="s">
        <v>278</v>
      </c>
      <c r="C22" s="43">
        <v>526519887</v>
      </c>
      <c r="D22" s="43">
        <v>0</v>
      </c>
      <c r="E22" s="43">
        <f t="array" ref="E22">SUM(IF(A22=KHN,TH))</f>
        <v>265545578</v>
      </c>
      <c r="F22" s="43">
        <f t="array" ref="F22">SUM(IF(A22=KHC,TH))</f>
        <v>228252002</v>
      </c>
      <c r="G22" s="43">
        <f t="shared" si="1"/>
        <v>563813463</v>
      </c>
      <c r="H22" s="43">
        <f t="shared" si="2"/>
        <v>0</v>
      </c>
    </row>
    <row r="23" spans="1:8" s="32" customFormat="1">
      <c r="A23" s="46" t="s">
        <v>279</v>
      </c>
      <c r="B23" s="47" t="s">
        <v>280</v>
      </c>
      <c r="C23" s="48">
        <f t="shared" ref="C23:D23" si="3">C21+C22</f>
        <v>3298919887</v>
      </c>
      <c r="D23" s="48">
        <f t="shared" si="3"/>
        <v>0</v>
      </c>
      <c r="E23" s="48">
        <f>E21+E22</f>
        <v>3922145578</v>
      </c>
      <c r="F23" s="48">
        <f>F21+F22</f>
        <v>6657252002</v>
      </c>
      <c r="G23" s="48">
        <f t="shared" si="1"/>
        <v>563813463</v>
      </c>
      <c r="H23" s="48">
        <f t="shared" si="2"/>
        <v>0</v>
      </c>
    </row>
    <row r="24" spans="1:8" s="32" customFormat="1">
      <c r="A24" s="46" t="s">
        <v>281</v>
      </c>
      <c r="B24" s="47" t="s">
        <v>282</v>
      </c>
      <c r="C24" s="48"/>
      <c r="D24" s="48">
        <v>0</v>
      </c>
      <c r="E24" s="87">
        <f t="array" ref="E24">SUM(IF(A24=KHN,TH))</f>
        <v>0</v>
      </c>
      <c r="F24" s="87">
        <f t="array" ref="F24">SUM(IF(A24=KHC,TH))</f>
        <v>0</v>
      </c>
      <c r="G24" s="48">
        <f t="shared" si="1"/>
        <v>0</v>
      </c>
      <c r="H24" s="48">
        <f t="shared" si="2"/>
        <v>0</v>
      </c>
    </row>
    <row r="25" spans="1:8" s="32" customFormat="1">
      <c r="A25" s="46" t="s">
        <v>283</v>
      </c>
      <c r="B25" s="47" t="s">
        <v>284</v>
      </c>
      <c r="C25" s="48"/>
      <c r="D25" s="48">
        <v>0</v>
      </c>
      <c r="E25" s="87">
        <f t="array" ref="E25">SUM(IF(A25=KHN,TH))</f>
        <v>8885096235</v>
      </c>
      <c r="F25" s="87">
        <f t="array" ref="F25">SUM(IF(A25=KHC,TH))</f>
        <v>8885096235</v>
      </c>
      <c r="G25" s="48">
        <f t="shared" si="1"/>
        <v>0</v>
      </c>
      <c r="H25" s="48">
        <f t="shared" si="2"/>
        <v>0</v>
      </c>
    </row>
    <row r="26" spans="1:8" s="32" customFormat="1">
      <c r="A26" s="46" t="s">
        <v>285</v>
      </c>
      <c r="B26" s="47" t="s">
        <v>286</v>
      </c>
      <c r="C26" s="48">
        <v>9386323824</v>
      </c>
      <c r="D26" s="48">
        <v>0</v>
      </c>
      <c r="E26" s="87">
        <f t="array" ref="E26">SUM(IF(A26=KHN,TH))</f>
        <v>8885096235</v>
      </c>
      <c r="F26" s="87">
        <f t="array" ref="F26">SUM(IF(A26=KHC,TH))</f>
        <v>7995679088</v>
      </c>
      <c r="G26" s="48">
        <f t="shared" si="1"/>
        <v>10275740971</v>
      </c>
      <c r="H26" s="48">
        <f t="shared" si="2"/>
        <v>0</v>
      </c>
    </row>
    <row r="27" spans="1:8" s="32" customFormat="1">
      <c r="A27" s="460" t="s">
        <v>287</v>
      </c>
      <c r="B27" s="461" t="s">
        <v>288</v>
      </c>
      <c r="C27" s="462">
        <v>7490743648</v>
      </c>
      <c r="D27" s="462">
        <v>0</v>
      </c>
      <c r="E27" s="43">
        <f t="array" ref="E27">SUM(IF(A27=KHN,TH))</f>
        <v>0</v>
      </c>
      <c r="F27" s="43">
        <f t="array" ref="F27">SUM(IF(A27=KHC,TH))</f>
        <v>0</v>
      </c>
      <c r="G27" s="462">
        <f t="shared" si="1"/>
        <v>7490743648</v>
      </c>
      <c r="H27" s="462">
        <f t="shared" si="2"/>
        <v>0</v>
      </c>
    </row>
    <row r="28" spans="1:8" s="32" customFormat="1">
      <c r="A28" s="463" t="s">
        <v>289</v>
      </c>
      <c r="B28" s="464" t="s">
        <v>290</v>
      </c>
      <c r="C28" s="465">
        <v>3807898863</v>
      </c>
      <c r="D28" s="465">
        <v>0</v>
      </c>
      <c r="E28" s="43">
        <f t="array" ref="E28">SUM(IF(A28=KHN,TH))</f>
        <v>0</v>
      </c>
      <c r="F28" s="43">
        <f t="array" ref="F28">SUM(IF(A28=KHC,TH))</f>
        <v>0</v>
      </c>
      <c r="G28" s="465">
        <f t="shared" si="1"/>
        <v>3807898863</v>
      </c>
      <c r="H28" s="465">
        <f t="shared" si="2"/>
        <v>0</v>
      </c>
    </row>
    <row r="29" spans="1:8" s="32" customFormat="1">
      <c r="A29" s="463" t="s">
        <v>291</v>
      </c>
      <c r="B29" s="464" t="s">
        <v>292</v>
      </c>
      <c r="C29" s="465">
        <v>3790918485</v>
      </c>
      <c r="D29" s="465">
        <v>0</v>
      </c>
      <c r="E29" s="43">
        <f t="array" ref="E29">SUM(IF(A29=KHN,TH))</f>
        <v>0</v>
      </c>
      <c r="F29" s="43">
        <f t="array" ref="F29">SUM(IF(A29=KHC,TH))</f>
        <v>0</v>
      </c>
      <c r="G29" s="465">
        <f t="shared" si="1"/>
        <v>3790918485</v>
      </c>
      <c r="H29" s="465">
        <f t="shared" si="2"/>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63" t="s">
        <v>870</v>
      </c>
      <c r="B31" s="464" t="s">
        <v>871</v>
      </c>
      <c r="C31" s="465">
        <v>5405781300</v>
      </c>
      <c r="D31" s="465">
        <v>0</v>
      </c>
      <c r="E31" s="43">
        <f t="array" ref="E31">SUM(IF(A31=KHN,TH))</f>
        <v>0</v>
      </c>
      <c r="F31" s="43">
        <f t="array" ref="F31">SUM(IF(A31=KHC,TH))</f>
        <v>0</v>
      </c>
      <c r="G31" s="465">
        <f>MAX(C31+E31-D31-F31,0)</f>
        <v>5405781300</v>
      </c>
      <c r="H31" s="465">
        <f>MAX(D31+F31-E31-C31,0)</f>
        <v>0</v>
      </c>
    </row>
    <row r="32" spans="1:8" s="32" customFormat="1">
      <c r="A32" s="50" t="s">
        <v>872</v>
      </c>
      <c r="B32" s="47" t="s">
        <v>873</v>
      </c>
      <c r="C32" s="48">
        <f t="shared" ref="C32:H32" si="4">C31</f>
        <v>5405781300</v>
      </c>
      <c r="D32" s="48">
        <f t="shared" si="4"/>
        <v>0</v>
      </c>
      <c r="E32" s="48">
        <f t="shared" si="4"/>
        <v>0</v>
      </c>
      <c r="F32" s="48">
        <f t="shared" si="4"/>
        <v>0</v>
      </c>
      <c r="G32" s="48">
        <f t="shared" si="4"/>
        <v>5405781300</v>
      </c>
      <c r="H32" s="48">
        <f t="shared" si="4"/>
        <v>0</v>
      </c>
    </row>
    <row r="33" spans="1:8" s="32" customFormat="1">
      <c r="A33" s="49" t="s">
        <v>593</v>
      </c>
      <c r="B33" s="42" t="s">
        <v>874</v>
      </c>
      <c r="C33" s="43">
        <v>0</v>
      </c>
      <c r="D33" s="43">
        <v>9132359256</v>
      </c>
      <c r="E33" s="43">
        <f t="array" ref="E33">SUM(IF(A33=KHN,TH))</f>
        <v>0</v>
      </c>
      <c r="F33" s="43">
        <f t="array" ref="F33">SUM(IF(A33=KHC,TH))</f>
        <v>152397909</v>
      </c>
      <c r="G33" s="43">
        <f>MAX(C33+E33-D33-F33,0)</f>
        <v>0</v>
      </c>
      <c r="H33" s="43">
        <f>MAX(D33+F33-E33-C33,0)</f>
        <v>9284757165</v>
      </c>
    </row>
    <row r="34" spans="1:8" s="32" customFormat="1">
      <c r="A34" s="41" t="s">
        <v>592</v>
      </c>
      <c r="B34" s="42" t="s">
        <v>875</v>
      </c>
      <c r="C34" s="43">
        <v>0</v>
      </c>
      <c r="D34" s="43">
        <v>600642360</v>
      </c>
      <c r="E34" s="43">
        <f t="array" ref="E34">SUM(IF(A34=KHN,TH))</f>
        <v>0</v>
      </c>
      <c r="F34" s="43">
        <f t="array" ref="F34">SUM(IF(A34=KHC,TH))</f>
        <v>30032118</v>
      </c>
      <c r="G34" s="43">
        <f>MAX(C34+E34-D34-F34,0)</f>
        <v>0</v>
      </c>
      <c r="H34" s="43">
        <f>MAX(D34+F34-E34-C34,0)</f>
        <v>630674478</v>
      </c>
    </row>
    <row r="35" spans="1:8" s="32" customFormat="1" ht="12.75" customHeight="1">
      <c r="A35" s="46" t="s">
        <v>876</v>
      </c>
      <c r="B35" s="47" t="s">
        <v>877</v>
      </c>
      <c r="C35" s="48">
        <f t="shared" ref="C35:D35" si="5">C33+C34</f>
        <v>0</v>
      </c>
      <c r="D35" s="48">
        <f t="shared" si="5"/>
        <v>9733001616</v>
      </c>
      <c r="E35" s="48">
        <f>E33+E34</f>
        <v>0</v>
      </c>
      <c r="F35" s="48">
        <f>F33+F34</f>
        <v>182430027</v>
      </c>
      <c r="G35" s="48">
        <f>G33+G34</f>
        <v>0</v>
      </c>
      <c r="H35" s="48">
        <f>H33+H34</f>
        <v>9915431643</v>
      </c>
    </row>
    <row r="36" spans="1:8" s="32" customFormat="1">
      <c r="A36" s="41" t="s">
        <v>162</v>
      </c>
      <c r="B36" s="42" t="s">
        <v>163</v>
      </c>
      <c r="C36" s="43"/>
      <c r="D36" s="43">
        <v>0</v>
      </c>
      <c r="E36" s="43">
        <f t="array" ref="E36">SUM(IF(A36=KHN,TH))</f>
        <v>279617893</v>
      </c>
      <c r="F36" s="43">
        <f t="array" ref="F36">SUM(IF(A36=KHC,TH))</f>
        <v>0</v>
      </c>
      <c r="G36" s="44">
        <f t="shared" si="1"/>
        <v>279617893</v>
      </c>
      <c r="H36" s="44">
        <f t="shared" si="2"/>
        <v>0</v>
      </c>
    </row>
    <row r="37" spans="1:8" s="32" customFormat="1">
      <c r="A37" s="50" t="s">
        <v>227</v>
      </c>
      <c r="B37" s="47" t="s">
        <v>164</v>
      </c>
      <c r="C37" s="48"/>
      <c r="D37" s="48">
        <v>0</v>
      </c>
      <c r="E37" s="48">
        <f>E36</f>
        <v>279617893</v>
      </c>
      <c r="F37" s="48">
        <f>F36</f>
        <v>0</v>
      </c>
      <c r="G37" s="48">
        <f t="shared" si="1"/>
        <v>279617893</v>
      </c>
      <c r="H37" s="48">
        <f t="shared" si="2"/>
        <v>0</v>
      </c>
    </row>
    <row r="38" spans="1:8" s="32" customFormat="1">
      <c r="A38" s="46" t="s">
        <v>8</v>
      </c>
      <c r="B38" s="47" t="s">
        <v>76</v>
      </c>
      <c r="C38" s="48">
        <v>0</v>
      </c>
      <c r="D38" s="48">
        <v>476953252</v>
      </c>
      <c r="E38" s="87">
        <f t="array" ref="E38">SUM(IF(A38=KHN,TH))</f>
        <v>4437292135</v>
      </c>
      <c r="F38" s="87">
        <f t="array" ref="F38">SUM(IF(A38=KHC,TH))</f>
        <v>4456782533</v>
      </c>
      <c r="G38" s="48">
        <f t="shared" si="1"/>
        <v>0</v>
      </c>
      <c r="H38" s="48">
        <f t="shared" si="2"/>
        <v>496443650</v>
      </c>
    </row>
    <row r="39" spans="1:8" s="32" customFormat="1">
      <c r="A39" s="49" t="s">
        <v>77</v>
      </c>
      <c r="B39" s="42" t="s">
        <v>78</v>
      </c>
      <c r="C39" s="43">
        <v>0</v>
      </c>
      <c r="D39" s="43">
        <v>3313435</v>
      </c>
      <c r="E39" s="43">
        <f t="array" ref="E39">SUM(IF(A39=KHN,TH))</f>
        <v>13069999</v>
      </c>
      <c r="F39" s="43">
        <f t="array" ref="F39">SUM(IF(A39=KHC,TH))</f>
        <v>0</v>
      </c>
      <c r="G39" s="43">
        <f t="shared" si="1"/>
        <v>9756564</v>
      </c>
      <c r="H39" s="43">
        <f t="shared" si="2"/>
        <v>0</v>
      </c>
    </row>
    <row r="40" spans="1:8" s="32" customFormat="1">
      <c r="A40" s="49" t="s">
        <v>867</v>
      </c>
      <c r="B40" s="42" t="s">
        <v>868</v>
      </c>
      <c r="C40" s="43">
        <v>3389804</v>
      </c>
      <c r="D40" s="43">
        <v>0</v>
      </c>
      <c r="E40" s="43">
        <f t="array" ref="E40">SUM(IF(A40=KHN,TH))</f>
        <v>0</v>
      </c>
      <c r="F40" s="43">
        <f t="array" ref="F40">SUM(IF(A40=KHC,TH))</f>
        <v>0</v>
      </c>
      <c r="G40" s="43">
        <f t="shared" si="1"/>
        <v>3389804</v>
      </c>
      <c r="H40" s="43">
        <f t="shared" si="2"/>
        <v>0</v>
      </c>
    </row>
    <row r="41" spans="1:8" s="32" customFormat="1">
      <c r="A41" s="52" t="s">
        <v>79</v>
      </c>
      <c r="B41" s="53" t="s">
        <v>80</v>
      </c>
      <c r="C41" s="51">
        <v>0</v>
      </c>
      <c r="D41" s="51">
        <v>0</v>
      </c>
      <c r="E41" s="51">
        <f t="array" ref="E41">SUM(IF(A41=KHN,TH))</f>
        <v>2000000</v>
      </c>
      <c r="F41" s="51">
        <f t="array" ref="F41">SUM(IF(A41=KHC,TH))</f>
        <v>2000000</v>
      </c>
      <c r="G41" s="51">
        <f t="shared" si="1"/>
        <v>0</v>
      </c>
      <c r="H41" s="51">
        <f t="shared" si="2"/>
        <v>0</v>
      </c>
    </row>
    <row r="42" spans="1:8" s="32" customFormat="1">
      <c r="A42" s="49" t="s">
        <v>20</v>
      </c>
      <c r="B42" s="42" t="s">
        <v>81</v>
      </c>
      <c r="C42" s="43">
        <v>0</v>
      </c>
      <c r="D42" s="43">
        <v>0</v>
      </c>
      <c r="E42" s="43">
        <f>E41</f>
        <v>2000000</v>
      </c>
      <c r="F42" s="43">
        <f>F41</f>
        <v>2000000</v>
      </c>
      <c r="G42" s="43">
        <f>G41</f>
        <v>0</v>
      </c>
      <c r="H42" s="43">
        <f>H41</f>
        <v>0</v>
      </c>
    </row>
    <row r="43" spans="1:8" s="32" customFormat="1">
      <c r="A43" s="46" t="s">
        <v>82</v>
      </c>
      <c r="B43" s="47" t="s">
        <v>83</v>
      </c>
      <c r="C43" s="48">
        <f t="shared" ref="C43:D43" si="6">C39+C42+C40</f>
        <v>3389804</v>
      </c>
      <c r="D43" s="48">
        <f t="shared" si="6"/>
        <v>3313435</v>
      </c>
      <c r="E43" s="48">
        <f>E39+E42+E40</f>
        <v>15069999</v>
      </c>
      <c r="F43" s="48">
        <f t="shared" ref="F43:H43" si="7">F39+F42+F40</f>
        <v>2000000</v>
      </c>
      <c r="G43" s="48">
        <f t="shared" si="7"/>
        <v>13146368</v>
      </c>
      <c r="H43" s="48">
        <f t="shared" si="7"/>
        <v>0</v>
      </c>
    </row>
    <row r="44" spans="1:8" s="32" customFormat="1">
      <c r="A44" s="49" t="s">
        <v>595</v>
      </c>
      <c r="B44" s="42" t="s">
        <v>864</v>
      </c>
      <c r="C44" s="43">
        <v>0</v>
      </c>
      <c r="D44" s="43">
        <v>0</v>
      </c>
      <c r="E44" s="43">
        <f t="array" ref="E44">SUM(IF(A44=KHN,TH))</f>
        <v>441646246</v>
      </c>
      <c r="F44" s="43">
        <f t="array" ref="F44">SUM(IF(A44=KHC,TH))</f>
        <v>441646246</v>
      </c>
      <c r="G44" s="43">
        <f t="shared" ref="G44:G45" si="8">MAX(C44+E44-D44-F44,0)</f>
        <v>0</v>
      </c>
      <c r="H44" s="43">
        <f t="shared" ref="H44:H45" si="9">MAX(D44+F44-E44-C44,0)</f>
        <v>0</v>
      </c>
    </row>
    <row r="45" spans="1:8" s="32" customFormat="1">
      <c r="A45" s="46" t="s">
        <v>865</v>
      </c>
      <c r="B45" s="47" t="s">
        <v>866</v>
      </c>
      <c r="C45" s="48">
        <v>0</v>
      </c>
      <c r="D45" s="48">
        <v>0</v>
      </c>
      <c r="E45" s="48">
        <f>E44</f>
        <v>441646246</v>
      </c>
      <c r="F45" s="48">
        <f>F44</f>
        <v>441646246</v>
      </c>
      <c r="G45" s="48">
        <f t="shared" si="8"/>
        <v>0</v>
      </c>
      <c r="H45" s="48">
        <f t="shared" si="9"/>
        <v>0</v>
      </c>
    </row>
    <row r="46" spans="1:8" s="32" customFormat="1" ht="12.75" customHeight="1">
      <c r="A46" s="41" t="s">
        <v>596</v>
      </c>
      <c r="B46" s="42" t="s">
        <v>861</v>
      </c>
      <c r="C46" s="43">
        <v>0</v>
      </c>
      <c r="D46" s="43">
        <v>40272309</v>
      </c>
      <c r="E46" s="43">
        <f t="array" ref="E46">SUM(IF(A46=KHN,TH))</f>
        <v>72666115</v>
      </c>
      <c r="F46" s="43">
        <f t="array" ref="F46">SUM(IF(A46=KHC,TH))</f>
        <v>114535720</v>
      </c>
      <c r="G46" s="43">
        <f t="shared" ref="G46:G48" si="10">MAX(C46+E46-D46-F46,0)</f>
        <v>0</v>
      </c>
      <c r="H46" s="43">
        <f t="shared" ref="H46:H48" si="11">MAX(D46+F46-E46-C46,0)</f>
        <v>82141914</v>
      </c>
    </row>
    <row r="47" spans="1:8" s="32" customFormat="1">
      <c r="A47" s="49" t="s">
        <v>597</v>
      </c>
      <c r="B47" s="42" t="s">
        <v>862</v>
      </c>
      <c r="C47" s="43">
        <v>0</v>
      </c>
      <c r="D47" s="43">
        <v>6403142</v>
      </c>
      <c r="E47" s="43">
        <f t="array" ref="E47">SUM(IF(A47=KHN,TH))</f>
        <v>19101465</v>
      </c>
      <c r="F47" s="43">
        <f t="array" ref="F47">SUM(IF(A47=KHC,TH))</f>
        <v>19823490</v>
      </c>
      <c r="G47" s="43">
        <f t="shared" si="10"/>
        <v>0</v>
      </c>
      <c r="H47" s="43">
        <f t="shared" si="11"/>
        <v>7125167</v>
      </c>
    </row>
    <row r="48" spans="1:8" s="32" customFormat="1">
      <c r="A48" s="41" t="s">
        <v>598</v>
      </c>
      <c r="B48" s="42" t="s">
        <v>863</v>
      </c>
      <c r="C48" s="43">
        <v>0</v>
      </c>
      <c r="D48" s="43">
        <v>2761373</v>
      </c>
      <c r="E48" s="43">
        <f t="array" ref="E48">SUM(IF(A48=KHN,TH))</f>
        <v>8232420</v>
      </c>
      <c r="F48" s="43">
        <f t="array" ref="F48">SUM(IF(A48=KHC,TH))</f>
        <v>8810440</v>
      </c>
      <c r="G48" s="43">
        <f t="shared" si="10"/>
        <v>0</v>
      </c>
      <c r="H48" s="43">
        <f t="shared" si="11"/>
        <v>3339393</v>
      </c>
    </row>
    <row r="49" spans="1:9" s="32" customFormat="1">
      <c r="A49" s="49" t="s">
        <v>19</v>
      </c>
      <c r="B49" s="42" t="s">
        <v>84</v>
      </c>
      <c r="C49" s="43">
        <v>0</v>
      </c>
      <c r="D49" s="43">
        <v>0</v>
      </c>
      <c r="E49" s="43">
        <f t="array" ref="E49">SUM(IF(A49=KHN,TH))</f>
        <v>60629476</v>
      </c>
      <c r="F49" s="43">
        <f t="array" ref="F49">SUM(IF(A49=KHC,TH))</f>
        <v>60629476</v>
      </c>
      <c r="G49" s="43">
        <f>MAX(C49+E49-D49-F49,0)</f>
        <v>0</v>
      </c>
      <c r="H49" s="43">
        <f>MAX(D49+F49-E49-C49,0)</f>
        <v>0</v>
      </c>
    </row>
    <row r="50" spans="1:9" s="32" customFormat="1">
      <c r="A50" s="46" t="s">
        <v>85</v>
      </c>
      <c r="B50" s="47" t="s">
        <v>86</v>
      </c>
      <c r="C50" s="48">
        <f t="shared" ref="C50" si="12">SUM(C46:C49)</f>
        <v>0</v>
      </c>
      <c r="D50" s="48">
        <f t="shared" ref="D50" si="13">SUM(D46:D49)</f>
        <v>49436824</v>
      </c>
      <c r="E50" s="48">
        <f t="shared" ref="E50:H50" si="14">SUM(E46:E49)</f>
        <v>160629476</v>
      </c>
      <c r="F50" s="48">
        <f t="shared" si="14"/>
        <v>203799126</v>
      </c>
      <c r="G50" s="48">
        <f t="shared" si="14"/>
        <v>0</v>
      </c>
      <c r="H50" s="48">
        <f t="shared" si="14"/>
        <v>92606474</v>
      </c>
    </row>
    <row r="51" spans="1:9" s="32" customFormat="1">
      <c r="A51" s="41" t="s">
        <v>87</v>
      </c>
      <c r="B51" s="42" t="s">
        <v>262</v>
      </c>
      <c r="C51" s="44">
        <v>0</v>
      </c>
      <c r="D51" s="44">
        <v>2169121879</v>
      </c>
      <c r="E51" s="44">
        <f t="array" ref="E51">SUM(IF(A51=KHN,TH))</f>
        <v>0</v>
      </c>
      <c r="F51" s="44">
        <f t="array" ref="F51">SUM(IF(A51=KHC,TH))</f>
        <v>0</v>
      </c>
      <c r="G51" s="44">
        <f>MAX(C51+E51-D51-F51,0)</f>
        <v>0</v>
      </c>
      <c r="H51" s="44">
        <f>MAX(D51+F51-E51-C51,0)</f>
        <v>2169121879</v>
      </c>
    </row>
    <row r="52" spans="1:9" s="32" customFormat="1">
      <c r="A52" s="41" t="s">
        <v>261</v>
      </c>
      <c r="B52" s="42" t="s">
        <v>263</v>
      </c>
      <c r="C52" s="43">
        <v>0</v>
      </c>
      <c r="D52" s="43">
        <v>21202920500</v>
      </c>
      <c r="E52" s="43">
        <f t="array" ref="E52">SUM(IF(A52=KHN,TH))</f>
        <v>7211867000</v>
      </c>
      <c r="F52" s="43">
        <f t="array" ref="F52">SUM(IF(A52=KHC,TH))</f>
        <v>7239964000</v>
      </c>
      <c r="G52" s="43">
        <f>MAX(C52+E52-D52-F52,0)</f>
        <v>0</v>
      </c>
      <c r="H52" s="43">
        <f>MAX(D52+F52-E52-C52,0)</f>
        <v>21231017500</v>
      </c>
    </row>
    <row r="53" spans="1:9" s="32" customFormat="1">
      <c r="A53" s="50" t="s">
        <v>42</v>
      </c>
      <c r="B53" s="47" t="s">
        <v>88</v>
      </c>
      <c r="C53" s="48">
        <f t="shared" ref="C53:H53" si="15">SUM(C51:C52)</f>
        <v>0</v>
      </c>
      <c r="D53" s="48">
        <f t="shared" si="15"/>
        <v>23372042379</v>
      </c>
      <c r="E53" s="48">
        <f t="shared" si="15"/>
        <v>7211867000</v>
      </c>
      <c r="F53" s="48">
        <f t="shared" si="15"/>
        <v>7239964000</v>
      </c>
      <c r="G53" s="48">
        <f t="shared" si="15"/>
        <v>0</v>
      </c>
      <c r="H53" s="48">
        <f t="shared" si="15"/>
        <v>23400139379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2520000</v>
      </c>
      <c r="F56" s="43">
        <f t="array" ref="F56">SUM(IF(A56=KHC,TH))</f>
        <v>43230883.000000477</v>
      </c>
      <c r="G56" s="44">
        <f>MAX(C56+E56-D56-F56,0)</f>
        <v>0</v>
      </c>
      <c r="H56" s="44">
        <f>MAX(D56+F56-E56-C56,0)</f>
        <v>527246020.00000048</v>
      </c>
    </row>
    <row r="57" spans="1:9" s="32" customFormat="1">
      <c r="A57" s="49" t="s">
        <v>94</v>
      </c>
      <c r="B57" s="42" t="s">
        <v>95</v>
      </c>
      <c r="C57" s="43"/>
      <c r="D57" s="43">
        <v>30160884.000000477</v>
      </c>
      <c r="E57" s="43">
        <f t="array" ref="E57">SUM(IF(A57=TH!$N$10:$N$944,TH!$M$10:$M$944))</f>
        <v>53029437.599999905</v>
      </c>
      <c r="F57" s="43">
        <f t="array" ref="F57">SUM(IF(A57=TH!$O$10:$O$944,TH!$M$10:$M$944))</f>
        <v>0</v>
      </c>
      <c r="G57" s="43">
        <f>MAX(C57+E57-D57-F57,0)</f>
        <v>22868553.599999428</v>
      </c>
      <c r="H57" s="43">
        <f>MAX(D57+F57-E57-C57,0)</f>
        <v>0</v>
      </c>
    </row>
    <row r="58" spans="1:9" s="32" customFormat="1">
      <c r="A58" s="46" t="s">
        <v>96</v>
      </c>
      <c r="B58" s="47" t="s">
        <v>97</v>
      </c>
      <c r="C58" s="48"/>
      <c r="D58" s="48">
        <v>516696021.00000048</v>
      </c>
      <c r="E58" s="48">
        <f>E57+E56</f>
        <v>55549437.599999905</v>
      </c>
      <c r="F58" s="48">
        <f>F57+F56</f>
        <v>43230883.000000477</v>
      </c>
      <c r="G58" s="48">
        <f>G57+G56</f>
        <v>22868553.599999428</v>
      </c>
      <c r="H58" s="48">
        <f>H57+H56</f>
        <v>527246020.00000048</v>
      </c>
    </row>
    <row r="59" spans="1:9" s="32" customFormat="1" ht="12.75" customHeight="1">
      <c r="A59" s="466" t="s">
        <v>297</v>
      </c>
      <c r="B59" s="467" t="s">
        <v>298</v>
      </c>
      <c r="C59" s="468"/>
      <c r="D59" s="468"/>
      <c r="E59" s="469">
        <f t="array" ref="E59">SUM(IF(A59=KHN,TH))</f>
        <v>0</v>
      </c>
      <c r="F59" s="469">
        <f t="array" ref="F59">SUM(IF(A59=KHC,TH))</f>
        <v>0</v>
      </c>
      <c r="G59" s="468"/>
      <c r="H59" s="468"/>
      <c r="I59" s="32">
        <f>E59-F59</f>
        <v>0</v>
      </c>
    </row>
    <row r="60" spans="1:9" s="32" customFormat="1">
      <c r="A60" s="466" t="s">
        <v>299</v>
      </c>
      <c r="B60" s="467" t="s">
        <v>300</v>
      </c>
      <c r="C60" s="468"/>
      <c r="D60" s="468"/>
      <c r="E60" s="469">
        <f t="array" ref="E60">SUM(IF(A60=KHN,TH))</f>
        <v>9048264225</v>
      </c>
      <c r="F60" s="469">
        <f t="array" ref="F60">SUM(IF(A60=KHC,TH))</f>
        <v>9048264225</v>
      </c>
      <c r="G60" s="468"/>
      <c r="H60" s="468"/>
      <c r="I60" s="32">
        <f>E60-F60</f>
        <v>0</v>
      </c>
    </row>
    <row r="61" spans="1:9" s="32" customFormat="1">
      <c r="A61" s="41" t="s">
        <v>301</v>
      </c>
      <c r="B61" s="42" t="s">
        <v>302</v>
      </c>
      <c r="C61" s="43"/>
      <c r="D61" s="43"/>
      <c r="E61" s="43">
        <f>E59+E60</f>
        <v>9048264225</v>
      </c>
      <c r="F61" s="43">
        <f>F59+F60</f>
        <v>9048264225</v>
      </c>
      <c r="G61" s="43"/>
      <c r="H61" s="43"/>
      <c r="I61" s="32">
        <f>E61-F61</f>
        <v>0</v>
      </c>
    </row>
    <row r="62" spans="1:9" s="32" customFormat="1">
      <c r="A62" s="46" t="s">
        <v>303</v>
      </c>
      <c r="B62" s="47" t="s">
        <v>304</v>
      </c>
      <c r="C62" s="48"/>
      <c r="D62" s="48"/>
      <c r="E62" s="48">
        <f>E61</f>
        <v>9048264225</v>
      </c>
      <c r="F62" s="48">
        <f>F61</f>
        <v>9048264225</v>
      </c>
      <c r="G62" s="48"/>
      <c r="H62" s="48"/>
      <c r="I62" s="32">
        <f>E62-F62</f>
        <v>0</v>
      </c>
    </row>
    <row r="63" spans="1:9" s="32" customFormat="1">
      <c r="A63" s="46" t="s">
        <v>43</v>
      </c>
      <c r="B63" s="47" t="s">
        <v>98</v>
      </c>
      <c r="C63" s="48"/>
      <c r="D63" s="48"/>
      <c r="E63" s="87">
        <f t="array" ref="E63">SUM(IF(A63=KHN,TH))</f>
        <v>48713808.400000855</v>
      </c>
      <c r="F63" s="87">
        <f t="array" ref="F63">SUM(IF(A63=KHC,TH))</f>
        <v>48713808.400000855</v>
      </c>
      <c r="G63" s="48"/>
      <c r="H63" s="48"/>
      <c r="I63" s="32">
        <f t="shared" ref="I63:I71" si="16">E63-F63</f>
        <v>0</v>
      </c>
    </row>
    <row r="64" spans="1:9" s="32" customFormat="1" ht="12.75" customHeight="1">
      <c r="A64" s="46" t="s">
        <v>295</v>
      </c>
      <c r="B64" s="47" t="s">
        <v>296</v>
      </c>
      <c r="C64" s="48"/>
      <c r="D64" s="48"/>
      <c r="E64" s="87">
        <f t="array" ref="E64">SUM(IF(A64=KHN,TH))</f>
        <v>6558871568</v>
      </c>
      <c r="F64" s="87">
        <f t="array" ref="F64">SUM(IF(A64=KHC,TH))</f>
        <v>6558871568</v>
      </c>
      <c r="G64" s="48"/>
      <c r="H64" s="48"/>
      <c r="I64" s="32">
        <f t="shared" si="16"/>
        <v>0</v>
      </c>
    </row>
    <row r="65" spans="1:9" s="32" customFormat="1" ht="12.75" customHeight="1">
      <c r="A65" s="46" t="s">
        <v>99</v>
      </c>
      <c r="B65" s="47" t="s">
        <v>100</v>
      </c>
      <c r="C65" s="48"/>
      <c r="D65" s="48"/>
      <c r="E65" s="87">
        <f t="array" ref="E65">SUM(IF(A65=KHN,TH))</f>
        <v>344187201</v>
      </c>
      <c r="F65" s="87">
        <f t="array" ref="F65">SUM(IF(A65=KHC,TH))</f>
        <v>344187201</v>
      </c>
      <c r="G65" s="48"/>
      <c r="H65" s="48"/>
      <c r="I65" s="32">
        <f t="shared" si="16"/>
        <v>0</v>
      </c>
    </row>
    <row r="66" spans="1:9" s="32" customFormat="1" ht="12.75" customHeight="1">
      <c r="A66" s="50" t="s">
        <v>594</v>
      </c>
      <c r="B66" s="47" t="s">
        <v>1376</v>
      </c>
      <c r="C66" s="48"/>
      <c r="D66" s="48"/>
      <c r="E66" s="87">
        <f t="array" ref="E66">SUM(IF(A66=KHN,TH))</f>
        <v>252694398</v>
      </c>
      <c r="F66" s="87">
        <f t="array" ref="F66">SUM(IF(A66=KHC,TH))</f>
        <v>252694398</v>
      </c>
      <c r="G66" s="48"/>
      <c r="H66" s="48"/>
      <c r="I66" s="32">
        <f t="shared" ref="I66" si="17">E66-F66</f>
        <v>0</v>
      </c>
    </row>
    <row r="67" spans="1:9" s="32" customFormat="1" ht="12.75" customHeight="1">
      <c r="A67" s="46" t="s">
        <v>101</v>
      </c>
      <c r="B67" s="47" t="s">
        <v>102</v>
      </c>
      <c r="C67" s="48"/>
      <c r="D67" s="48"/>
      <c r="E67" s="87">
        <f t="array" ref="E67">SUM(IF(A67=KHN,TH))</f>
        <v>260633420</v>
      </c>
      <c r="F67" s="87">
        <f t="array" ref="F67">SUM(IF(A67=KHC,TH))</f>
        <v>260633420</v>
      </c>
      <c r="G67" s="48"/>
      <c r="H67" s="48"/>
      <c r="I67" s="32">
        <f t="shared" si="16"/>
        <v>0</v>
      </c>
    </row>
    <row r="68" spans="1:9" s="32" customFormat="1" ht="12.75" customHeight="1">
      <c r="A68" s="50" t="s">
        <v>103</v>
      </c>
      <c r="B68" s="47" t="s">
        <v>104</v>
      </c>
      <c r="C68" s="48"/>
      <c r="D68" s="48"/>
      <c r="E68" s="87">
        <f t="array" ref="E68">SUM(IF(A68=KHN,TH))</f>
        <v>0</v>
      </c>
      <c r="F68" s="87">
        <f t="array" ref="F68">SUM(IF(A68=KHC,TH))</f>
        <v>0</v>
      </c>
      <c r="G68" s="48"/>
      <c r="H68" s="48"/>
      <c r="I68" s="32">
        <f t="shared" si="16"/>
        <v>0</v>
      </c>
    </row>
    <row r="69" spans="1:9" s="32" customFormat="1" ht="12.75" customHeight="1">
      <c r="A69" s="46" t="s">
        <v>105</v>
      </c>
      <c r="B69" s="47" t="s">
        <v>106</v>
      </c>
      <c r="C69" s="48"/>
      <c r="D69" s="48"/>
      <c r="E69" s="87">
        <f t="array" ref="E69">SUM(IF(A69=KHN,TH))</f>
        <v>0</v>
      </c>
      <c r="F69" s="87">
        <f t="array" ref="F69">SUM(IF(A69=KHC,TH))</f>
        <v>0</v>
      </c>
      <c r="G69" s="48"/>
      <c r="H69" s="48"/>
      <c r="I69" s="32">
        <f t="shared" si="16"/>
        <v>0</v>
      </c>
    </row>
    <row r="70" spans="1:9" s="32" customFormat="1" ht="12.75" customHeight="1">
      <c r="A70" s="50" t="s">
        <v>107</v>
      </c>
      <c r="B70" s="47" t="s">
        <v>108</v>
      </c>
      <c r="C70" s="48"/>
      <c r="D70" s="48"/>
      <c r="E70" s="87">
        <f t="array" ref="E70">SUM(IF(A70=KHN,TH))</f>
        <v>0</v>
      </c>
      <c r="F70" s="87">
        <f t="array" ref="F70">SUM(IF(A70=KHC,TH))</f>
        <v>0</v>
      </c>
      <c r="G70" s="48"/>
      <c r="H70" s="48"/>
      <c r="I70" s="32">
        <f t="shared" si="16"/>
        <v>0</v>
      </c>
    </row>
    <row r="71" spans="1:9" s="32" customFormat="1">
      <c r="A71" s="46" t="s">
        <v>109</v>
      </c>
      <c r="B71" s="47" t="s">
        <v>110</v>
      </c>
      <c r="C71" s="48"/>
      <c r="D71" s="48"/>
      <c r="E71" s="88">
        <f t="array" ref="E71">SUM(IF(A71=KHN,TH))</f>
        <v>7416386587</v>
      </c>
      <c r="F71" s="88">
        <f t="array" ref="F71">SUM(IF(A71=TH!$O$10:$O$944,TH!$M$10:$M$944))</f>
        <v>9119846587</v>
      </c>
      <c r="G71" s="48"/>
      <c r="H71" s="48"/>
      <c r="I71" s="32">
        <f t="shared" si="16"/>
        <v>-1703460000</v>
      </c>
    </row>
    <row r="72" spans="1:9" s="32" customFormat="1">
      <c r="A72" s="54" t="s">
        <v>111</v>
      </c>
      <c r="B72" s="54"/>
      <c r="C72" s="54">
        <f>C11+C14+C15+C17+C19+C20+C23+C24+C25+C26+C30+C32+C35+C37+C38+C43+C45+C50+C53+C55+C58+C62+C63+C64+C65+C67+C68+C69+C70+C71+C66</f>
        <v>44151443527</v>
      </c>
      <c r="D72" s="54">
        <f t="shared" ref="D72:H72" si="18">D11+D14+D15+D17+D19+D20+D23+D24+D25+D26+D30+D32+D35+D37+D38+D43+D45+D50+D53+D55+D58+D62+D63+D64+D65+D67+D68+D69+D70+D71+D66</f>
        <v>44151443527</v>
      </c>
      <c r="E72" s="54">
        <f t="shared" si="18"/>
        <v>129545708750.39999</v>
      </c>
      <c r="F72" s="54">
        <f t="shared" si="18"/>
        <v>129545708750.39999</v>
      </c>
      <c r="G72" s="54">
        <f t="shared" si="18"/>
        <v>46135327166</v>
      </c>
      <c r="H72" s="54">
        <f t="shared" si="18"/>
        <v>44431867166</v>
      </c>
    </row>
    <row r="73" spans="1:9">
      <c r="E73" s="55"/>
      <c r="F73" s="56"/>
    </row>
    <row r="74" spans="1:9">
      <c r="C74" s="32">
        <f>[1]CDPS!$G$69</f>
        <v>44151443527</v>
      </c>
      <c r="D74" s="32">
        <f>[1]CDPS!$G$69</f>
        <v>44151443527</v>
      </c>
      <c r="E74" s="56"/>
      <c r="H74" s="56">
        <f>G72-H72</f>
        <v>1703460000</v>
      </c>
    </row>
    <row r="75" spans="1:9">
      <c r="C75" s="32">
        <f>C72-C74</f>
        <v>0</v>
      </c>
      <c r="D75" s="32">
        <f>D72-D74</f>
        <v>0</v>
      </c>
      <c r="E75" s="57"/>
      <c r="F75" s="57"/>
    </row>
    <row r="76" spans="1:9">
      <c r="E76" s="57"/>
      <c r="F76"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E955"/>
  <sheetViews>
    <sheetView topLeftCell="A7" workbookViewId="0">
      <pane ySplit="3" topLeftCell="A721" activePane="bottomLeft" state="frozen"/>
      <selection activeCell="A7" sqref="A7"/>
      <selection pane="bottomLeft" activeCell="L787" sqref="L787"/>
    </sheetView>
  </sheetViews>
  <sheetFormatPr defaultRowHeight="12.75"/>
  <cols>
    <col min="1" max="1" width="4.5703125" style="344" customWidth="1"/>
    <col min="2" max="2" width="4.85546875" style="333" customWidth="1"/>
    <col min="3" max="3" width="9.140625" style="333" customWidth="1"/>
    <col min="4" max="4" width="6.85546875" style="333" customWidth="1"/>
    <col min="5" max="5" width="9.140625" style="333" customWidth="1"/>
    <col min="6" max="6" width="32.7109375" style="333" customWidth="1"/>
    <col min="7" max="7" width="14.85546875" style="1001" customWidth="1"/>
    <col min="8" max="8" width="40.7109375" style="359" customWidth="1"/>
    <col min="9" max="10" width="7.7109375" style="359" customWidth="1"/>
    <col min="11" max="11" width="10" style="359" customWidth="1"/>
    <col min="12" max="12" width="7.28515625" style="359" customWidth="1"/>
    <col min="13" max="13" width="13.140625" style="333" customWidth="1"/>
    <col min="14" max="15" width="7" style="333" customWidth="1"/>
    <col min="16" max="16" width="4.42578125" style="333" hidden="1" customWidth="1"/>
    <col min="17" max="19" width="2.7109375" style="333" hidden="1" customWidth="1"/>
    <col min="20" max="22" width="2.5703125" style="333" hidden="1" customWidth="1"/>
    <col min="23" max="25" width="4.42578125" style="333" hidden="1" customWidth="1"/>
    <col min="26" max="26" width="4.140625" style="333" hidden="1" customWidth="1"/>
    <col min="27" max="30" width="2.7109375" style="333" hidden="1" customWidth="1"/>
    <col min="31" max="31" width="9.140625" style="333" customWidth="1"/>
    <col min="32" max="16384" width="9.140625" style="333"/>
  </cols>
  <sheetData>
    <row r="1" spans="1:30">
      <c r="B1" s="58"/>
      <c r="C1" s="58" t="s">
        <v>121</v>
      </c>
      <c r="D1" s="59"/>
      <c r="E1" s="59"/>
      <c r="F1" s="60"/>
      <c r="G1" s="991"/>
      <c r="H1" s="92"/>
      <c r="I1" s="92"/>
      <c r="J1" s="92"/>
      <c r="K1" s="92"/>
      <c r="L1" s="92"/>
      <c r="M1" s="71"/>
      <c r="N1" s="61"/>
      <c r="O1" s="61"/>
      <c r="P1" s="61"/>
      <c r="Q1" s="61"/>
      <c r="R1" s="61"/>
      <c r="S1" s="61"/>
      <c r="T1" s="61"/>
      <c r="U1" s="61"/>
      <c r="V1" s="61"/>
      <c r="W1" s="61"/>
      <c r="X1" s="61"/>
      <c r="Y1" s="61"/>
      <c r="AA1" s="61"/>
      <c r="AB1" s="61"/>
      <c r="AC1" s="61"/>
      <c r="AD1" s="61"/>
    </row>
    <row r="2" spans="1:30">
      <c r="B2" s="58"/>
      <c r="C2" s="58" t="s">
        <v>122</v>
      </c>
      <c r="D2" s="59"/>
      <c r="E2" s="59"/>
      <c r="F2" s="59"/>
      <c r="G2" s="991"/>
      <c r="H2" s="93"/>
      <c r="I2" s="93"/>
      <c r="J2" s="93"/>
      <c r="K2" s="93"/>
      <c r="L2" s="93"/>
      <c r="M2" s="71"/>
      <c r="N2" s="61"/>
      <c r="O2" s="61"/>
      <c r="P2" s="61"/>
      <c r="Q2" s="61"/>
      <c r="R2" s="61"/>
      <c r="S2" s="61"/>
      <c r="T2" s="61"/>
      <c r="U2" s="61"/>
      <c r="V2" s="61"/>
      <c r="W2" s="61"/>
      <c r="X2" s="61"/>
      <c r="Y2" s="61"/>
      <c r="AA2" s="61"/>
      <c r="AB2" s="61"/>
      <c r="AC2" s="61"/>
      <c r="AD2" s="61"/>
    </row>
    <row r="3" spans="1:30">
      <c r="B3" s="59"/>
      <c r="C3" s="59"/>
      <c r="D3" s="59"/>
      <c r="E3" s="59"/>
      <c r="F3" s="59"/>
      <c r="G3" s="991"/>
      <c r="H3" s="93"/>
      <c r="I3" s="93"/>
      <c r="J3" s="93"/>
      <c r="K3" s="93"/>
      <c r="L3" s="93"/>
      <c r="M3" s="70"/>
      <c r="N3" s="62"/>
      <c r="O3" s="62"/>
      <c r="P3" s="62"/>
      <c r="Q3" s="62"/>
      <c r="R3" s="62"/>
      <c r="S3" s="62"/>
      <c r="T3" s="62"/>
      <c r="U3" s="62"/>
      <c r="V3" s="62"/>
      <c r="W3" s="62"/>
      <c r="X3" s="62"/>
      <c r="Y3" s="62"/>
      <c r="AA3" s="62"/>
      <c r="AB3" s="62"/>
      <c r="AC3" s="62"/>
      <c r="AD3" s="62"/>
    </row>
    <row r="4" spans="1:30" ht="22.5">
      <c r="B4" s="71"/>
      <c r="C4" s="1192" t="s">
        <v>112</v>
      </c>
      <c r="D4" s="1192"/>
      <c r="E4" s="1192"/>
      <c r="F4" s="1192"/>
      <c r="G4" s="1192"/>
      <c r="H4" s="1192"/>
      <c r="I4" s="1192"/>
      <c r="J4" s="1192"/>
      <c r="K4" s="1192"/>
      <c r="L4" s="1192"/>
      <c r="M4" s="1192"/>
      <c r="N4" s="1192"/>
      <c r="O4" s="1192"/>
    </row>
    <row r="5" spans="1:30" ht="14.25">
      <c r="B5" s="71"/>
      <c r="C5" s="1193"/>
      <c r="D5" s="1193"/>
      <c r="E5" s="1193"/>
      <c r="F5" s="1193"/>
      <c r="G5" s="1193"/>
      <c r="H5" s="1193"/>
      <c r="I5" s="1193"/>
      <c r="J5" s="1193"/>
      <c r="K5" s="1193"/>
      <c r="L5" s="1193"/>
      <c r="M5" s="1193"/>
      <c r="N5" s="1193"/>
      <c r="O5" s="1193"/>
    </row>
    <row r="6" spans="1:30">
      <c r="B6" s="71"/>
      <c r="C6" s="71"/>
      <c r="D6" s="71"/>
      <c r="E6" s="71"/>
      <c r="F6" s="71"/>
      <c r="G6" s="58"/>
      <c r="H6" s="72"/>
      <c r="I6" s="72"/>
      <c r="J6" s="72"/>
      <c r="K6" s="72"/>
      <c r="L6" s="72"/>
      <c r="M6" s="71"/>
      <c r="N6" s="61"/>
      <c r="O6" s="61"/>
      <c r="P6" s="61"/>
      <c r="Q6" s="61"/>
      <c r="R6" s="61"/>
      <c r="S6" s="61"/>
      <c r="T6" s="61"/>
      <c r="U6" s="61"/>
      <c r="V6" s="61"/>
      <c r="W6" s="61"/>
      <c r="X6" s="61"/>
      <c r="Y6" s="61"/>
      <c r="AA6" s="61"/>
      <c r="AB6" s="61"/>
      <c r="AC6" s="61"/>
      <c r="AD6" s="61"/>
    </row>
    <row r="7" spans="1:30" ht="24.75" customHeight="1">
      <c r="A7" s="1202" t="s">
        <v>141</v>
      </c>
      <c r="B7" s="1204" t="s">
        <v>123</v>
      </c>
      <c r="C7" s="1194" t="s">
        <v>22</v>
      </c>
      <c r="D7" s="1195" t="s">
        <v>1</v>
      </c>
      <c r="E7" s="1196"/>
      <c r="F7" s="1194" t="s">
        <v>0</v>
      </c>
      <c r="G7" s="1198" t="s">
        <v>140</v>
      </c>
      <c r="H7" s="1206" t="s">
        <v>47</v>
      </c>
      <c r="I7" s="1211" t="s">
        <v>580</v>
      </c>
      <c r="J7" s="1212"/>
      <c r="K7" s="1194" t="s">
        <v>266</v>
      </c>
      <c r="L7" s="1194"/>
      <c r="M7" s="1194" t="s">
        <v>265</v>
      </c>
      <c r="N7" s="1197" t="s">
        <v>114</v>
      </c>
      <c r="O7" s="1197"/>
      <c r="P7" s="1209" t="s">
        <v>8</v>
      </c>
      <c r="Q7" s="1186" t="s">
        <v>63</v>
      </c>
      <c r="R7" s="1187"/>
      <c r="S7" s="1188"/>
      <c r="T7" s="1186" t="s">
        <v>67</v>
      </c>
      <c r="U7" s="1187"/>
      <c r="V7" s="1188"/>
      <c r="W7" s="1209" t="s">
        <v>42</v>
      </c>
      <c r="X7" s="1200" t="str">
        <f>CTTK!$E$7</f>
        <v>1388</v>
      </c>
      <c r="Y7" s="1200" t="s">
        <v>591</v>
      </c>
      <c r="Z7" s="1207" t="s">
        <v>226</v>
      </c>
      <c r="AA7" s="1186" t="s">
        <v>279</v>
      </c>
      <c r="AB7" s="1187"/>
      <c r="AC7" s="1187"/>
      <c r="AD7" s="1188"/>
    </row>
    <row r="8" spans="1:30" ht="24.75" customHeight="1">
      <c r="A8" s="1203"/>
      <c r="B8" s="1205"/>
      <c r="C8" s="1194"/>
      <c r="D8" s="341" t="s">
        <v>17</v>
      </c>
      <c r="E8" s="340" t="s">
        <v>34</v>
      </c>
      <c r="F8" s="1194"/>
      <c r="G8" s="1199"/>
      <c r="H8" s="1206"/>
      <c r="I8" s="456" t="s">
        <v>471</v>
      </c>
      <c r="J8" s="456" t="s">
        <v>472</v>
      </c>
      <c r="K8" s="434" t="s">
        <v>272</v>
      </c>
      <c r="L8" s="434" t="s">
        <v>270</v>
      </c>
      <c r="M8" s="1194"/>
      <c r="N8" s="342" t="s">
        <v>24</v>
      </c>
      <c r="O8" s="342" t="s">
        <v>25</v>
      </c>
      <c r="P8" s="1210"/>
      <c r="Q8" s="1189"/>
      <c r="R8" s="1190"/>
      <c r="S8" s="1191"/>
      <c r="T8" s="1189"/>
      <c r="U8" s="1190"/>
      <c r="V8" s="1191"/>
      <c r="W8" s="1210"/>
      <c r="X8" s="1201"/>
      <c r="Y8" s="1201"/>
      <c r="Z8" s="1208"/>
      <c r="AA8" s="1189"/>
      <c r="AB8" s="1190"/>
      <c r="AC8" s="1190"/>
      <c r="AD8" s="1191"/>
    </row>
    <row r="9" spans="1:30">
      <c r="A9" s="345">
        <v>1</v>
      </c>
      <c r="B9" s="346">
        <v>2</v>
      </c>
      <c r="C9" s="346">
        <v>3</v>
      </c>
      <c r="D9" s="346">
        <v>4</v>
      </c>
      <c r="E9" s="346">
        <v>5</v>
      </c>
      <c r="F9" s="346">
        <v>6</v>
      </c>
      <c r="G9" s="992">
        <v>7</v>
      </c>
      <c r="H9" s="346">
        <v>8</v>
      </c>
      <c r="I9" s="347">
        <v>9</v>
      </c>
      <c r="J9" s="346">
        <v>10</v>
      </c>
      <c r="K9" s="347">
        <v>11</v>
      </c>
      <c r="L9" s="346">
        <v>12</v>
      </c>
      <c r="M9" s="347">
        <v>13</v>
      </c>
      <c r="N9" s="346">
        <v>14</v>
      </c>
      <c r="O9" s="347">
        <v>15</v>
      </c>
      <c r="P9" s="346">
        <v>16</v>
      </c>
      <c r="Q9" s="347">
        <v>17</v>
      </c>
      <c r="R9" s="346">
        <v>18</v>
      </c>
      <c r="S9" s="347">
        <v>19</v>
      </c>
      <c r="T9" s="346">
        <v>20</v>
      </c>
      <c r="U9" s="346"/>
      <c r="V9" s="346"/>
      <c r="W9" s="346">
        <v>26</v>
      </c>
      <c r="X9" s="347">
        <v>27</v>
      </c>
      <c r="Y9" s="347"/>
      <c r="Z9" s="346">
        <v>24</v>
      </c>
      <c r="AA9" s="346">
        <v>19</v>
      </c>
      <c r="AB9" s="346">
        <v>20</v>
      </c>
      <c r="AC9" s="346"/>
      <c r="AD9" s="346">
        <v>21</v>
      </c>
    </row>
    <row r="10" spans="1:30" s="348" customFormat="1" ht="15.75" customHeight="1">
      <c r="A10" s="343" t="str">
        <f>IF(B10&lt;&gt;"",IF(AND(B10='IN-TC'!$S$4,OR(TH!N10="1111",TH!O10="1111")),TH!D10,""),"")</f>
        <v/>
      </c>
      <c r="B10" s="63">
        <f t="shared" ref="B10:B15" si="0">IF(C10&lt;&gt;"",MONTH(C10),"")</f>
        <v>1</v>
      </c>
      <c r="C10" s="81">
        <f>E10</f>
        <v>42400</v>
      </c>
      <c r="D10" s="81" t="s">
        <v>115</v>
      </c>
      <c r="E10" s="81">
        <v>42400</v>
      </c>
      <c r="F10" s="82" t="s">
        <v>214</v>
      </c>
      <c r="G10" s="82"/>
      <c r="H10" s="83"/>
      <c r="I10" s="445"/>
      <c r="J10" s="445"/>
      <c r="K10" s="436"/>
      <c r="L10" s="445"/>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IF(AND('341-CT'!$H$9=H10,OR(LEFT(N10,3)=$W$7,LEFT(O10,3)=$W$7)),"x","")</f>
        <v/>
      </c>
      <c r="X10" s="85" t="str">
        <f>IF(OR(TH!N10=TH!$X$7,O10=TH!$X$7),"x","")</f>
        <v/>
      </c>
      <c r="Y10" s="85" t="str">
        <f>IF(AND(OR(N10="131",O10="131"),H10='131-CT'!$H$9),"x","")</f>
        <v/>
      </c>
      <c r="Z10" s="85"/>
      <c r="AA10" s="85" t="str">
        <f>IF(AND(MONTH(E10)='IN-NX'!$J$5,'IN-NX'!$D$7=D10),"x","")</f>
        <v/>
      </c>
      <c r="AB10" s="85" t="str">
        <f>IF(AND(OR(LEFT(TH!N10,2)="15",LEFT(TH!O10,2)="15"),'152-CT'!$J$8=TH!F10),"x","")</f>
        <v/>
      </c>
      <c r="AC10" s="85" t="str">
        <f>IF(AND(OR(LEFT(TH!N10,2)="15",LEFT(TH!O10,2)="15"),TK!$E$7=TH!F10),"x","")</f>
        <v/>
      </c>
      <c r="AD10" s="85" t="str">
        <f>IF(AND(N10="1521",MONTH(C10)='BK-NL'!$M$11),"x","")</f>
        <v/>
      </c>
    </row>
    <row r="11" spans="1:30" s="348" customFormat="1" ht="15.75" customHeight="1">
      <c r="A11" s="343" t="str">
        <f>IF(B11&lt;&gt;"",IF(AND(B11='IN-TC'!$S$4,OR(TH!N11="1111",TH!O11="1111")),TH!D11,""),"")</f>
        <v/>
      </c>
      <c r="B11" s="63">
        <f t="shared" si="0"/>
        <v>1</v>
      </c>
      <c r="C11" s="81">
        <f t="shared" ref="C11:C20" si="1">E11</f>
        <v>42400</v>
      </c>
      <c r="D11" s="81" t="s">
        <v>115</v>
      </c>
      <c r="E11" s="81">
        <v>42400</v>
      </c>
      <c r="F11" s="82" t="s">
        <v>938</v>
      </c>
      <c r="G11" s="82"/>
      <c r="H11" s="83"/>
      <c r="I11" s="445"/>
      <c r="J11" s="445"/>
      <c r="K11" s="436"/>
      <c r="L11" s="445"/>
      <c r="M11" s="84">
        <f>SUMIF(KHC,N11,TH)</f>
        <v>0</v>
      </c>
      <c r="N11" s="89" t="s">
        <v>943</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IF(AND('341-CT'!$H$9=H11,OR(LEFT(N11,3)=$W$7,LEFT(O11,3)=$W$7)),"x","")</f>
        <v/>
      </c>
      <c r="X11" s="85" t="str">
        <f>IF(OR(TH!N11=TH!$X$7,O11=TH!$X$7),"x","")</f>
        <v/>
      </c>
      <c r="Y11" s="85" t="str">
        <f>IF(AND(OR(N11="131",O11="131"),H11='131-CT'!$H$9),"x","")</f>
        <v/>
      </c>
      <c r="Z11" s="85"/>
      <c r="AA11" s="85" t="str">
        <f>IF(AND(MONTH(E11)='IN-NX'!$J$5,'IN-NX'!$D$7=D11),"x","")</f>
        <v/>
      </c>
      <c r="AB11" s="85" t="str">
        <f>IF(AND(OR(LEFT(TH!N11,2)="15",LEFT(TH!O11,2)="15"),'152-CT'!$J$8=TH!F11),"x","")</f>
        <v/>
      </c>
      <c r="AC11" s="85" t="str">
        <f>IF(AND(OR(LEFT(TH!N11,2)="15",LEFT(TH!O11,2)="15"),TK!$E$7=TH!F11),"x","")</f>
        <v/>
      </c>
      <c r="AD11" s="85" t="str">
        <f>IF(AND(N11="1521",MONTH(C11)='BK-NL'!$M$11),"x","")</f>
        <v/>
      </c>
    </row>
    <row r="12" spans="1:30" s="348" customFormat="1" ht="15.75" customHeight="1">
      <c r="A12" s="343" t="str">
        <f>IF(B12&lt;&gt;"",IF(AND(B12='IN-TC'!$S$4,OR(TH!N12="1111",TH!O12="1111")),TH!D12,""),"")</f>
        <v/>
      </c>
      <c r="B12" s="63">
        <f t="shared" si="0"/>
        <v>1</v>
      </c>
      <c r="C12" s="81">
        <f t="shared" si="1"/>
        <v>42400</v>
      </c>
      <c r="D12" s="81" t="s">
        <v>115</v>
      </c>
      <c r="E12" s="81">
        <v>42400</v>
      </c>
      <c r="F12" s="82" t="s">
        <v>939</v>
      </c>
      <c r="G12" s="82"/>
      <c r="H12" s="83"/>
      <c r="I12" s="445"/>
      <c r="J12" s="445"/>
      <c r="K12" s="436"/>
      <c r="L12" s="445"/>
      <c r="M12" s="84">
        <f>SUMIF(KHN,O12,TH)</f>
        <v>6558871568</v>
      </c>
      <c r="N12" s="89" t="s">
        <v>109</v>
      </c>
      <c r="O12" s="85" t="s">
        <v>295</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IF(AND('341-CT'!$H$9=H12,OR(LEFT(N12,3)=$W$7,LEFT(O12,3)=$W$7)),"x","")</f>
        <v/>
      </c>
      <c r="X12" s="85" t="str">
        <f>IF(OR(TH!N12=TH!$X$7,O12=TH!$X$7),"x","")</f>
        <v/>
      </c>
      <c r="Y12" s="85" t="str">
        <f>IF(AND(OR(N12="131",O12="131"),H12='131-CT'!$H$9),"x","")</f>
        <v/>
      </c>
      <c r="Z12" s="85"/>
      <c r="AA12" s="85" t="str">
        <f>IF(AND(MONTH(E12)='IN-NX'!$J$5,'IN-NX'!$D$7=D12),"x","")</f>
        <v/>
      </c>
      <c r="AB12" s="85" t="str">
        <f>IF(AND(OR(LEFT(TH!N12,2)="15",LEFT(TH!O12,2)="15"),'152-CT'!$J$8=TH!F12),"x","")</f>
        <v/>
      </c>
      <c r="AC12" s="85" t="str">
        <f>IF(AND(OR(LEFT(TH!N12,2)="15",LEFT(TH!O12,2)="15"),TK!$E$7=TH!F12),"x","")</f>
        <v/>
      </c>
      <c r="AD12" s="85" t="str">
        <f>IF(AND(N12="1521",MONTH(C12)='BK-NL'!$M$11),"x","")</f>
        <v/>
      </c>
    </row>
    <row r="13" spans="1:30" s="348" customFormat="1" ht="15.75" customHeight="1">
      <c r="A13" s="343" t="str">
        <f>IF(B13&lt;&gt;"",IF(AND(B13='IN-TC'!$S$4,OR(TH!N13="1111",TH!O13="1111")),TH!D13,""),"")</f>
        <v/>
      </c>
      <c r="B13" s="63">
        <f t="shared" si="0"/>
        <v>1</v>
      </c>
      <c r="C13" s="81">
        <f t="shared" si="1"/>
        <v>42400</v>
      </c>
      <c r="D13" s="81" t="s">
        <v>115</v>
      </c>
      <c r="E13" s="81">
        <v>42400</v>
      </c>
      <c r="F13" s="82" t="s">
        <v>116</v>
      </c>
      <c r="G13" s="82"/>
      <c r="H13" s="90"/>
      <c r="I13" s="446"/>
      <c r="J13" s="446"/>
      <c r="K13" s="437"/>
      <c r="L13" s="446"/>
      <c r="M13" s="84">
        <f>SUMIF(KHN,O13,TH)</f>
        <v>344187201</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IF(AND('341-CT'!$H$9=H13,OR(LEFT(N13,3)=$W$7,LEFT(O13,3)=$W$7)),"x","")</f>
        <v/>
      </c>
      <c r="X13" s="85" t="str">
        <f>IF(OR(TH!N13=TH!$X$7,O13=TH!$X$7),"x","")</f>
        <v/>
      </c>
      <c r="Y13" s="85" t="str">
        <f>IF(AND(OR(N13="131",O13="131"),H13='131-CT'!$H$9),"x","")</f>
        <v/>
      </c>
      <c r="Z13" s="85"/>
      <c r="AA13" s="85" t="str">
        <f>IF(AND(MONTH(E13)='IN-NX'!$J$5,'IN-NX'!$D$7=D13),"x","")</f>
        <v/>
      </c>
      <c r="AB13" s="85" t="str">
        <f>IF(AND(OR(LEFT(TH!N13,2)="15",LEFT(TH!O13,2)="15"),'152-CT'!$J$8=TH!F13),"x","")</f>
        <v/>
      </c>
      <c r="AC13" s="85" t="str">
        <f>IF(AND(OR(LEFT(TH!N13,2)="15",LEFT(TH!O13,2)="15"),TK!$E$7=TH!F13),"x","")</f>
        <v/>
      </c>
      <c r="AD13" s="85" t="str">
        <f>IF(AND(N13="1521",MONTH(C13)='BK-NL'!$M$11),"x","")</f>
        <v/>
      </c>
    </row>
    <row r="14" spans="1:30" s="348" customFormat="1" ht="15.75" customHeight="1">
      <c r="A14" s="343" t="str">
        <f>IF(B14&lt;&gt;"",IF(AND(B14='IN-TC'!$S$4,OR(TH!N14="1111",TH!O14="1111")),TH!D14,""),"")</f>
        <v/>
      </c>
      <c r="B14" s="63">
        <f t="shared" si="0"/>
        <v>1</v>
      </c>
      <c r="C14" s="81">
        <f t="shared" si="1"/>
        <v>42400</v>
      </c>
      <c r="D14" s="81" t="s">
        <v>115</v>
      </c>
      <c r="E14" s="81">
        <v>42400</v>
      </c>
      <c r="F14" s="82" t="s">
        <v>940</v>
      </c>
      <c r="G14" s="82"/>
      <c r="H14" s="83"/>
      <c r="I14" s="445"/>
      <c r="J14" s="445"/>
      <c r="K14" s="436"/>
      <c r="L14" s="445"/>
      <c r="M14" s="84">
        <f>SUMIF(KHN,O14,TH)</f>
        <v>252694398</v>
      </c>
      <c r="N14" s="85" t="s">
        <v>109</v>
      </c>
      <c r="O14" s="85" t="s">
        <v>594</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IF(AND('341-CT'!$H$9=H14,OR(LEFT(N14,3)=$W$7,LEFT(O14,3)=$W$7)),"x","")</f>
        <v/>
      </c>
      <c r="X14" s="85" t="str">
        <f>IF(OR(TH!N14=TH!$X$7,O14=TH!$X$7),"x","")</f>
        <v/>
      </c>
      <c r="Y14" s="85" t="str">
        <f>IF(AND(OR(N14="131",O14="131"),H14='131-CT'!$H$9),"x","")</f>
        <v/>
      </c>
      <c r="Z14" s="85"/>
      <c r="AA14" s="85" t="str">
        <f>IF(AND(MONTH(E14)='IN-NX'!$J$5,'IN-NX'!$D$7=D14),"x","")</f>
        <v/>
      </c>
      <c r="AB14" s="85" t="str">
        <f>IF(AND(OR(LEFT(TH!N14,2)="15",LEFT(TH!O14,2)="15"),'152-CT'!$J$8=TH!F14),"x","")</f>
        <v/>
      </c>
      <c r="AC14" s="85" t="str">
        <f>IF(AND(OR(LEFT(TH!N14,2)="15",LEFT(TH!O14,2)="15"),TK!$E$7=TH!F14),"x","")</f>
        <v/>
      </c>
      <c r="AD14" s="85" t="str">
        <f>IF(AND(N14="1521",MONTH(C14)='BK-NL'!$M$11),"x","")</f>
        <v/>
      </c>
    </row>
    <row r="15" spans="1:30" s="348" customFormat="1" ht="15.75" customHeight="1">
      <c r="A15" s="343" t="str">
        <f>IF(B15&lt;&gt;"",IF(AND(B15='IN-TC'!$S$4,OR(TH!N15="1111",TH!O15="1111")),TH!D15,""),"")</f>
        <v/>
      </c>
      <c r="B15" s="63">
        <f t="shared" si="0"/>
        <v>1</v>
      </c>
      <c r="C15" s="81">
        <f t="shared" si="1"/>
        <v>42400</v>
      </c>
      <c r="D15" s="81" t="s">
        <v>115</v>
      </c>
      <c r="E15" s="81">
        <v>42400</v>
      </c>
      <c r="F15" s="82" t="s">
        <v>117</v>
      </c>
      <c r="G15" s="82"/>
      <c r="H15" s="83"/>
      <c r="I15" s="445"/>
      <c r="J15" s="445"/>
      <c r="K15" s="436"/>
      <c r="L15" s="445"/>
      <c r="M15" s="84">
        <f>SUMIF(KHN,O15,TH)</f>
        <v>260633420</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IF(AND('341-CT'!$H$9=H15,OR(LEFT(N15,3)=$W$7,LEFT(O15,3)=$W$7)),"x","")</f>
        <v/>
      </c>
      <c r="X15" s="85" t="str">
        <f>IF(OR(TH!N15=TH!$X$7,O15=TH!$X$7),"x","")</f>
        <v/>
      </c>
      <c r="Y15" s="85" t="str">
        <f>IF(AND(OR(N15="131",O15="131"),H15='131-CT'!$H$9),"x","")</f>
        <v/>
      </c>
      <c r="Z15" s="85"/>
      <c r="AA15" s="85" t="str">
        <f>IF(AND(MONTH(E15)='IN-NX'!$J$5,'IN-NX'!$D$7=D15),"x","")</f>
        <v/>
      </c>
      <c r="AB15" s="85" t="str">
        <f>IF(AND(OR(LEFT(TH!N15,2)="15",LEFT(TH!O15,2)="15"),'152-CT'!$J$8=TH!F15),"x","")</f>
        <v/>
      </c>
      <c r="AC15" s="85" t="str">
        <f>IF(AND(OR(LEFT(TH!N15,2)="15",LEFT(TH!O15,2)="15"),TK!$E$7=TH!F15),"x","")</f>
        <v/>
      </c>
      <c r="AD15" s="85" t="str">
        <f>IF(AND(N15="1521",MONTH(C15)='BK-NL'!$M$11),"x","")</f>
        <v/>
      </c>
    </row>
    <row r="16" spans="1:30" s="348" customFormat="1" ht="15.75" customHeight="1">
      <c r="A16" s="343" t="str">
        <f>IF(B16&lt;&gt;"",IF(AND(B16='IN-TC'!$S$4,OR(TH!N16="1111",TH!O16="1111")),TH!D16,""),"")</f>
        <v/>
      </c>
      <c r="B16" s="63">
        <f t="shared" ref="B16:B86" si="2">IF(C16&lt;&gt;"",MONTH(C16),"")</f>
        <v>1</v>
      </c>
      <c r="C16" s="81">
        <f t="shared" si="1"/>
        <v>42400</v>
      </c>
      <c r="D16" s="81" t="s">
        <v>115</v>
      </c>
      <c r="E16" s="81">
        <v>42400</v>
      </c>
      <c r="F16" s="82" t="s">
        <v>118</v>
      </c>
      <c r="G16" s="82"/>
      <c r="H16" s="83"/>
      <c r="I16" s="445"/>
      <c r="J16" s="445"/>
      <c r="K16" s="436"/>
      <c r="L16" s="445"/>
      <c r="M16" s="84">
        <f>SUMIF(KHC,N16,TH)</f>
        <v>48713808.400000855</v>
      </c>
      <c r="N16" s="89" t="s">
        <v>43</v>
      </c>
      <c r="O16" s="85" t="s">
        <v>109</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IF(AND('341-CT'!$H$9=H16,OR(LEFT(N16,3)=$W$7,LEFT(O16,3)=$W$7)),"x","")</f>
        <v/>
      </c>
      <c r="X16" s="85" t="str">
        <f>IF(OR(TH!N16=TH!$X$7,O16=TH!$X$7),"x","")</f>
        <v/>
      </c>
      <c r="Y16" s="85" t="str">
        <f>IF(AND(OR(N16="131",O16="131"),H16='131-CT'!$H$9),"x","")</f>
        <v/>
      </c>
      <c r="Z16" s="85"/>
      <c r="AA16" s="85" t="str">
        <f>IF(AND(MONTH(E16)='IN-NX'!$J$5,'IN-NX'!$D$7=D16),"x","")</f>
        <v/>
      </c>
      <c r="AB16" s="85" t="str">
        <f>IF(AND(OR(LEFT(TH!N16,2)="15",LEFT(TH!O16,2)="15"),'152-CT'!$J$8=TH!F16),"x","")</f>
        <v/>
      </c>
      <c r="AC16" s="85" t="str">
        <f>IF(AND(OR(LEFT(TH!N16,2)="15",LEFT(TH!O16,2)="15"),TK!$E$7=TH!F16),"x","")</f>
        <v/>
      </c>
      <c r="AD16" s="85" t="str">
        <f>IF(AND(N16="1521",MONTH(C16)='BK-NL'!$M$11),"x","")</f>
        <v/>
      </c>
    </row>
    <row r="17" spans="1:30" s="348" customFormat="1" ht="15.75" customHeight="1">
      <c r="A17" s="343" t="str">
        <f>IF(B17&lt;&gt;"",IF(AND(B17='IN-TC'!$S$4,OR(TH!N17="1111",TH!O17="1111")),TH!D17,""),"")</f>
        <v/>
      </c>
      <c r="B17" s="63">
        <f t="shared" si="2"/>
        <v>1</v>
      </c>
      <c r="C17" s="81">
        <f t="shared" si="1"/>
        <v>42400</v>
      </c>
      <c r="D17" s="81" t="s">
        <v>115</v>
      </c>
      <c r="E17" s="81">
        <v>42400</v>
      </c>
      <c r="F17" s="82" t="s">
        <v>941</v>
      </c>
      <c r="G17" s="82"/>
      <c r="H17" s="90"/>
      <c r="I17" s="446"/>
      <c r="J17" s="446"/>
      <c r="K17" s="437"/>
      <c r="L17" s="446"/>
      <c r="M17" s="84">
        <f>SUMIF(KHC,N17,TH)</f>
        <v>0</v>
      </c>
      <c r="N17" s="85" t="s">
        <v>297</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IF(AND('341-CT'!$H$9=H17,OR(LEFT(N17,3)=$W$7,LEFT(O17,3)=$W$7)),"x","")</f>
        <v/>
      </c>
      <c r="X17" s="85" t="str">
        <f>IF(OR(TH!N17=TH!$X$7,O17=TH!$X$7),"x","")</f>
        <v/>
      </c>
      <c r="Y17" s="85" t="str">
        <f>IF(AND(OR(N17="131",O17="131"),H17='131-CT'!$H$9),"x","")</f>
        <v/>
      </c>
      <c r="Z17" s="85"/>
      <c r="AA17" s="85" t="str">
        <f>IF(AND(MONTH(E17)='IN-NX'!$J$5,'IN-NX'!$D$7=D17),"x","")</f>
        <v/>
      </c>
      <c r="AB17" s="85" t="str">
        <f>IF(AND(OR(LEFT(TH!N17,2)="15",LEFT(TH!O17,2)="15"),'152-CT'!$J$8=TH!F17),"x","")</f>
        <v/>
      </c>
      <c r="AC17" s="85" t="str">
        <f>IF(AND(OR(LEFT(TH!N17,2)="15",LEFT(TH!O17,2)="15"),TK!$E$7=TH!F17),"x","")</f>
        <v/>
      </c>
      <c r="AD17" s="85" t="str">
        <f>IF(AND(N17="1521",MONTH(C17)='BK-NL'!$M$11),"x","")</f>
        <v/>
      </c>
    </row>
    <row r="18" spans="1:30" s="348" customFormat="1" ht="15.75" customHeight="1">
      <c r="A18" s="343" t="str">
        <f>IF(B18&lt;&gt;"",IF(AND(B18='IN-TC'!$S$4,OR(TH!N18="1111",TH!O18="1111")),TH!D18,""),"")</f>
        <v/>
      </c>
      <c r="B18" s="63">
        <f t="shared" si="2"/>
        <v>1</v>
      </c>
      <c r="C18" s="81">
        <f t="shared" si="1"/>
        <v>42400</v>
      </c>
      <c r="D18" s="81" t="s">
        <v>115</v>
      </c>
      <c r="E18" s="81">
        <v>42400</v>
      </c>
      <c r="F18" s="82" t="s">
        <v>942</v>
      </c>
      <c r="G18" s="82"/>
      <c r="H18" s="83"/>
      <c r="I18" s="445"/>
      <c r="J18" s="445"/>
      <c r="K18" s="436"/>
      <c r="L18" s="445"/>
      <c r="M18" s="84">
        <f>SUMIF(KHC,N18,TH)</f>
        <v>9048264225</v>
      </c>
      <c r="N18" s="85" t="s">
        <v>299</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IF(AND('341-CT'!$H$9=H18,OR(LEFT(N18,3)=$W$7,LEFT(O18,3)=$W$7)),"x","")</f>
        <v/>
      </c>
      <c r="X18" s="85" t="str">
        <f>IF(OR(TH!N18=TH!$X$7,O18=TH!$X$7),"x","")</f>
        <v/>
      </c>
      <c r="Y18" s="85" t="str">
        <f>IF(AND(OR(N18="131",O18="131"),H18='131-CT'!$H$9),"x","")</f>
        <v/>
      </c>
      <c r="Z18" s="85"/>
      <c r="AA18" s="85" t="str">
        <f>IF(AND(MONTH(E18)='IN-NX'!$J$5,'IN-NX'!$D$7=D18),"x","")</f>
        <v/>
      </c>
      <c r="AB18" s="85" t="str">
        <f>IF(AND(OR(LEFT(TH!N18,2)="15",LEFT(TH!O18,2)="15"),'152-CT'!$J$8=TH!F18),"x","")</f>
        <v/>
      </c>
      <c r="AC18" s="85" t="str">
        <f>IF(AND(OR(LEFT(TH!N18,2)="15",LEFT(TH!O18,2)="15"),TK!$E$7=TH!F18),"x","")</f>
        <v/>
      </c>
      <c r="AD18" s="85" t="str">
        <f>IF(AND(N18="1521",MONTH(C18)='BK-NL'!$M$11),"x","")</f>
        <v/>
      </c>
    </row>
    <row r="19" spans="1:30" s="348" customFormat="1" ht="15.75" customHeight="1">
      <c r="A19" s="343" t="str">
        <f>IF(B19&lt;&gt;"",IF(AND(B19='IN-TC'!$S$4,OR(TH!N19="1111",TH!O19="1111")),TH!D19,""),"")</f>
        <v/>
      </c>
      <c r="B19" s="63">
        <f t="shared" si="2"/>
        <v>1</v>
      </c>
      <c r="C19" s="81">
        <f t="shared" si="1"/>
        <v>42400</v>
      </c>
      <c r="D19" s="81" t="s">
        <v>115</v>
      </c>
      <c r="E19" s="81">
        <v>42400</v>
      </c>
      <c r="F19" s="82" t="s">
        <v>119</v>
      </c>
      <c r="G19" s="82"/>
      <c r="H19" s="83"/>
      <c r="I19" s="445"/>
      <c r="J19" s="445"/>
      <c r="K19" s="436"/>
      <c r="L19" s="445"/>
      <c r="M19" s="84">
        <f>SUMIF(KHC,N19,TH)</f>
        <v>0</v>
      </c>
      <c r="N19" s="85" t="s">
        <v>103</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IF(AND('341-CT'!$H$9=H19,OR(LEFT(N19,3)=$W$7,LEFT(O19,3)=$W$7)),"x","")</f>
        <v/>
      </c>
      <c r="X19" s="85" t="str">
        <f>IF(OR(TH!N19=TH!$X$7,O19=TH!$X$7),"x","")</f>
        <v/>
      </c>
      <c r="Y19" s="85" t="str">
        <f>IF(AND(OR(N19="131",O19="131"),H19='131-CT'!$H$9),"x","")</f>
        <v/>
      </c>
      <c r="Z19" s="85"/>
      <c r="AA19" s="85" t="str">
        <f>IF(AND(MONTH(E19)='IN-NX'!$J$5,'IN-NX'!$D$7=D19),"x","")</f>
        <v/>
      </c>
      <c r="AB19" s="85" t="str">
        <f>IF(AND(OR(LEFT(TH!N19,2)="15",LEFT(TH!O19,2)="15"),'152-CT'!$J$8=TH!F19),"x","")</f>
        <v/>
      </c>
      <c r="AC19" s="85" t="str">
        <f>IF(AND(OR(LEFT(TH!N19,2)="15",LEFT(TH!O19,2)="15"),TK!$E$7=TH!F19),"x","")</f>
        <v/>
      </c>
      <c r="AD19" s="85" t="str">
        <f>IF(AND(N19="1521",MONTH(C19)='BK-NL'!$M$11),"x","")</f>
        <v/>
      </c>
    </row>
    <row r="20" spans="1:30" s="348" customFormat="1" ht="15.75" customHeight="1">
      <c r="A20" s="343" t="str">
        <f>IF(B20&lt;&gt;"",IF(AND(B20='IN-TC'!$S$4,OR(TH!N20="1111",TH!O20="1111")),TH!D20,""),"")</f>
        <v/>
      </c>
      <c r="B20" s="63">
        <f t="shared" si="2"/>
        <v>1</v>
      </c>
      <c r="C20" s="81">
        <f t="shared" si="1"/>
        <v>42400</v>
      </c>
      <c r="D20" s="81" t="s">
        <v>115</v>
      </c>
      <c r="E20" s="81">
        <v>42400</v>
      </c>
      <c r="F20" s="82" t="s">
        <v>120</v>
      </c>
      <c r="G20" s="82"/>
      <c r="H20" s="83"/>
      <c r="I20" s="445"/>
      <c r="J20" s="445"/>
      <c r="K20" s="436"/>
      <c r="L20" s="445"/>
      <c r="M20" s="84">
        <f>SUMIF(KHN,O20,TH)</f>
        <v>0</v>
      </c>
      <c r="N20" s="89" t="s">
        <v>109</v>
      </c>
      <c r="O20" s="85" t="s">
        <v>105</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IF(AND('341-CT'!$H$9=H20,OR(LEFT(N20,3)=$W$7,LEFT(O20,3)=$W$7)),"x","")</f>
        <v/>
      </c>
      <c r="X20" s="85" t="str">
        <f>IF(OR(TH!N20=TH!$X$7,O20=TH!$X$7),"x","")</f>
        <v/>
      </c>
      <c r="Y20" s="85" t="str">
        <f>IF(AND(OR(N20="131",O20="131"),H20='131-CT'!$H$9),"x","")</f>
        <v/>
      </c>
      <c r="Z20" s="85"/>
      <c r="AA20" s="85" t="str">
        <f>IF(AND(MONTH(E20)='IN-NX'!$J$5,'IN-NX'!$D$7=D20),"x","")</f>
        <v/>
      </c>
      <c r="AB20" s="85" t="str">
        <f>IF(AND(OR(LEFT(TH!N20,2)="15",LEFT(TH!O20,2)="15"),'152-CT'!$J$8=TH!F20),"x","")</f>
        <v/>
      </c>
      <c r="AC20" s="85" t="str">
        <f>IF(AND(OR(LEFT(TH!N20,2)="15",LEFT(TH!O20,2)="15"),TK!$E$7=TH!F20),"x","")</f>
        <v/>
      </c>
      <c r="AD20" s="85" t="str">
        <f>IF(AND(N20="1521",MONTH(C20)='BK-NL'!$M$11),"x","")</f>
        <v/>
      </c>
    </row>
    <row r="21" spans="1:30" s="348" customFormat="1" ht="15.75" customHeight="1">
      <c r="A21" s="343" t="str">
        <f>IF(B21&lt;&gt;"",IF(AND(B21='IN-TC'!$S$4,OR(TH!N21="1111",TH!O21="1111")),TH!D21,""),"")</f>
        <v/>
      </c>
      <c r="B21" s="63">
        <f>IF(C21&lt;&gt;"",MONTH(C21),"")</f>
        <v>1</v>
      </c>
      <c r="C21" s="81">
        <f>E21</f>
        <v>42400</v>
      </c>
      <c r="D21" s="81" t="s">
        <v>115</v>
      </c>
      <c r="E21" s="81">
        <v>42400</v>
      </c>
      <c r="F21" s="82" t="s">
        <v>1387</v>
      </c>
      <c r="G21" s="82"/>
      <c r="H21" s="83"/>
      <c r="I21" s="445"/>
      <c r="J21" s="445"/>
      <c r="K21" s="436"/>
      <c r="L21" s="445"/>
      <c r="M21" s="84">
        <v>22868553.599999428</v>
      </c>
      <c r="N21" s="89" t="s">
        <v>94</v>
      </c>
      <c r="O21" s="85" t="s">
        <v>109</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IF(AND('341-CT'!$H$9=H21,OR(LEFT(N21,3)=$W$7,LEFT(O21,3)=$W$7)),"x","")</f>
        <v/>
      </c>
      <c r="X21" s="85" t="str">
        <f>IF(OR(TH!N21=TH!$X$7,O21=TH!$X$7),"x","")</f>
        <v/>
      </c>
      <c r="Y21" s="85" t="str">
        <f>IF(AND(OR(N21="131",O21="131"),H21='131-CT'!$H$9),"x","")</f>
        <v/>
      </c>
      <c r="Z21" s="85"/>
      <c r="AA21" s="85" t="str">
        <f>IF(AND(MONTH(E21)='IN-NX'!$J$5,'IN-NX'!$D$7=D21),"x","")</f>
        <v/>
      </c>
      <c r="AB21" s="85" t="str">
        <f>IF(AND(OR(LEFT(TH!N21,2)="15",LEFT(TH!O21,2)="15"),'152-CT'!$J$8=TH!F21),"x","")</f>
        <v/>
      </c>
      <c r="AC21" s="85" t="str">
        <f>IF(AND(OR(LEFT(TH!N21,2)="15",LEFT(TH!O21,2)="15"),TK!$E$7=TH!F21),"x","")</f>
        <v/>
      </c>
      <c r="AD21" s="85" t="str">
        <f>IF(AND(N21="1521",MONTH(C21)='BK-NL'!$M$11),"x","")</f>
        <v/>
      </c>
    </row>
    <row r="22" spans="1:30" s="348" customFormat="1" ht="15.75" customHeight="1">
      <c r="A22" s="343" t="str">
        <f>IF(B22&lt;&gt;"",IF(AND(B22='IN-TC'!$S$4,OR(TH!N22="1111",TH!O22="1111")),TH!D22,""),"")</f>
        <v/>
      </c>
      <c r="B22" s="63">
        <f t="shared" ref="B22:B23" si="3">IF(C22&lt;&gt;"",MONTH(C22),"")</f>
        <v>1</v>
      </c>
      <c r="C22" s="81">
        <f t="shared" ref="C22:C23" si="4">E22</f>
        <v>42400</v>
      </c>
      <c r="D22" s="81" t="s">
        <v>115</v>
      </c>
      <c r="E22" s="81">
        <v>42400</v>
      </c>
      <c r="F22" s="82" t="s">
        <v>1388</v>
      </c>
      <c r="G22" s="82"/>
      <c r="H22" s="83"/>
      <c r="I22" s="445"/>
      <c r="J22" s="445"/>
      <c r="K22" s="436"/>
      <c r="L22" s="445"/>
      <c r="M22" s="84"/>
      <c r="N22" s="89" t="s">
        <v>94</v>
      </c>
      <c r="O22" s="85" t="s">
        <v>109</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IF(AND('341-CT'!$H$9=H22,OR(LEFT(N22,3)=$W$7,LEFT(O22,3)=$W$7)),"x","")</f>
        <v/>
      </c>
      <c r="X22" s="85" t="str">
        <f>IF(OR(TH!N22=TH!$X$7,O22=TH!$X$7),"x","")</f>
        <v/>
      </c>
      <c r="Y22" s="85" t="str">
        <f>IF(AND(OR(N22="131",O22="131"),H22='131-CT'!$H$9),"x","")</f>
        <v/>
      </c>
      <c r="Z22" s="85"/>
      <c r="AA22" s="85" t="str">
        <f>IF(AND(MONTH(E22)='IN-NX'!$J$5,'IN-NX'!$D$7=D22),"x","")</f>
        <v/>
      </c>
      <c r="AB22" s="85" t="str">
        <f>IF(AND(OR(LEFT(TH!N22,2)="15",LEFT(TH!O22,2)="15"),'152-CT'!$J$8=TH!F22),"x","")</f>
        <v/>
      </c>
      <c r="AC22" s="85" t="str">
        <f>IF(AND(OR(LEFT(TH!N22,2)="15",LEFT(TH!O22,2)="15"),TK!$E$7=TH!F22),"x","")</f>
        <v/>
      </c>
      <c r="AD22" s="85" t="str">
        <f>IF(AND(N22="1521",MONTH(C22)='BK-NL'!$M$11),"x","")</f>
        <v/>
      </c>
    </row>
    <row r="23" spans="1:30" s="348" customFormat="1" ht="15.75" customHeight="1">
      <c r="A23" s="343" t="str">
        <f>IF(B23&lt;&gt;"",IF(AND(B23='IN-TC'!$S$4,OR(TH!N23="1111",TH!O23="1111")),TH!D23,""),"")</f>
        <v/>
      </c>
      <c r="B23" s="63">
        <f t="shared" si="3"/>
        <v>1</v>
      </c>
      <c r="C23" s="81">
        <f t="shared" si="4"/>
        <v>42400</v>
      </c>
      <c r="D23" s="81" t="s">
        <v>115</v>
      </c>
      <c r="E23" s="81">
        <v>42400</v>
      </c>
      <c r="F23" s="82" t="s">
        <v>1389</v>
      </c>
      <c r="G23" s="82"/>
      <c r="H23" s="83"/>
      <c r="I23" s="445"/>
      <c r="J23" s="445"/>
      <c r="K23" s="436"/>
      <c r="L23" s="445"/>
      <c r="M23" s="84"/>
      <c r="N23" s="89" t="s">
        <v>94</v>
      </c>
      <c r="O23" s="85" t="s">
        <v>109</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IF(AND('341-CT'!$H$9=H23,OR(LEFT(N23,3)=$W$7,LEFT(O23,3)=$W$7)),"x","")</f>
        <v/>
      </c>
      <c r="X23" s="85" t="str">
        <f>IF(OR(TH!N23=TH!$X$7,O23=TH!$X$7),"x","")</f>
        <v/>
      </c>
      <c r="Y23" s="85" t="str">
        <f>IF(AND(OR(N23="131",O23="131"),H23='131-CT'!$H$9),"x","")</f>
        <v/>
      </c>
      <c r="Z23" s="85"/>
      <c r="AA23" s="85" t="str">
        <f>IF(AND(MONTH(E23)='IN-NX'!$J$5,'IN-NX'!$D$7=D23),"x","")</f>
        <v/>
      </c>
      <c r="AB23" s="85" t="str">
        <f>IF(AND(OR(LEFT(TH!N23,2)="15",LEFT(TH!O23,2)="15"),'152-CT'!$J$8=TH!F23),"x","")</f>
        <v/>
      </c>
      <c r="AC23" s="85" t="str">
        <f>IF(AND(OR(LEFT(TH!N23,2)="15",LEFT(TH!O23,2)="15"),TK!$E$7=TH!F23),"x","")</f>
        <v/>
      </c>
      <c r="AD23" s="85" t="str">
        <f>IF(AND(N23="1521",MONTH(C23)='BK-NL'!$M$11),"x","")</f>
        <v/>
      </c>
    </row>
    <row r="24" spans="1:30" s="348" customFormat="1" ht="15.75" customHeight="1">
      <c r="A24" s="343" t="str">
        <f>IF(B24&lt;&gt;"",IF(AND(B24='IN-TC'!$S$4,OR(TH!N24="1111",TH!O24="1111")),TH!D24,""),"")</f>
        <v/>
      </c>
      <c r="B24" s="63">
        <f t="shared" ref="B24" si="5">IF(C24&lt;&gt;"",MONTH(C24),"")</f>
        <v>1</v>
      </c>
      <c r="C24" s="81">
        <f t="shared" ref="C24" si="6">E24</f>
        <v>42400</v>
      </c>
      <c r="D24" s="81" t="s">
        <v>115</v>
      </c>
      <c r="E24" s="81">
        <v>42400</v>
      </c>
      <c r="F24" s="82" t="s">
        <v>1390</v>
      </c>
      <c r="G24" s="82"/>
      <c r="H24" s="83"/>
      <c r="I24" s="445"/>
      <c r="J24" s="445"/>
      <c r="K24" s="436"/>
      <c r="L24" s="445"/>
      <c r="M24" s="84"/>
      <c r="N24" s="89" t="s">
        <v>94</v>
      </c>
      <c r="O24" s="85" t="s">
        <v>109</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IF(AND('341-CT'!$H$9=H24,OR(LEFT(N24,3)=$W$7,LEFT(O24,3)=$W$7)),"x","")</f>
        <v/>
      </c>
      <c r="X24" s="85" t="str">
        <f>IF(OR(TH!N24=TH!$X$7,O24=TH!$X$7),"x","")</f>
        <v/>
      </c>
      <c r="Y24" s="85" t="str">
        <f>IF(AND(OR(N24="131",O24="131"),H24='131-CT'!$H$9),"x","")</f>
        <v/>
      </c>
      <c r="Z24" s="85"/>
      <c r="AA24" s="85" t="str">
        <f>IF(AND(MONTH(E24)='IN-NX'!$J$5,'IN-NX'!$D$7=D24),"x","")</f>
        <v/>
      </c>
      <c r="AB24" s="85" t="str">
        <f>IF(AND(OR(LEFT(TH!N24,2)="15",LEFT(TH!O24,2)="15"),'152-CT'!$J$8=TH!F24),"x","")</f>
        <v/>
      </c>
      <c r="AC24" s="85" t="str">
        <f>IF(AND(OR(LEFT(TH!N24,2)="15",LEFT(TH!O24,2)="15"),TK!$E$7=TH!F24),"x","")</f>
        <v/>
      </c>
      <c r="AD24" s="85" t="str">
        <f>IF(AND(N24="1521",MONTH(C24)='BK-NL'!$M$11),"x","")</f>
        <v/>
      </c>
    </row>
    <row r="25" spans="1:30" s="348" customFormat="1" ht="15.75" customHeight="1">
      <c r="A25" s="343" t="str">
        <f>IF(B25&lt;&gt;"",IF(AND(B25='IN-TC'!$S$4,OR(TH!N25="1111",TH!O25="1111")),TH!D25,""),"")</f>
        <v/>
      </c>
      <c r="B25" s="63">
        <f t="shared" si="2"/>
        <v>1</v>
      </c>
      <c r="C25" s="879">
        <v>42400</v>
      </c>
      <c r="D25" s="879" t="s">
        <v>585</v>
      </c>
      <c r="E25" s="879">
        <f t="shared" ref="E25:E27" si="7">C25</f>
        <v>42400</v>
      </c>
      <c r="F25" s="880" t="s">
        <v>1332</v>
      </c>
      <c r="G25" s="880"/>
      <c r="H25" s="74"/>
      <c r="I25" s="447"/>
      <c r="J25" s="447"/>
      <c r="K25" s="438"/>
      <c r="L25" s="447"/>
      <c r="M25" s="881">
        <v>10010706</v>
      </c>
      <c r="N25" s="885" t="s">
        <v>283</v>
      </c>
      <c r="O25" s="886" t="s">
        <v>592</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IF(AND('341-CT'!$H$9=H25,OR(LEFT(N25,3)=$W$7,LEFT(O25,3)=$W$7)),"x","")</f>
        <v/>
      </c>
      <c r="X25" s="85" t="str">
        <f>IF(OR(TH!N25=TH!$X$7,O25=TH!$X$7),"x","")</f>
        <v/>
      </c>
      <c r="Y25" s="85" t="str">
        <f>IF(AND(OR(N25="131",O25="131"),H25='131-CT'!$H$9),"x","")</f>
        <v/>
      </c>
      <c r="Z25" s="85"/>
      <c r="AA25" s="85" t="str">
        <f>IF(AND(MONTH(E25)='IN-NX'!$J$5,'IN-NX'!$D$7=D25),"x","")</f>
        <v/>
      </c>
      <c r="AB25" s="85" t="str">
        <f>IF(AND(OR(LEFT(TH!N25,2)="15",LEFT(TH!O25,2)="15"),'152-CT'!$J$8=TH!F25),"x","")</f>
        <v/>
      </c>
      <c r="AC25" s="85" t="str">
        <f>IF(AND(OR(LEFT(TH!N25,2)="15",LEFT(TH!O25,2)="15"),TK!$E$7=TH!F25),"x","")</f>
        <v/>
      </c>
      <c r="AD25" s="85" t="str">
        <f>IF(AND(N25="1521",MONTH(C25)='BK-NL'!$M$11),"x","")</f>
        <v/>
      </c>
    </row>
    <row r="26" spans="1:30" s="348" customFormat="1" ht="15.75" customHeight="1">
      <c r="A26" s="343" t="str">
        <f>IF(B26&lt;&gt;"",IF(AND(B26='IN-TC'!$S$4,OR(TH!N26="1111",TH!O26="1111")),TH!D26,""),"")</f>
        <v/>
      </c>
      <c r="B26" s="63">
        <f t="shared" si="2"/>
        <v>1</v>
      </c>
      <c r="C26" s="879">
        <v>42400</v>
      </c>
      <c r="D26" s="879" t="s">
        <v>585</v>
      </c>
      <c r="E26" s="879">
        <f t="shared" si="7"/>
        <v>42400</v>
      </c>
      <c r="F26" s="880" t="s">
        <v>1333</v>
      </c>
      <c r="G26" s="995"/>
      <c r="H26" s="73"/>
      <c r="I26" s="448"/>
      <c r="J26" s="448"/>
      <c r="K26" s="439"/>
      <c r="L26" s="448"/>
      <c r="M26" s="881">
        <v>3671167</v>
      </c>
      <c r="N26" s="887" t="s">
        <v>101</v>
      </c>
      <c r="O26" s="887" t="s">
        <v>593</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IF(AND('341-CT'!$H$9=H26,OR(LEFT(N26,3)=$W$7,LEFT(O26,3)=$W$7)),"x","")</f>
        <v/>
      </c>
      <c r="X26" s="85" t="str">
        <f>IF(OR(TH!N26=TH!$X$7,O26=TH!$X$7),"x","")</f>
        <v/>
      </c>
      <c r="Y26" s="85" t="str">
        <f>IF(AND(OR(N26="131",O26="131"),H26='131-CT'!$H$9),"x","")</f>
        <v/>
      </c>
      <c r="Z26" s="85"/>
      <c r="AA26" s="85" t="str">
        <f>IF(AND(MONTH(E26)='IN-NX'!$J$5,'IN-NX'!$D$7=D26),"x","")</f>
        <v/>
      </c>
      <c r="AB26" s="85" t="str">
        <f>IF(AND(OR(LEFT(TH!N26,2)="15",LEFT(TH!O26,2)="15"),'152-CT'!$J$8=TH!F26),"x","")</f>
        <v/>
      </c>
      <c r="AC26" s="85" t="str">
        <f>IF(AND(OR(LEFT(TH!N26,2)="15",LEFT(TH!O26,2)="15"),TK!$E$7=TH!F26),"x","")</f>
        <v/>
      </c>
      <c r="AD26" s="85" t="str">
        <f>IF(AND(N26="1521",MONTH(C26)='BK-NL'!$M$11),"x","")</f>
        <v/>
      </c>
    </row>
    <row r="27" spans="1:30" s="348" customFormat="1" ht="15.75" customHeight="1">
      <c r="A27" s="343" t="str">
        <f>IF(B27&lt;&gt;"",IF(AND(B27='IN-TC'!$S$4,OR(TH!N27="1111",TH!O27="1111")),TH!D27,""),"")</f>
        <v/>
      </c>
      <c r="B27" s="63">
        <f t="shared" si="2"/>
        <v>1</v>
      </c>
      <c r="C27" s="879">
        <v>42400</v>
      </c>
      <c r="D27" s="879" t="s">
        <v>585</v>
      </c>
      <c r="E27" s="879">
        <f t="shared" si="7"/>
        <v>42400</v>
      </c>
      <c r="F27" s="880" t="s">
        <v>1333</v>
      </c>
      <c r="G27" s="880"/>
      <c r="H27" s="73"/>
      <c r="I27" s="448"/>
      <c r="J27" s="448"/>
      <c r="K27" s="439"/>
      <c r="L27" s="448"/>
      <c r="M27" s="881">
        <v>47128136</v>
      </c>
      <c r="N27" s="887" t="s">
        <v>283</v>
      </c>
      <c r="O27" s="887" t="s">
        <v>593</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IF(AND('341-CT'!$H$9=H27,OR(LEFT(N27,3)=$W$7,LEFT(O27,3)=$W$7)),"x","")</f>
        <v/>
      </c>
      <c r="X27" s="85" t="str">
        <f>IF(OR(TH!N27=TH!$X$7,O27=TH!$X$7),"x","")</f>
        <v/>
      </c>
      <c r="Y27" s="85" t="str">
        <f>IF(AND(OR(N27="131",O27="131"),H27='131-CT'!$H$9),"x","")</f>
        <v/>
      </c>
      <c r="Z27" s="85"/>
      <c r="AA27" s="85" t="str">
        <f>IF(AND(MONTH(E27)='IN-NX'!$J$5,'IN-NX'!$D$7=D27),"x","")</f>
        <v/>
      </c>
      <c r="AB27" s="85" t="str">
        <f>IF(AND(OR(LEFT(TH!N27,2)="15",LEFT(TH!O27,2)="15"),'152-CT'!$J$8=TH!F27),"x","")</f>
        <v/>
      </c>
      <c r="AC27" s="85" t="str">
        <f>IF(AND(OR(LEFT(TH!N27,2)="15",LEFT(TH!O27,2)="15"),TK!$E$7=TH!F27),"x","")</f>
        <v/>
      </c>
      <c r="AD27" s="85" t="str">
        <f>IF(AND(N27="1521",MONTH(C27)='BK-NL'!$M$11),"x","")</f>
        <v/>
      </c>
    </row>
    <row r="28" spans="1:30" s="348" customFormat="1" ht="15.75" customHeight="1">
      <c r="A28" s="343" t="str">
        <f>IF(B28&lt;&gt;"",IF(AND(B28='IN-TC'!$S$4,OR(TH!N28="1111",TH!O28="1111")),TH!D28,""),"")</f>
        <v/>
      </c>
      <c r="B28" s="63">
        <f t="shared" si="2"/>
        <v>2</v>
      </c>
      <c r="C28" s="879">
        <v>42429</v>
      </c>
      <c r="D28" s="879" t="s">
        <v>585</v>
      </c>
      <c r="E28" s="879">
        <f t="shared" ref="E28:E30" si="8">C28</f>
        <v>42429</v>
      </c>
      <c r="F28" s="880" t="s">
        <v>1332</v>
      </c>
      <c r="G28" s="880"/>
      <c r="H28" s="74"/>
      <c r="I28" s="447"/>
      <c r="J28" s="447"/>
      <c r="K28" s="438"/>
      <c r="L28" s="447"/>
      <c r="M28" s="881">
        <v>10010706</v>
      </c>
      <c r="N28" s="885" t="s">
        <v>283</v>
      </c>
      <c r="O28" s="886" t="s">
        <v>592</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IF(AND('341-CT'!$H$9=H28,OR(LEFT(N28,3)=$W$7,LEFT(O28,3)=$W$7)),"x","")</f>
        <v/>
      </c>
      <c r="X28" s="85" t="str">
        <f>IF(OR(TH!N28=TH!$X$7,O28=TH!$X$7),"x","")</f>
        <v/>
      </c>
      <c r="Y28" s="85" t="str">
        <f>IF(AND(OR(N28="131",O28="131"),H28='131-CT'!$H$9),"x","")</f>
        <v/>
      </c>
      <c r="Z28" s="85"/>
      <c r="AA28" s="85" t="str">
        <f>IF(AND(MONTH(E28)='IN-NX'!$J$5,'IN-NX'!$D$7=D28),"x","")</f>
        <v/>
      </c>
      <c r="AB28" s="85" t="str">
        <f>IF(AND(OR(LEFT(TH!N28,2)="15",LEFT(TH!O28,2)="15"),'152-CT'!$J$8=TH!F28),"x","")</f>
        <v/>
      </c>
      <c r="AC28" s="85" t="str">
        <f>IF(AND(OR(LEFT(TH!N28,2)="15",LEFT(TH!O28,2)="15"),TK!$E$7=TH!F28),"x","")</f>
        <v/>
      </c>
      <c r="AD28" s="85" t="str">
        <f>IF(AND(N28="1521",MONTH(C28)='BK-NL'!$M$11),"x","")</f>
        <v/>
      </c>
    </row>
    <row r="29" spans="1:30" s="348" customFormat="1" ht="15.75" customHeight="1">
      <c r="A29" s="343" t="str">
        <f>IF(B29&lt;&gt;"",IF(AND(B29='IN-TC'!$S$4,OR(TH!N29="1111",TH!O29="1111")),TH!D29,""),"")</f>
        <v/>
      </c>
      <c r="B29" s="63">
        <f t="shared" si="2"/>
        <v>2</v>
      </c>
      <c r="C29" s="879">
        <v>42429</v>
      </c>
      <c r="D29" s="879" t="s">
        <v>585</v>
      </c>
      <c r="E29" s="879">
        <f t="shared" si="8"/>
        <v>42429</v>
      </c>
      <c r="F29" s="880" t="s">
        <v>1333</v>
      </c>
      <c r="G29" s="995"/>
      <c r="H29" s="73"/>
      <c r="I29" s="448"/>
      <c r="J29" s="448"/>
      <c r="K29" s="439"/>
      <c r="L29" s="448"/>
      <c r="M29" s="881">
        <v>3671167</v>
      </c>
      <c r="N29" s="887" t="s">
        <v>101</v>
      </c>
      <c r="O29" s="887" t="s">
        <v>593</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IF(AND('341-CT'!$H$9=H29,OR(LEFT(N29,3)=$W$7,LEFT(O29,3)=$W$7)),"x","")</f>
        <v/>
      </c>
      <c r="X29" s="85" t="str">
        <f>IF(OR(TH!N29=TH!$X$7,O29=TH!$X$7),"x","")</f>
        <v/>
      </c>
      <c r="Y29" s="85" t="str">
        <f>IF(AND(OR(N29="131",O29="131"),H29='131-CT'!$H$9),"x","")</f>
        <v/>
      </c>
      <c r="Z29" s="85"/>
      <c r="AA29" s="85" t="str">
        <f>IF(AND(MONTH(E29)='IN-NX'!$J$5,'IN-NX'!$D$7=D29),"x","")</f>
        <v/>
      </c>
      <c r="AB29" s="85" t="str">
        <f>IF(AND(OR(LEFT(TH!N29,2)="15",LEFT(TH!O29,2)="15"),'152-CT'!$J$8=TH!F29),"x","")</f>
        <v/>
      </c>
      <c r="AC29" s="85" t="str">
        <f>IF(AND(OR(LEFT(TH!N29,2)="15",LEFT(TH!O29,2)="15"),TK!$E$7=TH!F29),"x","")</f>
        <v/>
      </c>
      <c r="AD29" s="85" t="str">
        <f>IF(AND(N29="1521",MONTH(C29)='BK-NL'!$M$11),"x","")</f>
        <v/>
      </c>
    </row>
    <row r="30" spans="1:30" s="348" customFormat="1" ht="15.75" customHeight="1">
      <c r="A30" s="343" t="str">
        <f>IF(B30&lt;&gt;"",IF(AND(B30='IN-TC'!$S$4,OR(TH!N30="1111",TH!O30="1111")),TH!D30,""),"")</f>
        <v/>
      </c>
      <c r="B30" s="63">
        <f t="shared" si="2"/>
        <v>2</v>
      </c>
      <c r="C30" s="879">
        <v>42429</v>
      </c>
      <c r="D30" s="879" t="s">
        <v>585</v>
      </c>
      <c r="E30" s="879">
        <f t="shared" si="8"/>
        <v>42429</v>
      </c>
      <c r="F30" s="880" t="s">
        <v>1333</v>
      </c>
      <c r="G30" s="880"/>
      <c r="H30" s="73"/>
      <c r="I30" s="448"/>
      <c r="J30" s="448"/>
      <c r="K30" s="439"/>
      <c r="L30" s="448"/>
      <c r="M30" s="881">
        <v>47128136</v>
      </c>
      <c r="N30" s="887" t="s">
        <v>283</v>
      </c>
      <c r="O30" s="887" t="s">
        <v>593</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IF(AND('341-CT'!$H$9=H30,OR(LEFT(N30,3)=$W$7,LEFT(O30,3)=$W$7)),"x","")</f>
        <v/>
      </c>
      <c r="X30" s="85" t="str">
        <f>IF(OR(TH!N30=TH!$X$7,O30=TH!$X$7),"x","")</f>
        <v/>
      </c>
      <c r="Y30" s="85" t="str">
        <f>IF(AND(OR(N30="131",O30="131"),H30='131-CT'!$H$9),"x","")</f>
        <v/>
      </c>
      <c r="Z30" s="85"/>
      <c r="AA30" s="85" t="str">
        <f>IF(AND(MONTH(E30)='IN-NX'!$J$5,'IN-NX'!$D$7=D30),"x","")</f>
        <v/>
      </c>
      <c r="AB30" s="85" t="str">
        <f>IF(AND(OR(LEFT(TH!N30,2)="15",LEFT(TH!O30,2)="15"),'152-CT'!$J$8=TH!F30),"x","")</f>
        <v/>
      </c>
      <c r="AC30" s="85" t="str">
        <f>IF(AND(OR(LEFT(TH!N30,2)="15",LEFT(TH!O30,2)="15"),TK!$E$7=TH!F30),"x","")</f>
        <v/>
      </c>
      <c r="AD30" s="85" t="str">
        <f>IF(AND(N30="1521",MONTH(C30)='BK-NL'!$M$11),"x","")</f>
        <v/>
      </c>
    </row>
    <row r="31" spans="1:30" s="348" customFormat="1" ht="15.75" customHeight="1">
      <c r="A31" s="343" t="str">
        <f>IF(B31&lt;&gt;"",IF(AND(B31='IN-TC'!$S$4,OR(TH!N31="1111",TH!O31="1111")),TH!D31,""),"")</f>
        <v/>
      </c>
      <c r="B31" s="63">
        <f t="shared" si="2"/>
        <v>3</v>
      </c>
      <c r="C31" s="879">
        <v>42460</v>
      </c>
      <c r="D31" s="879" t="s">
        <v>585</v>
      </c>
      <c r="E31" s="879">
        <f t="shared" ref="E31:E33" si="9">C31</f>
        <v>42460</v>
      </c>
      <c r="F31" s="880" t="s">
        <v>1332</v>
      </c>
      <c r="G31" s="880"/>
      <c r="H31" s="74"/>
      <c r="I31" s="447"/>
      <c r="J31" s="447"/>
      <c r="K31" s="438"/>
      <c r="L31" s="447"/>
      <c r="M31" s="881">
        <v>10010706</v>
      </c>
      <c r="N31" s="885" t="s">
        <v>283</v>
      </c>
      <c r="O31" s="886" t="s">
        <v>592</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IF(AND('341-CT'!$H$9=H31,OR(LEFT(N31,3)=$W$7,LEFT(O31,3)=$W$7)),"x","")</f>
        <v/>
      </c>
      <c r="X31" s="85" t="str">
        <f>IF(OR(TH!N31=TH!$X$7,O31=TH!$X$7),"x","")</f>
        <v/>
      </c>
      <c r="Y31" s="85" t="str">
        <f>IF(AND(OR(N31="131",O31="131"),H31='131-CT'!$H$9),"x","")</f>
        <v/>
      </c>
      <c r="Z31" s="85"/>
      <c r="AA31" s="85" t="str">
        <f>IF(AND(MONTH(E31)='IN-NX'!$J$5,'IN-NX'!$D$7=D31),"x","")</f>
        <v/>
      </c>
      <c r="AB31" s="85" t="str">
        <f>IF(AND(OR(LEFT(TH!N31,2)="15",LEFT(TH!O31,2)="15"),'152-CT'!$J$8=TH!F31),"x","")</f>
        <v/>
      </c>
      <c r="AC31" s="85" t="str">
        <f>IF(AND(OR(LEFT(TH!N31,2)="15",LEFT(TH!O31,2)="15"),TK!$E$7=TH!F31),"x","")</f>
        <v/>
      </c>
      <c r="AD31" s="85" t="str">
        <f>IF(AND(N31="1521",MONTH(C31)='BK-NL'!$M$11),"x","")</f>
        <v/>
      </c>
    </row>
    <row r="32" spans="1:30" s="348" customFormat="1" ht="15.75" customHeight="1">
      <c r="A32" s="343" t="str">
        <f>IF(B32&lt;&gt;"",IF(AND(B32='IN-TC'!$S$4,OR(TH!N32="1111",TH!O32="1111")),TH!D32,""),"")</f>
        <v/>
      </c>
      <c r="B32" s="63">
        <f t="shared" si="2"/>
        <v>3</v>
      </c>
      <c r="C32" s="879">
        <v>42460</v>
      </c>
      <c r="D32" s="879" t="s">
        <v>585</v>
      </c>
      <c r="E32" s="879">
        <f t="shared" si="9"/>
        <v>42460</v>
      </c>
      <c r="F32" s="880" t="s">
        <v>1333</v>
      </c>
      <c r="G32" s="995"/>
      <c r="H32" s="73"/>
      <c r="I32" s="448"/>
      <c r="J32" s="448"/>
      <c r="K32" s="439"/>
      <c r="L32" s="448"/>
      <c r="M32" s="881">
        <v>3671167</v>
      </c>
      <c r="N32" s="887" t="s">
        <v>101</v>
      </c>
      <c r="O32" s="887" t="s">
        <v>593</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IF(AND('341-CT'!$H$9=H32,OR(LEFT(N32,3)=$W$7,LEFT(O32,3)=$W$7)),"x","")</f>
        <v/>
      </c>
      <c r="X32" s="85" t="str">
        <f>IF(OR(TH!N32=TH!$X$7,O32=TH!$X$7),"x","")</f>
        <v/>
      </c>
      <c r="Y32" s="85" t="str">
        <f>IF(AND(OR(N32="131",O32="131"),H32='131-CT'!$H$9),"x","")</f>
        <v/>
      </c>
      <c r="Z32" s="85"/>
      <c r="AA32" s="85" t="str">
        <f>IF(AND(MONTH(E32)='IN-NX'!$J$5,'IN-NX'!$D$7=D32),"x","")</f>
        <v/>
      </c>
      <c r="AB32" s="85" t="str">
        <f>IF(AND(OR(LEFT(TH!N32,2)="15",LEFT(TH!O32,2)="15"),'152-CT'!$J$8=TH!F32),"x","")</f>
        <v/>
      </c>
      <c r="AC32" s="85" t="str">
        <f>IF(AND(OR(LEFT(TH!N32,2)="15",LEFT(TH!O32,2)="15"),TK!$E$7=TH!F32),"x","")</f>
        <v/>
      </c>
      <c r="AD32" s="85" t="str">
        <f>IF(AND(N32="1521",MONTH(C32)='BK-NL'!$M$11),"x","")</f>
        <v/>
      </c>
    </row>
    <row r="33" spans="1:30" s="348" customFormat="1" ht="15.75" customHeight="1">
      <c r="A33" s="343" t="str">
        <f>IF(B33&lt;&gt;"",IF(AND(B33='IN-TC'!$S$4,OR(TH!N33="1111",TH!O33="1111")),TH!D33,""),"")</f>
        <v/>
      </c>
      <c r="B33" s="63">
        <f t="shared" si="2"/>
        <v>3</v>
      </c>
      <c r="C33" s="879">
        <v>42460</v>
      </c>
      <c r="D33" s="879" t="s">
        <v>585</v>
      </c>
      <c r="E33" s="879">
        <f t="shared" si="9"/>
        <v>42460</v>
      </c>
      <c r="F33" s="880" t="s">
        <v>1333</v>
      </c>
      <c r="G33" s="880"/>
      <c r="H33" s="73"/>
      <c r="I33" s="448"/>
      <c r="J33" s="448"/>
      <c r="K33" s="439"/>
      <c r="L33" s="448"/>
      <c r="M33" s="881">
        <v>47128136</v>
      </c>
      <c r="N33" s="887" t="s">
        <v>283</v>
      </c>
      <c r="O33" s="887" t="s">
        <v>593</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IF(AND('341-CT'!$H$9=H33,OR(LEFT(N33,3)=$W$7,LEFT(O33,3)=$W$7)),"x","")</f>
        <v/>
      </c>
      <c r="X33" s="85" t="str">
        <f>IF(OR(TH!N33=TH!$X$7,O33=TH!$X$7),"x","")</f>
        <v/>
      </c>
      <c r="Y33" s="85" t="str">
        <f>IF(AND(OR(N33="131",O33="131"),H33='131-CT'!$H$9),"x","")</f>
        <v/>
      </c>
      <c r="Z33" s="85"/>
      <c r="AA33" s="85" t="str">
        <f>IF(AND(MONTH(E33)='IN-NX'!$J$5,'IN-NX'!$D$7=D33),"x","")</f>
        <v/>
      </c>
      <c r="AB33" s="85" t="str">
        <f>IF(AND(OR(LEFT(TH!N33,2)="15",LEFT(TH!O33,2)="15"),'152-CT'!$J$8=TH!F33),"x","")</f>
        <v/>
      </c>
      <c r="AC33" s="85" t="str">
        <f>IF(AND(OR(LEFT(TH!N33,2)="15",LEFT(TH!O33,2)="15"),TK!$E$7=TH!F33),"x","")</f>
        <v/>
      </c>
      <c r="AD33" s="85" t="str">
        <f>IF(AND(N33="1521",MONTH(C33)='BK-NL'!$M$11),"x","")</f>
        <v/>
      </c>
    </row>
    <row r="34" spans="1:30" s="348" customFormat="1" ht="15.75" customHeight="1">
      <c r="A34" s="343" t="str">
        <f>IF(B34&lt;&gt;"",IF(AND(B34='IN-TC'!$S$4,OR(TH!N34="1111",TH!O34="1111")),TH!D34,""),"")</f>
        <v/>
      </c>
      <c r="B34" s="63">
        <f t="shared" si="2"/>
        <v>1</v>
      </c>
      <c r="C34" s="882">
        <v>42400</v>
      </c>
      <c r="D34" s="882" t="s">
        <v>585</v>
      </c>
      <c r="E34" s="882">
        <f>C34</f>
        <v>42400</v>
      </c>
      <c r="F34" s="883" t="s">
        <v>1347</v>
      </c>
      <c r="G34" s="278">
        <v>37369000</v>
      </c>
      <c r="H34" s="322"/>
      <c r="I34" s="447"/>
      <c r="J34" s="447"/>
      <c r="K34" s="438"/>
      <c r="L34" s="447"/>
      <c r="M34" s="888">
        <v>36456640</v>
      </c>
      <c r="N34" s="889" t="s">
        <v>594</v>
      </c>
      <c r="O34" s="889" t="s">
        <v>595</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IF(AND('341-CT'!$H$9=H34,OR(LEFT(N34,3)=$W$7,LEFT(O34,3)=$W$7)),"x","")</f>
        <v/>
      </c>
      <c r="X34" s="85" t="str">
        <f>IF(OR(TH!N34=TH!$X$7,O34=TH!$X$7),"x","")</f>
        <v/>
      </c>
      <c r="Y34" s="85" t="str">
        <f>IF(AND(OR(N34="131",O34="131"),H34='131-CT'!$H$9),"x","")</f>
        <v/>
      </c>
      <c r="Z34" s="85"/>
      <c r="AA34" s="85" t="str">
        <f>IF(AND(MONTH(E34)='IN-NX'!$J$5,'IN-NX'!$D$7=D34),"x","")</f>
        <v/>
      </c>
      <c r="AB34" s="85" t="str">
        <f>IF(AND(OR(LEFT(TH!N34,2)="15",LEFT(TH!O34,2)="15"),'152-CT'!$J$8=TH!F34),"x","")</f>
        <v/>
      </c>
      <c r="AC34" s="85" t="str">
        <f>IF(AND(OR(LEFT(TH!N34,2)="15",LEFT(TH!O34,2)="15"),TK!$E$7=TH!F34),"x","")</f>
        <v/>
      </c>
      <c r="AD34" s="85" t="str">
        <f>IF(AND(N34="1521",MONTH(C34)='BK-NL'!$M$11),"x","")</f>
        <v/>
      </c>
    </row>
    <row r="35" spans="1:30" s="348" customFormat="1" ht="15.75" customHeight="1">
      <c r="A35" s="343" t="str">
        <f>IF(B35&lt;&gt;"",IF(AND(B35='IN-TC'!$S$4,OR(TH!N35="1111",TH!O35="1111")),TH!D35,""),"")</f>
        <v/>
      </c>
      <c r="B35" s="63">
        <f t="shared" si="2"/>
        <v>1</v>
      </c>
      <c r="C35" s="882">
        <v>42400</v>
      </c>
      <c r="D35" s="882" t="s">
        <v>585</v>
      </c>
      <c r="E35" s="882">
        <f t="shared" ref="E35:E47" si="10">C35</f>
        <v>42400</v>
      </c>
      <c r="F35" s="883" t="s">
        <v>1348</v>
      </c>
      <c r="G35" s="278">
        <v>111683000</v>
      </c>
      <c r="H35" s="322"/>
      <c r="I35" s="447"/>
      <c r="J35" s="447"/>
      <c r="K35" s="438"/>
      <c r="L35" s="447"/>
      <c r="M35" s="888">
        <v>119802600</v>
      </c>
      <c r="N35" s="889" t="s">
        <v>283</v>
      </c>
      <c r="O35" s="889" t="s">
        <v>595</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IF(AND('341-CT'!$H$9=H35,OR(LEFT(N35,3)=$W$7,LEFT(O35,3)=$W$7)),"x","")</f>
        <v/>
      </c>
      <c r="X35" s="85" t="str">
        <f>IF(OR(TH!N35=TH!$X$7,O35=TH!$X$7),"x","")</f>
        <v/>
      </c>
      <c r="Y35" s="85" t="str">
        <f>IF(AND(OR(N35="131",O35="131"),H35='131-CT'!$H$9),"x","")</f>
        <v/>
      </c>
      <c r="Z35" s="85"/>
      <c r="AA35" s="85" t="str">
        <f>IF(AND(MONTH(E35)='IN-NX'!$J$5,'IN-NX'!$D$7=D35),"x","")</f>
        <v/>
      </c>
      <c r="AB35" s="85" t="str">
        <f>IF(AND(OR(LEFT(TH!N35,2)="15",LEFT(TH!O35,2)="15"),'152-CT'!$J$8=TH!F35),"x","")</f>
        <v/>
      </c>
      <c r="AC35" s="85" t="str">
        <f>IF(AND(OR(LEFT(TH!N35,2)="15",LEFT(TH!O35,2)="15"),TK!$E$7=TH!F35),"x","")</f>
        <v/>
      </c>
      <c r="AD35" s="85" t="str">
        <f>IF(AND(N35="1521",MONTH(C35)='BK-NL'!$M$11),"x","")</f>
        <v/>
      </c>
    </row>
    <row r="36" spans="1:30" s="348" customFormat="1" ht="15.75" customHeight="1">
      <c r="A36" s="343" t="str">
        <f>IF(B36&lt;&gt;"",IF(AND(B36='IN-TC'!$S$4,OR(TH!N36="1111",TH!O36="1111")),TH!D36,""),"")</f>
        <v/>
      </c>
      <c r="B36" s="63">
        <f t="shared" si="2"/>
        <v>1</v>
      </c>
      <c r="C36" s="882">
        <v>42400</v>
      </c>
      <c r="D36" s="882" t="s">
        <v>585</v>
      </c>
      <c r="E36" s="882">
        <f t="shared" si="10"/>
        <v>42400</v>
      </c>
      <c r="F36" s="883" t="s">
        <v>1349</v>
      </c>
      <c r="G36" s="990" t="s">
        <v>586</v>
      </c>
      <c r="H36" s="322"/>
      <c r="I36" s="447"/>
      <c r="J36" s="447"/>
      <c r="K36" s="438"/>
      <c r="L36" s="447"/>
      <c r="M36" s="888">
        <f>G34*$G36</f>
        <v>2989520</v>
      </c>
      <c r="N36" s="889" t="s">
        <v>595</v>
      </c>
      <c r="O36" s="889" t="s">
        <v>596</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IF(AND('341-CT'!$H$9=H36,OR(LEFT(N36,3)=$W$7,LEFT(O36,3)=$W$7)),"x","")</f>
        <v/>
      </c>
      <c r="X36" s="85" t="str">
        <f>IF(OR(TH!N36=TH!$X$7,O36=TH!$X$7),"x","")</f>
        <v/>
      </c>
      <c r="Y36" s="85" t="str">
        <f>IF(AND(OR(N36="131",O36="131"),H36='131-CT'!$H$9),"x","")</f>
        <v/>
      </c>
      <c r="Z36" s="85"/>
      <c r="AA36" s="85" t="str">
        <f>IF(AND(MONTH(E36)='IN-NX'!$J$5,'IN-NX'!$D$7=D36),"x","")</f>
        <v/>
      </c>
      <c r="AB36" s="85" t="str">
        <f>IF(AND(OR(LEFT(TH!N36,2)="15",LEFT(TH!O36,2)="15"),'152-CT'!$J$8=TH!F36),"x","")</f>
        <v/>
      </c>
      <c r="AC36" s="85" t="str">
        <f>IF(AND(OR(LEFT(TH!N36,2)="15",LEFT(TH!O36,2)="15"),TK!$E$7=TH!F36),"x","")</f>
        <v/>
      </c>
      <c r="AD36" s="85" t="str">
        <f>IF(AND(N36="1521",MONTH(C36)='BK-NL'!$M$11),"x","")</f>
        <v/>
      </c>
    </row>
    <row r="37" spans="1:30" s="348" customFormat="1" ht="15.75" customHeight="1">
      <c r="A37" s="343" t="str">
        <f>IF(B37&lt;&gt;"",IF(AND(B37='IN-TC'!$S$4,OR(TH!N37="1111",TH!O37="1111")),TH!D37,""),"")</f>
        <v/>
      </c>
      <c r="B37" s="63">
        <f t="shared" si="2"/>
        <v>1</v>
      </c>
      <c r="C37" s="882">
        <v>42400</v>
      </c>
      <c r="D37" s="882" t="s">
        <v>585</v>
      </c>
      <c r="E37" s="882">
        <f t="shared" si="10"/>
        <v>42400</v>
      </c>
      <c r="F37" s="883" t="s">
        <v>1350</v>
      </c>
      <c r="G37" s="278"/>
      <c r="H37" s="322"/>
      <c r="I37" s="447"/>
      <c r="J37" s="447"/>
      <c r="K37" s="438"/>
      <c r="L37" s="447"/>
      <c r="M37" s="888">
        <f>G35*$G36</f>
        <v>8934640</v>
      </c>
      <c r="N37" s="890" t="s">
        <v>595</v>
      </c>
      <c r="O37" s="891" t="s">
        <v>596</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IF(AND('341-CT'!$H$9=H37,OR(LEFT(N37,3)=$W$7,LEFT(O37,3)=$W$7)),"x","")</f>
        <v/>
      </c>
      <c r="X37" s="85" t="str">
        <f>IF(OR(TH!N37=TH!$X$7,O37=TH!$X$7),"x","")</f>
        <v/>
      </c>
      <c r="Y37" s="85" t="str">
        <f>IF(AND(OR(N37="131",O37="131"),H37='131-CT'!$H$9),"x","")</f>
        <v/>
      </c>
      <c r="Z37" s="85"/>
      <c r="AA37" s="85" t="str">
        <f>IF(AND(MONTH(E37)='IN-NX'!$J$5,'IN-NX'!$D$7=D37),"x","")</f>
        <v/>
      </c>
      <c r="AB37" s="85" t="str">
        <f>IF(AND(OR(LEFT(TH!N37,2)="15",LEFT(TH!O37,2)="15"),'152-CT'!$J$8=TH!F37),"x","")</f>
        <v/>
      </c>
      <c r="AC37" s="85" t="str">
        <f>IF(AND(OR(LEFT(TH!N37,2)="15",LEFT(TH!O37,2)="15"),TK!$E$7=TH!F37),"x","")</f>
        <v/>
      </c>
      <c r="AD37" s="85" t="str">
        <f>IF(AND(N37="1521",MONTH(C37)='BK-NL'!$M$11),"x","")</f>
        <v/>
      </c>
    </row>
    <row r="38" spans="1:30" s="348" customFormat="1" ht="15.75" customHeight="1">
      <c r="A38" s="343" t="str">
        <f>IF(B38&lt;&gt;"",IF(AND(B38='IN-TC'!$S$4,OR(TH!N38="1111",TH!O38="1111")),TH!D38,""),"")</f>
        <v/>
      </c>
      <c r="B38" s="63">
        <f t="shared" si="2"/>
        <v>1</v>
      </c>
      <c r="C38" s="882">
        <v>42400</v>
      </c>
      <c r="D38" s="882" t="s">
        <v>585</v>
      </c>
      <c r="E38" s="882">
        <f t="shared" si="10"/>
        <v>42400</v>
      </c>
      <c r="F38" s="883" t="s">
        <v>1351</v>
      </c>
      <c r="G38" s="990" t="s">
        <v>587</v>
      </c>
      <c r="H38" s="322"/>
      <c r="I38" s="447"/>
      <c r="J38" s="447"/>
      <c r="K38" s="438"/>
      <c r="L38" s="447"/>
      <c r="M38" s="888">
        <f>G34*$G38</f>
        <v>6726420</v>
      </c>
      <c r="N38" s="889" t="s">
        <v>594</v>
      </c>
      <c r="O38" s="889" t="s">
        <v>596</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IF(AND('341-CT'!$H$9=H38,OR(LEFT(N38,3)=$W$7,LEFT(O38,3)=$W$7)),"x","")</f>
        <v/>
      </c>
      <c r="X38" s="85" t="str">
        <f>IF(OR(TH!N38=TH!$X$7,O38=TH!$X$7),"x","")</f>
        <v/>
      </c>
      <c r="Y38" s="85" t="str">
        <f>IF(AND(OR(N38="131",O38="131"),H38='131-CT'!$H$9),"x","")</f>
        <v/>
      </c>
      <c r="Z38" s="85"/>
      <c r="AA38" s="85" t="str">
        <f>IF(AND(MONTH(E38)='IN-NX'!$J$5,'IN-NX'!$D$7=D38),"x","")</f>
        <v/>
      </c>
      <c r="AB38" s="85" t="str">
        <f>IF(AND(OR(LEFT(TH!N38,2)="15",LEFT(TH!O38,2)="15"),'152-CT'!$J$8=TH!F38),"x","")</f>
        <v/>
      </c>
      <c r="AC38" s="85" t="str">
        <f>IF(AND(OR(LEFT(TH!N38,2)="15",LEFT(TH!O38,2)="15"),TK!$E$7=TH!F38),"x","")</f>
        <v/>
      </c>
      <c r="AD38" s="85" t="str">
        <f>IF(AND(N38="1521",MONTH(C38)='BK-NL'!$M$11),"x","")</f>
        <v/>
      </c>
    </row>
    <row r="39" spans="1:30" s="348" customFormat="1" ht="15.75" customHeight="1">
      <c r="A39" s="343" t="str">
        <f>IF(B39&lt;&gt;"",IF(AND(B39='IN-TC'!$S$4,OR(TH!N39="1111",TH!O39="1111")),TH!D39,""),"")</f>
        <v/>
      </c>
      <c r="B39" s="63">
        <f t="shared" si="2"/>
        <v>1</v>
      </c>
      <c r="C39" s="882">
        <v>42400</v>
      </c>
      <c r="D39" s="882" t="s">
        <v>585</v>
      </c>
      <c r="E39" s="882">
        <f t="shared" si="10"/>
        <v>42400</v>
      </c>
      <c r="F39" s="883" t="s">
        <v>1352</v>
      </c>
      <c r="G39" s="278"/>
      <c r="H39" s="322"/>
      <c r="I39" s="447"/>
      <c r="J39" s="447"/>
      <c r="K39" s="438"/>
      <c r="L39" s="447"/>
      <c r="M39" s="888">
        <f>G35*$G38</f>
        <v>20102940</v>
      </c>
      <c r="N39" s="889" t="s">
        <v>283</v>
      </c>
      <c r="O39" s="889" t="s">
        <v>596</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IF(AND('341-CT'!$H$9=H39,OR(LEFT(N39,3)=$W$7,LEFT(O39,3)=$W$7)),"x","")</f>
        <v/>
      </c>
      <c r="X39" s="85" t="str">
        <f>IF(OR(TH!N39=TH!$X$7,O39=TH!$X$7),"x","")</f>
        <v/>
      </c>
      <c r="Y39" s="85" t="str">
        <f>IF(AND(OR(N39="131",O39="131"),H39='131-CT'!$H$9),"x","")</f>
        <v/>
      </c>
      <c r="Z39" s="85"/>
      <c r="AA39" s="85" t="str">
        <f>IF(AND(MONTH(E39)='IN-NX'!$J$5,'IN-NX'!$D$7=D39),"x","")</f>
        <v/>
      </c>
      <c r="AB39" s="85" t="str">
        <f>IF(AND(OR(LEFT(TH!N39,2)="15",LEFT(TH!O39,2)="15"),'152-CT'!$J$8=TH!F39),"x","")</f>
        <v/>
      </c>
      <c r="AC39" s="85" t="str">
        <f>IF(AND(OR(LEFT(TH!N39,2)="15",LEFT(TH!O39,2)="15"),TK!$E$7=TH!F39),"x","")</f>
        <v/>
      </c>
      <c r="AD39" s="85" t="str">
        <f>IF(AND(N39="1521",MONTH(C39)='BK-NL'!$M$11),"x","")</f>
        <v/>
      </c>
    </row>
    <row r="40" spans="1:30" s="348" customFormat="1" ht="15.75" customHeight="1">
      <c r="A40" s="343" t="str">
        <f>IF(B40&lt;&gt;"",IF(AND(B40='IN-TC'!$S$4,OR(TH!N40="1111",TH!O40="1111")),TH!D40,""),"")</f>
        <v/>
      </c>
      <c r="B40" s="63">
        <f t="shared" si="2"/>
        <v>1</v>
      </c>
      <c r="C40" s="882">
        <v>42400</v>
      </c>
      <c r="D40" s="882" t="s">
        <v>585</v>
      </c>
      <c r="E40" s="882">
        <f t="shared" si="10"/>
        <v>42400</v>
      </c>
      <c r="F40" s="883" t="s">
        <v>1353</v>
      </c>
      <c r="G40" s="990" t="s">
        <v>588</v>
      </c>
      <c r="H40" s="324"/>
      <c r="I40" s="445"/>
      <c r="J40" s="445"/>
      <c r="K40" s="436"/>
      <c r="L40" s="445"/>
      <c r="M40" s="888">
        <f>G34*$G40</f>
        <v>560535</v>
      </c>
      <c r="N40" s="889" t="s">
        <v>595</v>
      </c>
      <c r="O40" s="889" t="s">
        <v>597</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IF(AND('341-CT'!$H$9=H40,OR(LEFT(N40,3)=$W$7,LEFT(O40,3)=$W$7)),"x","")</f>
        <v/>
      </c>
      <c r="X40" s="85" t="str">
        <f>IF(OR(TH!N40=TH!$X$7,O40=TH!$X$7),"x","")</f>
        <v/>
      </c>
      <c r="Y40" s="85" t="str">
        <f>IF(AND(OR(N40="131",O40="131"),H40='131-CT'!$H$9),"x","")</f>
        <v/>
      </c>
      <c r="Z40" s="85"/>
      <c r="AA40" s="85" t="str">
        <f>IF(AND(MONTH(E40)='IN-NX'!$J$5,'IN-NX'!$D$7=D40),"x","")</f>
        <v/>
      </c>
      <c r="AB40" s="85" t="str">
        <f>IF(AND(OR(LEFT(TH!N40,2)="15",LEFT(TH!O40,2)="15"),'152-CT'!$J$8=TH!F40),"x","")</f>
        <v/>
      </c>
      <c r="AC40" s="85" t="str">
        <f>IF(AND(OR(LEFT(TH!N40,2)="15",LEFT(TH!O40,2)="15"),TK!$E$7=TH!F40),"x","")</f>
        <v/>
      </c>
      <c r="AD40" s="85" t="str">
        <f>IF(AND(N40="1521",MONTH(C40)='BK-NL'!$M$11),"x","")</f>
        <v/>
      </c>
    </row>
    <row r="41" spans="1:30" s="348" customFormat="1" ht="15.75" customHeight="1">
      <c r="A41" s="343" t="str">
        <f>IF(B41&lt;&gt;"",IF(AND(B41='IN-TC'!$S$4,OR(TH!N41="1111",TH!O41="1111")),TH!D41,""),"")</f>
        <v/>
      </c>
      <c r="B41" s="63">
        <f t="shared" si="2"/>
        <v>1</v>
      </c>
      <c r="C41" s="882">
        <v>42400</v>
      </c>
      <c r="D41" s="882" t="s">
        <v>585</v>
      </c>
      <c r="E41" s="882">
        <f t="shared" si="10"/>
        <v>42400</v>
      </c>
      <c r="F41" s="883" t="s">
        <v>1354</v>
      </c>
      <c r="G41" s="278"/>
      <c r="H41" s="324"/>
      <c r="I41" s="445"/>
      <c r="J41" s="445"/>
      <c r="K41" s="436"/>
      <c r="L41" s="445"/>
      <c r="M41" s="888">
        <f>G35*$G40</f>
        <v>1675245</v>
      </c>
      <c r="N41" s="889" t="s">
        <v>595</v>
      </c>
      <c r="O41" s="889" t="s">
        <v>597</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IF(AND('341-CT'!$H$9=H41,OR(LEFT(N41,3)=$W$7,LEFT(O41,3)=$W$7)),"x","")</f>
        <v/>
      </c>
      <c r="X41" s="85" t="str">
        <f>IF(OR(TH!N41=TH!$X$7,O41=TH!$X$7),"x","")</f>
        <v/>
      </c>
      <c r="Y41" s="85" t="str">
        <f>IF(AND(OR(N41="131",O41="131"),H41='131-CT'!$H$9),"x","")</f>
        <v/>
      </c>
      <c r="Z41" s="85"/>
      <c r="AA41" s="85" t="str">
        <f>IF(AND(MONTH(E41)='IN-NX'!$J$5,'IN-NX'!$D$7=D41),"x","")</f>
        <v/>
      </c>
      <c r="AB41" s="85" t="str">
        <f>IF(AND(OR(LEFT(TH!N41,2)="15",LEFT(TH!O41,2)="15"),'152-CT'!$J$8=TH!F41),"x","")</f>
        <v/>
      </c>
      <c r="AC41" s="85" t="str">
        <f>IF(AND(OR(LEFT(TH!N41,2)="15",LEFT(TH!O41,2)="15"),TK!$E$7=TH!F41),"x","")</f>
        <v/>
      </c>
      <c r="AD41" s="85" t="str">
        <f>IF(AND(N41="1521",MONTH(C41)='BK-NL'!$M$11),"x","")</f>
        <v/>
      </c>
    </row>
    <row r="42" spans="1:30" s="348" customFormat="1" ht="15.75" customHeight="1">
      <c r="A42" s="343" t="str">
        <f>IF(B42&lt;&gt;"",IF(AND(B42='IN-TC'!$S$4,OR(TH!N42="1111",TH!O42="1111")),TH!D42,""),"")</f>
        <v/>
      </c>
      <c r="B42" s="63">
        <f t="shared" si="2"/>
        <v>1</v>
      </c>
      <c r="C42" s="882">
        <v>42400</v>
      </c>
      <c r="D42" s="882" t="s">
        <v>585</v>
      </c>
      <c r="E42" s="882">
        <f t="shared" si="10"/>
        <v>42400</v>
      </c>
      <c r="F42" s="883" t="s">
        <v>1355</v>
      </c>
      <c r="G42" s="990" t="s">
        <v>589</v>
      </c>
      <c r="H42" s="322"/>
      <c r="I42" s="447"/>
      <c r="J42" s="447"/>
      <c r="K42" s="438"/>
      <c r="L42" s="447"/>
      <c r="M42" s="888">
        <f>G34*$G42</f>
        <v>1121070</v>
      </c>
      <c r="N42" s="889" t="s">
        <v>594</v>
      </c>
      <c r="O42" s="889" t="s">
        <v>597</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IF(AND('341-CT'!$H$9=H42,OR(LEFT(N42,3)=$W$7,LEFT(O42,3)=$W$7)),"x","")</f>
        <v/>
      </c>
      <c r="X42" s="85" t="str">
        <f>IF(OR(TH!N42=TH!$X$7,O42=TH!$X$7),"x","")</f>
        <v/>
      </c>
      <c r="Y42" s="85" t="str">
        <f>IF(AND(OR(N42="131",O42="131"),H42='131-CT'!$H$9),"x","")</f>
        <v/>
      </c>
      <c r="Z42" s="85"/>
      <c r="AA42" s="85" t="str">
        <f>IF(AND(MONTH(E42)='IN-NX'!$J$5,'IN-NX'!$D$7=D42),"x","")</f>
        <v/>
      </c>
      <c r="AB42" s="85" t="str">
        <f>IF(AND(OR(LEFT(TH!N42,2)="15",LEFT(TH!O42,2)="15"),'152-CT'!$J$8=TH!F42),"x","")</f>
        <v/>
      </c>
      <c r="AC42" s="85" t="str">
        <f>IF(AND(OR(LEFT(TH!N42,2)="15",LEFT(TH!O42,2)="15"),TK!$E$7=TH!F42),"x","")</f>
        <v/>
      </c>
      <c r="AD42" s="85" t="str">
        <f>IF(AND(N42="1521",MONTH(C42)='BK-NL'!$M$11),"x","")</f>
        <v/>
      </c>
    </row>
    <row r="43" spans="1:30" s="348" customFormat="1" ht="15.75" customHeight="1">
      <c r="A43" s="343" t="str">
        <f>IF(B43&lt;&gt;"",IF(AND(B43='IN-TC'!$S$4,OR(TH!N43="1111",TH!O43="1111")),TH!D43,""),"")</f>
        <v/>
      </c>
      <c r="B43" s="63">
        <f t="shared" si="2"/>
        <v>1</v>
      </c>
      <c r="C43" s="882">
        <v>42400</v>
      </c>
      <c r="D43" s="882" t="s">
        <v>585</v>
      </c>
      <c r="E43" s="882">
        <f t="shared" si="10"/>
        <v>42400</v>
      </c>
      <c r="F43" s="883" t="s">
        <v>1356</v>
      </c>
      <c r="G43" s="278"/>
      <c r="H43" s="322"/>
      <c r="I43" s="447"/>
      <c r="J43" s="447"/>
      <c r="K43" s="438"/>
      <c r="L43" s="447"/>
      <c r="M43" s="888">
        <f>G35*$G42</f>
        <v>3350490</v>
      </c>
      <c r="N43" s="889" t="s">
        <v>283</v>
      </c>
      <c r="O43" s="889" t="s">
        <v>597</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IF(AND('341-CT'!$H$9=H43,OR(LEFT(N43,3)=$W$7,LEFT(O43,3)=$W$7)),"x","")</f>
        <v/>
      </c>
      <c r="X43" s="85" t="str">
        <f>IF(OR(TH!N43=TH!$X$7,O43=TH!$X$7),"x","")</f>
        <v/>
      </c>
      <c r="Y43" s="85" t="str">
        <f>IF(AND(OR(N43="131",O43="131"),H43='131-CT'!$H$9),"x","")</f>
        <v/>
      </c>
      <c r="Z43" s="85"/>
      <c r="AA43" s="85" t="str">
        <f>IF(AND(MONTH(E43)='IN-NX'!$J$5,'IN-NX'!$D$7=D43),"x","")</f>
        <v/>
      </c>
      <c r="AB43" s="85" t="str">
        <f>IF(AND(OR(LEFT(TH!N43,2)="15",LEFT(TH!O43,2)="15"),'152-CT'!$J$8=TH!F43),"x","")</f>
        <v/>
      </c>
      <c r="AC43" s="85" t="str">
        <f>IF(AND(OR(LEFT(TH!N43,2)="15",LEFT(TH!O43,2)="15"),TK!$E$7=TH!F43),"x","")</f>
        <v/>
      </c>
      <c r="AD43" s="85" t="str">
        <f>IF(AND(N43="1521",MONTH(C43)='BK-NL'!$M$11),"x","")</f>
        <v/>
      </c>
    </row>
    <row r="44" spans="1:30" s="348" customFormat="1" ht="15.75" customHeight="1">
      <c r="A44" s="343" t="str">
        <f>IF(B44&lt;&gt;"",IF(AND(B44='IN-TC'!$S$4,OR(TH!N44="1111",TH!O44="1111")),TH!D44,""),"")</f>
        <v/>
      </c>
      <c r="B44" s="63">
        <f t="shared" si="2"/>
        <v>1</v>
      </c>
      <c r="C44" s="882">
        <v>42400</v>
      </c>
      <c r="D44" s="882" t="s">
        <v>585</v>
      </c>
      <c r="E44" s="882">
        <f t="shared" si="10"/>
        <v>42400</v>
      </c>
      <c r="F44" s="883" t="s">
        <v>1357</v>
      </c>
      <c r="G44" s="990" t="s">
        <v>590</v>
      </c>
      <c r="H44" s="322"/>
      <c r="I44" s="447"/>
      <c r="J44" s="447"/>
      <c r="K44" s="438"/>
      <c r="L44" s="447"/>
      <c r="M44" s="888">
        <f>G34*$G44</f>
        <v>373690</v>
      </c>
      <c r="N44" s="889" t="s">
        <v>595</v>
      </c>
      <c r="O44" s="889" t="s">
        <v>598</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IF(AND('341-CT'!$H$9=H44,OR(LEFT(N44,3)=$W$7,LEFT(O44,3)=$W$7)),"x","")</f>
        <v/>
      </c>
      <c r="X44" s="85" t="str">
        <f>IF(OR(TH!N44=TH!$X$7,O44=TH!$X$7),"x","")</f>
        <v/>
      </c>
      <c r="Y44" s="85" t="str">
        <f>IF(AND(OR(N44="131",O44="131"),H44='131-CT'!$H$9),"x","")</f>
        <v/>
      </c>
      <c r="Z44" s="85"/>
      <c r="AA44" s="85" t="str">
        <f>IF(AND(MONTH(E44)='IN-NX'!$J$5,'IN-NX'!$D$7=D44),"x","")</f>
        <v/>
      </c>
      <c r="AB44" s="85" t="str">
        <f>IF(AND(OR(LEFT(TH!N44,2)="15",LEFT(TH!O44,2)="15"),'152-CT'!$J$8=TH!F44),"x","")</f>
        <v/>
      </c>
      <c r="AC44" s="85" t="str">
        <f>IF(AND(OR(LEFT(TH!N44,2)="15",LEFT(TH!O44,2)="15"),TK!$E$7=TH!F44),"x","")</f>
        <v/>
      </c>
      <c r="AD44" s="85" t="str">
        <f>IF(AND(N44="1521",MONTH(C44)='BK-NL'!$M$11),"x","")</f>
        <v/>
      </c>
    </row>
    <row r="45" spans="1:30" s="348" customFormat="1" ht="15.75" customHeight="1">
      <c r="A45" s="343" t="str">
        <f>IF(B45&lt;&gt;"",IF(AND(B45='IN-TC'!$S$4,OR(TH!N45="1111",TH!O45="1111")),TH!D45,""),"")</f>
        <v/>
      </c>
      <c r="B45" s="63">
        <f t="shared" si="2"/>
        <v>1</v>
      </c>
      <c r="C45" s="882">
        <v>42400</v>
      </c>
      <c r="D45" s="882" t="s">
        <v>585</v>
      </c>
      <c r="E45" s="882">
        <f t="shared" si="10"/>
        <v>42400</v>
      </c>
      <c r="F45" s="883" t="s">
        <v>1358</v>
      </c>
      <c r="G45" s="278"/>
      <c r="H45" s="322"/>
      <c r="I45" s="447"/>
      <c r="J45" s="447"/>
      <c r="K45" s="438"/>
      <c r="L45" s="447"/>
      <c r="M45" s="888">
        <f>G35*$G44</f>
        <v>1116830</v>
      </c>
      <c r="N45" s="889" t="s">
        <v>595</v>
      </c>
      <c r="O45" s="889" t="s">
        <v>598</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IF(AND('341-CT'!$H$9=H45,OR(LEFT(N45,3)=$W$7,LEFT(O45,3)=$W$7)),"x","")</f>
        <v/>
      </c>
      <c r="X45" s="85" t="str">
        <f>IF(OR(TH!N45=TH!$X$7,O45=TH!$X$7),"x","")</f>
        <v/>
      </c>
      <c r="Y45" s="85" t="str">
        <f>IF(AND(OR(N45="131",O45="131"),H45='131-CT'!$H$9),"x","")</f>
        <v/>
      </c>
      <c r="Z45" s="85"/>
      <c r="AA45" s="85" t="str">
        <f>IF(AND(MONTH(E45)='IN-NX'!$J$5,'IN-NX'!$D$7=D45),"x","")</f>
        <v/>
      </c>
      <c r="AB45" s="85" t="str">
        <f>IF(AND(OR(LEFT(TH!N45,2)="15",LEFT(TH!O45,2)="15"),'152-CT'!$J$8=TH!F45),"x","")</f>
        <v/>
      </c>
      <c r="AC45" s="85" t="str">
        <f>IF(AND(OR(LEFT(TH!N45,2)="15",LEFT(TH!O45,2)="15"),TK!$E$7=TH!F45),"x","")</f>
        <v/>
      </c>
      <c r="AD45" s="85" t="str">
        <f>IF(AND(N45="1521",MONTH(C45)='BK-NL'!$M$11),"x","")</f>
        <v/>
      </c>
    </row>
    <row r="46" spans="1:30" s="348" customFormat="1" ht="15.75" customHeight="1">
      <c r="A46" s="343" t="str">
        <f>IF(B46&lt;&gt;"",IF(AND(B46='IN-TC'!$S$4,OR(TH!N46="1111",TH!O46="1111")),TH!D46,""),"")</f>
        <v/>
      </c>
      <c r="B46" s="63">
        <f t="shared" si="2"/>
        <v>1</v>
      </c>
      <c r="C46" s="882">
        <v>42400</v>
      </c>
      <c r="D46" s="882" t="s">
        <v>585</v>
      </c>
      <c r="E46" s="882">
        <f t="shared" si="10"/>
        <v>42400</v>
      </c>
      <c r="F46" s="883" t="s">
        <v>1359</v>
      </c>
      <c r="G46" s="990" t="s">
        <v>590</v>
      </c>
      <c r="H46" s="1150"/>
      <c r="I46" s="448"/>
      <c r="J46" s="448"/>
      <c r="K46" s="439"/>
      <c r="L46" s="448"/>
      <c r="M46" s="888">
        <f>M44</f>
        <v>373690</v>
      </c>
      <c r="N46" s="889" t="s">
        <v>594</v>
      </c>
      <c r="O46" s="889" t="s">
        <v>598</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IF(AND('341-CT'!$H$9=H46,OR(LEFT(N46,3)=$W$7,LEFT(O46,3)=$W$7)),"x","")</f>
        <v/>
      </c>
      <c r="X46" s="85" t="str">
        <f>IF(OR(TH!N46=TH!$X$7,O46=TH!$X$7),"x","")</f>
        <v/>
      </c>
      <c r="Y46" s="85" t="str">
        <f>IF(AND(OR(N46="131",O46="131"),H46='131-CT'!$H$9),"x","")</f>
        <v/>
      </c>
      <c r="Z46" s="85"/>
      <c r="AA46" s="85" t="str">
        <f>IF(AND(MONTH(E46)='IN-NX'!$J$5,'IN-NX'!$D$7=D46),"x","")</f>
        <v/>
      </c>
      <c r="AB46" s="85" t="str">
        <f>IF(AND(OR(LEFT(TH!N46,2)="15",LEFT(TH!O46,2)="15"),'152-CT'!$J$8=TH!F46),"x","")</f>
        <v/>
      </c>
      <c r="AC46" s="85" t="str">
        <f>IF(AND(OR(LEFT(TH!N46,2)="15",LEFT(TH!O46,2)="15"),TK!$E$7=TH!F46),"x","")</f>
        <v/>
      </c>
      <c r="AD46" s="85" t="str">
        <f>IF(AND(N46="1521",MONTH(C46)='BK-NL'!$M$11),"x","")</f>
        <v/>
      </c>
    </row>
    <row r="47" spans="1:30" s="348" customFormat="1" ht="15.75" customHeight="1">
      <c r="A47" s="343" t="str">
        <f>IF(B47&lt;&gt;"",IF(AND(B47='IN-TC'!$S$4,OR(TH!N47="1111",TH!O47="1111")),TH!D47,""),"")</f>
        <v/>
      </c>
      <c r="B47" s="63">
        <f t="shared" si="2"/>
        <v>1</v>
      </c>
      <c r="C47" s="882">
        <v>42400</v>
      </c>
      <c r="D47" s="882" t="s">
        <v>585</v>
      </c>
      <c r="E47" s="882">
        <f t="shared" si="10"/>
        <v>42400</v>
      </c>
      <c r="F47" s="883" t="s">
        <v>1360</v>
      </c>
      <c r="G47" s="278"/>
      <c r="H47" s="322"/>
      <c r="I47" s="447"/>
      <c r="J47" s="447"/>
      <c r="K47" s="438"/>
      <c r="L47" s="447"/>
      <c r="M47" s="888">
        <f>M45</f>
        <v>1116830</v>
      </c>
      <c r="N47" s="889" t="s">
        <v>283</v>
      </c>
      <c r="O47" s="889" t="s">
        <v>598</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IF(AND('341-CT'!$H$9=H47,OR(LEFT(N47,3)=$W$7,LEFT(O47,3)=$W$7)),"x","")</f>
        <v/>
      </c>
      <c r="X47" s="85" t="str">
        <f>IF(OR(TH!N47=TH!$X$7,O47=TH!$X$7),"x","")</f>
        <v/>
      </c>
      <c r="Y47" s="85" t="str">
        <f>IF(AND(OR(N47="131",O47="131"),H47='131-CT'!$H$9),"x","")</f>
        <v/>
      </c>
      <c r="Z47" s="85"/>
      <c r="AA47" s="85" t="str">
        <f>IF(AND(MONTH(E47)='IN-NX'!$J$5,'IN-NX'!$D$7=D47),"x","")</f>
        <v/>
      </c>
      <c r="AB47" s="85" t="str">
        <f>IF(AND(OR(LEFT(TH!N47,2)="15",LEFT(TH!O47,2)="15"),'152-CT'!$J$8=TH!F47),"x","")</f>
        <v/>
      </c>
      <c r="AC47" s="85" t="str">
        <f>IF(AND(OR(LEFT(TH!N47,2)="15",LEFT(TH!O47,2)="15"),TK!$E$7=TH!F47),"x","")</f>
        <v/>
      </c>
      <c r="AD47" s="85" t="str">
        <f>IF(AND(N47="1521",MONTH(C47)='BK-NL'!$M$11),"x","")</f>
        <v/>
      </c>
    </row>
    <row r="48" spans="1:30" s="348" customFormat="1" ht="15.75" customHeight="1">
      <c r="A48" s="343" t="str">
        <f>IF(B48&lt;&gt;"",IF(AND(B48='IN-TC'!$S$4,OR(TH!N48="1111",TH!O48="1111")),TH!D48,""),"")</f>
        <v/>
      </c>
      <c r="B48" s="63">
        <f t="shared" si="2"/>
        <v>2</v>
      </c>
      <c r="C48" s="882">
        <v>42429</v>
      </c>
      <c r="D48" s="882" t="s">
        <v>585</v>
      </c>
      <c r="E48" s="882">
        <f>C48</f>
        <v>42429</v>
      </c>
      <c r="F48" s="883" t="s">
        <v>1347</v>
      </c>
      <c r="G48" s="278">
        <v>37369000</v>
      </c>
      <c r="H48" s="322"/>
      <c r="I48" s="447"/>
      <c r="J48" s="447"/>
      <c r="K48" s="438"/>
      <c r="L48" s="447"/>
      <c r="M48" s="888">
        <v>31803952</v>
      </c>
      <c r="N48" s="889" t="s">
        <v>594</v>
      </c>
      <c r="O48" s="889" t="s">
        <v>595</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IF(AND('341-CT'!$H$9=H48,OR(LEFT(N48,3)=$W$7,LEFT(O48,3)=$W$7)),"x","")</f>
        <v/>
      </c>
      <c r="X48" s="85" t="str">
        <f>IF(OR(TH!N48=TH!$X$7,O48=TH!$X$7),"x","")</f>
        <v/>
      </c>
      <c r="Y48" s="85" t="str">
        <f>IF(AND(OR(N48="131",O48="131"),H48='131-CT'!$H$9),"x","")</f>
        <v/>
      </c>
      <c r="Z48" s="85"/>
      <c r="AA48" s="85" t="str">
        <f>IF(AND(MONTH(E48)='IN-NX'!$J$5,'IN-NX'!$D$7=D48),"x","")</f>
        <v/>
      </c>
      <c r="AB48" s="85" t="str">
        <f>IF(AND(OR(LEFT(TH!N48,2)="15",LEFT(TH!O48,2)="15"),'152-CT'!$J$8=TH!F48),"x","")</f>
        <v/>
      </c>
      <c r="AC48" s="85" t="str">
        <f>IF(AND(OR(LEFT(TH!N48,2)="15",LEFT(TH!O48,2)="15"),TK!$E$7=TH!F48),"x","")</f>
        <v/>
      </c>
      <c r="AD48" s="85" t="str">
        <f>IF(AND(N48="1521",MONTH(C48)='BK-NL'!$M$11),"x","")</f>
        <v/>
      </c>
    </row>
    <row r="49" spans="1:30" s="348" customFormat="1" ht="15.75" customHeight="1">
      <c r="A49" s="343" t="str">
        <f>IF(B49&lt;&gt;"",IF(AND(B49='IN-TC'!$S$4,OR(TH!N49="1111",TH!O49="1111")),TH!D49,""),"")</f>
        <v/>
      </c>
      <c r="B49" s="63">
        <f t="shared" si="2"/>
        <v>2</v>
      </c>
      <c r="C49" s="882">
        <v>42429</v>
      </c>
      <c r="D49" s="882" t="s">
        <v>585</v>
      </c>
      <c r="E49" s="882">
        <f t="shared" ref="E49:E68" si="11">C49</f>
        <v>42429</v>
      </c>
      <c r="F49" s="883" t="s">
        <v>1348</v>
      </c>
      <c r="G49" s="278">
        <v>108366000</v>
      </c>
      <c r="H49" s="322"/>
      <c r="I49" s="447"/>
      <c r="J49" s="447"/>
      <c r="K49" s="438"/>
      <c r="L49" s="447"/>
      <c r="M49" s="888">
        <v>97552760</v>
      </c>
      <c r="N49" s="889" t="s">
        <v>283</v>
      </c>
      <c r="O49" s="889" t="s">
        <v>595</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IF(AND('341-CT'!$H$9=H49,OR(LEFT(N49,3)=$W$7,LEFT(O49,3)=$W$7)),"x","")</f>
        <v/>
      </c>
      <c r="X49" s="85" t="str">
        <f>IF(OR(TH!N49=TH!$X$7,O49=TH!$X$7),"x","")</f>
        <v/>
      </c>
      <c r="Y49" s="85" t="str">
        <f>IF(AND(OR(N49="131",O49="131"),H49='131-CT'!$H$9),"x","")</f>
        <v/>
      </c>
      <c r="Z49" s="85"/>
      <c r="AA49" s="85" t="str">
        <f>IF(AND(MONTH(E49)='IN-NX'!$J$5,'IN-NX'!$D$7=D49),"x","")</f>
        <v/>
      </c>
      <c r="AB49" s="85" t="str">
        <f>IF(AND(OR(LEFT(TH!N49,2)="15",LEFT(TH!O49,2)="15"),'152-CT'!$J$8=TH!F49),"x","")</f>
        <v/>
      </c>
      <c r="AC49" s="85" t="str">
        <f>IF(AND(OR(LEFT(TH!N49,2)="15",LEFT(TH!O49,2)="15"),TK!$E$7=TH!F49),"x","")</f>
        <v/>
      </c>
      <c r="AD49" s="85" t="str">
        <f>IF(AND(N49="1521",MONTH(C49)='BK-NL'!$M$11),"x","")</f>
        <v/>
      </c>
    </row>
    <row r="50" spans="1:30" s="348" customFormat="1" ht="15.75" customHeight="1">
      <c r="A50" s="343" t="str">
        <f>IF(B50&lt;&gt;"",IF(AND(B50='IN-TC'!$S$4,OR(TH!N50="1111",TH!O50="1111")),TH!D50,""),"")</f>
        <v/>
      </c>
      <c r="B50" s="63">
        <f t="shared" si="2"/>
        <v>2</v>
      </c>
      <c r="C50" s="882">
        <v>42429</v>
      </c>
      <c r="D50" s="882" t="s">
        <v>585</v>
      </c>
      <c r="E50" s="882">
        <f t="shared" si="11"/>
        <v>42429</v>
      </c>
      <c r="F50" s="883" t="s">
        <v>1349</v>
      </c>
      <c r="G50" s="990" t="s">
        <v>586</v>
      </c>
      <c r="H50" s="322"/>
      <c r="I50" s="447"/>
      <c r="J50" s="447"/>
      <c r="K50" s="438"/>
      <c r="L50" s="447"/>
      <c r="M50" s="888">
        <f>G48*$G50</f>
        <v>2989520</v>
      </c>
      <c r="N50" s="889" t="s">
        <v>595</v>
      </c>
      <c r="O50" s="889" t="s">
        <v>596</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IF(AND('341-CT'!$H$9=H50,OR(LEFT(N50,3)=$W$7,LEFT(O50,3)=$W$7)),"x","")</f>
        <v/>
      </c>
      <c r="X50" s="85" t="str">
        <f>IF(OR(TH!N50=TH!$X$7,O50=TH!$X$7),"x","")</f>
        <v/>
      </c>
      <c r="Y50" s="85" t="str">
        <f>IF(AND(OR(N50="131",O50="131"),H50='131-CT'!$H$9),"x","")</f>
        <v/>
      </c>
      <c r="Z50" s="85"/>
      <c r="AA50" s="85" t="str">
        <f>IF(AND(MONTH(E50)='IN-NX'!$J$5,'IN-NX'!$D$7=D50),"x","")</f>
        <v/>
      </c>
      <c r="AB50" s="85" t="str">
        <f>IF(AND(OR(LEFT(TH!N50,2)="15",LEFT(TH!O50,2)="15"),'152-CT'!$J$8=TH!F50),"x","")</f>
        <v/>
      </c>
      <c r="AC50" s="85" t="str">
        <f>IF(AND(OR(LEFT(TH!N50,2)="15",LEFT(TH!O50,2)="15"),TK!$E$7=TH!F50),"x","")</f>
        <v/>
      </c>
      <c r="AD50" s="85" t="str">
        <f>IF(AND(N50="1521",MONTH(C50)='BK-NL'!$M$11),"x","")</f>
        <v/>
      </c>
    </row>
    <row r="51" spans="1:30" s="348" customFormat="1" ht="15.75" customHeight="1">
      <c r="A51" s="343" t="str">
        <f>IF(B51&lt;&gt;"",IF(AND(B51='IN-TC'!$S$4,OR(TH!N51="1111",TH!O51="1111")),TH!D51,""),"")</f>
        <v/>
      </c>
      <c r="B51" s="63">
        <f t="shared" si="2"/>
        <v>2</v>
      </c>
      <c r="C51" s="882">
        <v>42429</v>
      </c>
      <c r="D51" s="882" t="s">
        <v>585</v>
      </c>
      <c r="E51" s="882">
        <f t="shared" si="11"/>
        <v>42429</v>
      </c>
      <c r="F51" s="883" t="s">
        <v>1350</v>
      </c>
      <c r="G51" s="278"/>
      <c r="H51" s="322"/>
      <c r="I51" s="447"/>
      <c r="J51" s="447"/>
      <c r="K51" s="438"/>
      <c r="L51" s="447"/>
      <c r="M51" s="888">
        <f>G49*$G50</f>
        <v>8669280</v>
      </c>
      <c r="N51" s="890" t="s">
        <v>595</v>
      </c>
      <c r="O51" s="891" t="s">
        <v>596</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IF(AND('341-CT'!$H$9=H51,OR(LEFT(N51,3)=$W$7,LEFT(O51,3)=$W$7)),"x","")</f>
        <v/>
      </c>
      <c r="X51" s="85" t="str">
        <f>IF(OR(TH!N51=TH!$X$7,O51=TH!$X$7),"x","")</f>
        <v/>
      </c>
      <c r="Y51" s="85" t="str">
        <f>IF(AND(OR(N51="131",O51="131"),H51='131-CT'!$H$9),"x","")</f>
        <v/>
      </c>
      <c r="Z51" s="85"/>
      <c r="AA51" s="85" t="str">
        <f>IF(AND(MONTH(E51)='IN-NX'!$J$5,'IN-NX'!$D$7=D51),"x","")</f>
        <v/>
      </c>
      <c r="AB51" s="85" t="str">
        <f>IF(AND(OR(LEFT(TH!N51,2)="15",LEFT(TH!O51,2)="15"),'152-CT'!$J$8=TH!F51),"x","")</f>
        <v/>
      </c>
      <c r="AC51" s="85" t="str">
        <f>IF(AND(OR(LEFT(TH!N51,2)="15",LEFT(TH!O51,2)="15"),TK!$E$7=TH!F51),"x","")</f>
        <v/>
      </c>
      <c r="AD51" s="85" t="str">
        <f>IF(AND(N51="1521",MONTH(C51)='BK-NL'!$M$11),"x","")</f>
        <v/>
      </c>
    </row>
    <row r="52" spans="1:30" s="348" customFormat="1" ht="15.75" customHeight="1">
      <c r="A52" s="343" t="str">
        <f>IF(B52&lt;&gt;"",IF(AND(B52='IN-TC'!$S$4,OR(TH!N52="1111",TH!O52="1111")),TH!D52,""),"")</f>
        <v/>
      </c>
      <c r="B52" s="63">
        <f t="shared" si="2"/>
        <v>2</v>
      </c>
      <c r="C52" s="882">
        <v>42429</v>
      </c>
      <c r="D52" s="882" t="s">
        <v>585</v>
      </c>
      <c r="E52" s="882">
        <f t="shared" si="11"/>
        <v>42429</v>
      </c>
      <c r="F52" s="883" t="s">
        <v>1351</v>
      </c>
      <c r="G52" s="990" t="s">
        <v>587</v>
      </c>
      <c r="H52" s="322"/>
      <c r="I52" s="447"/>
      <c r="J52" s="447"/>
      <c r="K52" s="438"/>
      <c r="L52" s="447"/>
      <c r="M52" s="888">
        <f>G48*$G52</f>
        <v>6726420</v>
      </c>
      <c r="N52" s="889" t="s">
        <v>594</v>
      </c>
      <c r="O52" s="889" t="s">
        <v>596</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IF(AND('341-CT'!$H$9=H52,OR(LEFT(N52,3)=$W$7,LEFT(O52,3)=$W$7)),"x","")</f>
        <v/>
      </c>
      <c r="X52" s="85" t="str">
        <f>IF(OR(TH!N52=TH!$X$7,O52=TH!$X$7),"x","")</f>
        <v/>
      </c>
      <c r="Y52" s="85" t="str">
        <f>IF(AND(OR(N52="131",O52="131"),H52='131-CT'!$H$9),"x","")</f>
        <v/>
      </c>
      <c r="Z52" s="85"/>
      <c r="AA52" s="85" t="str">
        <f>IF(AND(MONTH(E52)='IN-NX'!$J$5,'IN-NX'!$D$7=D52),"x","")</f>
        <v/>
      </c>
      <c r="AB52" s="85" t="str">
        <f>IF(AND(OR(LEFT(TH!N52,2)="15",LEFT(TH!O52,2)="15"),'152-CT'!$J$8=TH!F52),"x","")</f>
        <v/>
      </c>
      <c r="AC52" s="85" t="str">
        <f>IF(AND(OR(LEFT(TH!N52,2)="15",LEFT(TH!O52,2)="15"),TK!$E$7=TH!F52),"x","")</f>
        <v/>
      </c>
      <c r="AD52" s="85" t="str">
        <f>IF(AND(N52="1521",MONTH(C52)='BK-NL'!$M$11),"x","")</f>
        <v/>
      </c>
    </row>
    <row r="53" spans="1:30" s="348" customFormat="1" ht="15.75" customHeight="1">
      <c r="A53" s="343" t="str">
        <f>IF(B53&lt;&gt;"",IF(AND(B53='IN-TC'!$S$4,OR(TH!N53="1111",TH!O53="1111")),TH!D53,""),"")</f>
        <v/>
      </c>
      <c r="B53" s="63">
        <f t="shared" si="2"/>
        <v>2</v>
      </c>
      <c r="C53" s="882">
        <v>42429</v>
      </c>
      <c r="D53" s="882" t="s">
        <v>585</v>
      </c>
      <c r="E53" s="882">
        <f t="shared" si="11"/>
        <v>42429</v>
      </c>
      <c r="F53" s="883" t="s">
        <v>1352</v>
      </c>
      <c r="G53" s="278"/>
      <c r="H53" s="322"/>
      <c r="I53" s="447"/>
      <c r="J53" s="447"/>
      <c r="K53" s="438"/>
      <c r="L53" s="447"/>
      <c r="M53" s="888">
        <f>G49*$G52</f>
        <v>19505880</v>
      </c>
      <c r="N53" s="889" t="s">
        <v>283</v>
      </c>
      <c r="O53" s="889" t="s">
        <v>596</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IF(AND('341-CT'!$H$9=H53,OR(LEFT(N53,3)=$W$7,LEFT(O53,3)=$W$7)),"x","")</f>
        <v/>
      </c>
      <c r="X53" s="85" t="str">
        <f>IF(OR(TH!N53=TH!$X$7,O53=TH!$X$7),"x","")</f>
        <v/>
      </c>
      <c r="Y53" s="85" t="str">
        <f>IF(AND(OR(N53="131",O53="131"),H53='131-CT'!$H$9),"x","")</f>
        <v/>
      </c>
      <c r="Z53" s="85"/>
      <c r="AA53" s="85" t="str">
        <f>IF(AND(MONTH(E53)='IN-NX'!$J$5,'IN-NX'!$D$7=D53),"x","")</f>
        <v/>
      </c>
      <c r="AB53" s="85" t="str">
        <f>IF(AND(OR(LEFT(TH!N53,2)="15",LEFT(TH!O53,2)="15"),'152-CT'!$J$8=TH!F53),"x","")</f>
        <v/>
      </c>
      <c r="AC53" s="85" t="str">
        <f>IF(AND(OR(LEFT(TH!N53,2)="15",LEFT(TH!O53,2)="15"),TK!$E$7=TH!F53),"x","")</f>
        <v/>
      </c>
      <c r="AD53" s="85" t="str">
        <f>IF(AND(N53="1521",MONTH(C53)='BK-NL'!$M$11),"x","")</f>
        <v/>
      </c>
    </row>
    <row r="54" spans="1:30" s="348" customFormat="1" ht="15.75" customHeight="1">
      <c r="A54" s="343" t="str">
        <f>IF(B54&lt;&gt;"",IF(AND(B54='IN-TC'!$S$4,OR(TH!N54="1111",TH!O54="1111")),TH!D54,""),"")</f>
        <v/>
      </c>
      <c r="B54" s="63">
        <f t="shared" si="2"/>
        <v>2</v>
      </c>
      <c r="C54" s="882">
        <v>42429</v>
      </c>
      <c r="D54" s="882" t="s">
        <v>585</v>
      </c>
      <c r="E54" s="882">
        <f t="shared" si="11"/>
        <v>42429</v>
      </c>
      <c r="F54" s="883" t="s">
        <v>1353</v>
      </c>
      <c r="G54" s="990" t="s">
        <v>588</v>
      </c>
      <c r="H54" s="324"/>
      <c r="I54" s="445"/>
      <c r="J54" s="445"/>
      <c r="K54" s="436"/>
      <c r="L54" s="445"/>
      <c r="M54" s="888">
        <f>G48*$G54</f>
        <v>560535</v>
      </c>
      <c r="N54" s="889" t="s">
        <v>595</v>
      </c>
      <c r="O54" s="889" t="s">
        <v>597</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IF(AND('341-CT'!$H$9=H54,OR(LEFT(N54,3)=$W$7,LEFT(O54,3)=$W$7)),"x","")</f>
        <v/>
      </c>
      <c r="X54" s="85" t="str">
        <f>IF(OR(TH!N54=TH!$X$7,O54=TH!$X$7),"x","")</f>
        <v/>
      </c>
      <c r="Y54" s="85" t="str">
        <f>IF(AND(OR(N54="131",O54="131"),H54='131-CT'!$H$9),"x","")</f>
        <v/>
      </c>
      <c r="Z54" s="85"/>
      <c r="AA54" s="85" t="str">
        <f>IF(AND(MONTH(E54)='IN-NX'!$J$5,'IN-NX'!$D$7=D54),"x","")</f>
        <v/>
      </c>
      <c r="AB54" s="85" t="str">
        <f>IF(AND(OR(LEFT(TH!N54,2)="15",LEFT(TH!O54,2)="15"),'152-CT'!$J$8=TH!F54),"x","")</f>
        <v/>
      </c>
      <c r="AC54" s="85" t="str">
        <f>IF(AND(OR(LEFT(TH!N54,2)="15",LEFT(TH!O54,2)="15"),TK!$E$7=TH!F54),"x","")</f>
        <v/>
      </c>
      <c r="AD54" s="85" t="str">
        <f>IF(AND(N54="1521",MONTH(C54)='BK-NL'!$M$11),"x","")</f>
        <v/>
      </c>
    </row>
    <row r="55" spans="1:30" s="348" customFormat="1" ht="15.75" customHeight="1">
      <c r="A55" s="343" t="str">
        <f>IF(B55&lt;&gt;"",IF(AND(B55='IN-TC'!$S$4,OR(TH!N55="1111",TH!O55="1111")),TH!D55,""),"")</f>
        <v/>
      </c>
      <c r="B55" s="63">
        <f t="shared" si="2"/>
        <v>2</v>
      </c>
      <c r="C55" s="882">
        <v>42429</v>
      </c>
      <c r="D55" s="882" t="s">
        <v>585</v>
      </c>
      <c r="E55" s="882">
        <f t="shared" si="11"/>
        <v>42429</v>
      </c>
      <c r="F55" s="883" t="s">
        <v>1354</v>
      </c>
      <c r="G55" s="278"/>
      <c r="H55" s="324"/>
      <c r="I55" s="445"/>
      <c r="J55" s="445"/>
      <c r="K55" s="436"/>
      <c r="L55" s="445"/>
      <c r="M55" s="888">
        <f>G49*$G54</f>
        <v>1625490</v>
      </c>
      <c r="N55" s="889" t="s">
        <v>595</v>
      </c>
      <c r="O55" s="889" t="s">
        <v>597</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IF(AND('341-CT'!$H$9=H55,OR(LEFT(N55,3)=$W$7,LEFT(O55,3)=$W$7)),"x","")</f>
        <v/>
      </c>
      <c r="X55" s="85" t="str">
        <f>IF(OR(TH!N55=TH!$X$7,O55=TH!$X$7),"x","")</f>
        <v/>
      </c>
      <c r="Y55" s="85" t="str">
        <f>IF(AND(OR(N55="131",O55="131"),H55='131-CT'!$H$9),"x","")</f>
        <v/>
      </c>
      <c r="Z55" s="85"/>
      <c r="AA55" s="85" t="str">
        <f>IF(AND(MONTH(E55)='IN-NX'!$J$5,'IN-NX'!$D$7=D55),"x","")</f>
        <v/>
      </c>
      <c r="AB55" s="85" t="str">
        <f>IF(AND(OR(LEFT(TH!N55,2)="15",LEFT(TH!O55,2)="15"),'152-CT'!$J$8=TH!F55),"x","")</f>
        <v/>
      </c>
      <c r="AC55" s="85" t="str">
        <f>IF(AND(OR(LEFT(TH!N55,2)="15",LEFT(TH!O55,2)="15"),TK!$E$7=TH!F55),"x","")</f>
        <v/>
      </c>
      <c r="AD55" s="85" t="str">
        <f>IF(AND(N55="1521",MONTH(C55)='BK-NL'!$M$11),"x","")</f>
        <v/>
      </c>
    </row>
    <row r="56" spans="1:30" s="348" customFormat="1" ht="15.75" customHeight="1">
      <c r="A56" s="343" t="str">
        <f>IF(B56&lt;&gt;"",IF(AND(B56='IN-TC'!$S$4,OR(TH!N56="1111",TH!O56="1111")),TH!D56,""),"")</f>
        <v/>
      </c>
      <c r="B56" s="63">
        <f t="shared" si="2"/>
        <v>2</v>
      </c>
      <c r="C56" s="882">
        <v>42429</v>
      </c>
      <c r="D56" s="882" t="s">
        <v>585</v>
      </c>
      <c r="E56" s="882">
        <f t="shared" si="11"/>
        <v>42429</v>
      </c>
      <c r="F56" s="883" t="s">
        <v>1355</v>
      </c>
      <c r="G56" s="990" t="s">
        <v>589</v>
      </c>
      <c r="H56" s="322"/>
      <c r="I56" s="447"/>
      <c r="J56" s="447"/>
      <c r="K56" s="438"/>
      <c r="L56" s="447"/>
      <c r="M56" s="888">
        <f>G48*$G56</f>
        <v>1121070</v>
      </c>
      <c r="N56" s="889" t="s">
        <v>594</v>
      </c>
      <c r="O56" s="889" t="s">
        <v>597</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IF(AND('341-CT'!$H$9=H56,OR(LEFT(N56,3)=$W$7,LEFT(O56,3)=$W$7)),"x","")</f>
        <v/>
      </c>
      <c r="X56" s="85" t="str">
        <f>IF(OR(TH!N56=TH!$X$7,O56=TH!$X$7),"x","")</f>
        <v/>
      </c>
      <c r="Y56" s="85" t="str">
        <f>IF(AND(OR(N56="131",O56="131"),H56='131-CT'!$H$9),"x","")</f>
        <v/>
      </c>
      <c r="Z56" s="85"/>
      <c r="AA56" s="85" t="str">
        <f>IF(AND(MONTH(E56)='IN-NX'!$J$5,'IN-NX'!$D$7=D56),"x","")</f>
        <v/>
      </c>
      <c r="AB56" s="85" t="str">
        <f>IF(AND(OR(LEFT(TH!N56,2)="15",LEFT(TH!O56,2)="15"),'152-CT'!$J$8=TH!F56),"x","")</f>
        <v/>
      </c>
      <c r="AC56" s="85" t="str">
        <f>IF(AND(OR(LEFT(TH!N56,2)="15",LEFT(TH!O56,2)="15"),TK!$E$7=TH!F56),"x","")</f>
        <v/>
      </c>
      <c r="AD56" s="85" t="str">
        <f>IF(AND(N56="1521",MONTH(C56)='BK-NL'!$M$11),"x","")</f>
        <v/>
      </c>
    </row>
    <row r="57" spans="1:30" s="348" customFormat="1" ht="15.75" customHeight="1">
      <c r="A57" s="343" t="str">
        <f>IF(B57&lt;&gt;"",IF(AND(B57='IN-TC'!$S$4,OR(TH!N57="1111",TH!O57="1111")),TH!D57,""),"")</f>
        <v/>
      </c>
      <c r="B57" s="63">
        <f t="shared" si="2"/>
        <v>2</v>
      </c>
      <c r="C57" s="882">
        <v>42429</v>
      </c>
      <c r="D57" s="882" t="s">
        <v>585</v>
      </c>
      <c r="E57" s="882">
        <f t="shared" si="11"/>
        <v>42429</v>
      </c>
      <c r="F57" s="883" t="s">
        <v>1356</v>
      </c>
      <c r="G57" s="278"/>
      <c r="H57" s="322"/>
      <c r="I57" s="447"/>
      <c r="J57" s="447"/>
      <c r="K57" s="438"/>
      <c r="L57" s="447"/>
      <c r="M57" s="888">
        <f>G49*$G56</f>
        <v>3250980</v>
      </c>
      <c r="N57" s="889" t="s">
        <v>283</v>
      </c>
      <c r="O57" s="889" t="s">
        <v>597</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IF(AND('341-CT'!$H$9=H57,OR(LEFT(N57,3)=$W$7,LEFT(O57,3)=$W$7)),"x","")</f>
        <v/>
      </c>
      <c r="X57" s="85" t="str">
        <f>IF(OR(TH!N57=TH!$X$7,O57=TH!$X$7),"x","")</f>
        <v/>
      </c>
      <c r="Y57" s="85" t="str">
        <f>IF(AND(OR(N57="131",O57="131"),H57='131-CT'!$H$9),"x","")</f>
        <v/>
      </c>
      <c r="Z57" s="85"/>
      <c r="AA57" s="85" t="str">
        <f>IF(AND(MONTH(E57)='IN-NX'!$J$5,'IN-NX'!$D$7=D57),"x","")</f>
        <v/>
      </c>
      <c r="AB57" s="85" t="str">
        <f>IF(AND(OR(LEFT(TH!N57,2)="15",LEFT(TH!O57,2)="15"),'152-CT'!$J$8=TH!F57),"x","")</f>
        <v/>
      </c>
      <c r="AC57" s="85" t="str">
        <f>IF(AND(OR(LEFT(TH!N57,2)="15",LEFT(TH!O57,2)="15"),TK!$E$7=TH!F57),"x","")</f>
        <v/>
      </c>
      <c r="AD57" s="85" t="str">
        <f>IF(AND(N57="1521",MONTH(C57)='BK-NL'!$M$11),"x","")</f>
        <v/>
      </c>
    </row>
    <row r="58" spans="1:30" s="348" customFormat="1" ht="15.75" customHeight="1">
      <c r="A58" s="343" t="str">
        <f>IF(B58&lt;&gt;"",IF(AND(B58='IN-TC'!$S$4,OR(TH!N58="1111",TH!O58="1111")),TH!D58,""),"")</f>
        <v/>
      </c>
      <c r="B58" s="63">
        <f t="shared" si="2"/>
        <v>2</v>
      </c>
      <c r="C58" s="882">
        <v>42429</v>
      </c>
      <c r="D58" s="882" t="s">
        <v>585</v>
      </c>
      <c r="E58" s="882">
        <f t="shared" si="11"/>
        <v>42429</v>
      </c>
      <c r="F58" s="883" t="s">
        <v>1357</v>
      </c>
      <c r="G58" s="990" t="s">
        <v>590</v>
      </c>
      <c r="H58" s="322"/>
      <c r="I58" s="447"/>
      <c r="J58" s="447"/>
      <c r="K58" s="438"/>
      <c r="L58" s="447"/>
      <c r="M58" s="888">
        <f>G48*$G58</f>
        <v>373690</v>
      </c>
      <c r="N58" s="889" t="s">
        <v>595</v>
      </c>
      <c r="O58" s="889" t="s">
        <v>598</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IF(AND('341-CT'!$H$9=H58,OR(LEFT(N58,3)=$W$7,LEFT(O58,3)=$W$7)),"x","")</f>
        <v/>
      </c>
      <c r="X58" s="85" t="str">
        <f>IF(OR(TH!N58=TH!$X$7,O58=TH!$X$7),"x","")</f>
        <v/>
      </c>
      <c r="Y58" s="85" t="str">
        <f>IF(AND(OR(N58="131",O58="131"),H58='131-CT'!$H$9),"x","")</f>
        <v/>
      </c>
      <c r="Z58" s="85"/>
      <c r="AA58" s="85" t="str">
        <f>IF(AND(MONTH(E58)='IN-NX'!$J$5,'IN-NX'!$D$7=D58),"x","")</f>
        <v/>
      </c>
      <c r="AB58" s="85" t="str">
        <f>IF(AND(OR(LEFT(TH!N58,2)="15",LEFT(TH!O58,2)="15"),'152-CT'!$J$8=TH!F58),"x","")</f>
        <v/>
      </c>
      <c r="AC58" s="85" t="str">
        <f>IF(AND(OR(LEFT(TH!N58,2)="15",LEFT(TH!O58,2)="15"),TK!$E$7=TH!F58),"x","")</f>
        <v/>
      </c>
      <c r="AD58" s="85" t="str">
        <f>IF(AND(N58="1521",MONTH(C58)='BK-NL'!$M$11),"x","")</f>
        <v/>
      </c>
    </row>
    <row r="59" spans="1:30" s="348" customFormat="1" ht="15.75" customHeight="1">
      <c r="A59" s="343" t="str">
        <f>IF(B59&lt;&gt;"",IF(AND(B59='IN-TC'!$S$4,OR(TH!N59="1111",TH!O59="1111")),TH!D59,""),"")</f>
        <v/>
      </c>
      <c r="B59" s="63">
        <f t="shared" si="2"/>
        <v>2</v>
      </c>
      <c r="C59" s="882">
        <v>42429</v>
      </c>
      <c r="D59" s="882" t="s">
        <v>585</v>
      </c>
      <c r="E59" s="882">
        <f t="shared" si="11"/>
        <v>42429</v>
      </c>
      <c r="F59" s="883" t="s">
        <v>1358</v>
      </c>
      <c r="G59" s="278"/>
      <c r="H59" s="322"/>
      <c r="I59" s="447"/>
      <c r="J59" s="447"/>
      <c r="K59" s="438"/>
      <c r="L59" s="447"/>
      <c r="M59" s="888">
        <f>G49*$G58</f>
        <v>1083660</v>
      </c>
      <c r="N59" s="889" t="s">
        <v>595</v>
      </c>
      <c r="O59" s="889" t="s">
        <v>598</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IF(AND('341-CT'!$H$9=H59,OR(LEFT(N59,3)=$W$7,LEFT(O59,3)=$W$7)),"x","")</f>
        <v/>
      </c>
      <c r="X59" s="85" t="str">
        <f>IF(OR(TH!N59=TH!$X$7,O59=TH!$X$7),"x","")</f>
        <v/>
      </c>
      <c r="Y59" s="85" t="str">
        <f>IF(AND(OR(N59="131",O59="131"),H59='131-CT'!$H$9),"x","")</f>
        <v/>
      </c>
      <c r="Z59" s="85"/>
      <c r="AA59" s="85" t="str">
        <f>IF(AND(MONTH(E59)='IN-NX'!$J$5,'IN-NX'!$D$7=D59),"x","")</f>
        <v/>
      </c>
      <c r="AB59" s="85" t="str">
        <f>IF(AND(OR(LEFT(TH!N59,2)="15",LEFT(TH!O59,2)="15"),'152-CT'!$J$8=TH!F59),"x","")</f>
        <v/>
      </c>
      <c r="AC59" s="85" t="str">
        <f>IF(AND(OR(LEFT(TH!N59,2)="15",LEFT(TH!O59,2)="15"),TK!$E$7=TH!F59),"x","")</f>
        <v/>
      </c>
      <c r="AD59" s="85" t="str">
        <f>IF(AND(N59="1521",MONTH(C59)='BK-NL'!$M$11),"x","")</f>
        <v/>
      </c>
    </row>
    <row r="60" spans="1:30" s="348" customFormat="1" ht="15.75" customHeight="1">
      <c r="A60" s="343" t="str">
        <f>IF(B60&lt;&gt;"",IF(AND(B60='IN-TC'!$S$4,OR(TH!N60="1111",TH!O60="1111")),TH!D60,""),"")</f>
        <v/>
      </c>
      <c r="B60" s="63">
        <f t="shared" si="2"/>
        <v>2</v>
      </c>
      <c r="C60" s="882">
        <v>42429</v>
      </c>
      <c r="D60" s="882" t="s">
        <v>585</v>
      </c>
      <c r="E60" s="882">
        <f t="shared" si="11"/>
        <v>42429</v>
      </c>
      <c r="F60" s="883" t="s">
        <v>1359</v>
      </c>
      <c r="G60" s="990" t="s">
        <v>590</v>
      </c>
      <c r="H60" s="1150"/>
      <c r="I60" s="448"/>
      <c r="J60" s="448"/>
      <c r="K60" s="439"/>
      <c r="L60" s="448"/>
      <c r="M60" s="888">
        <f>M58</f>
        <v>373690</v>
      </c>
      <c r="N60" s="889" t="s">
        <v>594</v>
      </c>
      <c r="O60" s="889" t="s">
        <v>598</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IF(AND('341-CT'!$H$9=H60,OR(LEFT(N60,3)=$W$7,LEFT(O60,3)=$W$7)),"x","")</f>
        <v/>
      </c>
      <c r="X60" s="85" t="str">
        <f>IF(OR(TH!N60=TH!$X$7,O60=TH!$X$7),"x","")</f>
        <v/>
      </c>
      <c r="Y60" s="85" t="str">
        <f>IF(AND(OR(N60="131",O60="131"),H60='131-CT'!$H$9),"x","")</f>
        <v/>
      </c>
      <c r="Z60" s="85"/>
      <c r="AA60" s="85" t="str">
        <f>IF(AND(MONTH(E60)='IN-NX'!$J$5,'IN-NX'!$D$7=D60),"x","")</f>
        <v/>
      </c>
      <c r="AB60" s="85" t="str">
        <f>IF(AND(OR(LEFT(TH!N60,2)="15",LEFT(TH!O60,2)="15"),'152-CT'!$J$8=TH!F60),"x","")</f>
        <v/>
      </c>
      <c r="AC60" s="85" t="str">
        <f>IF(AND(OR(LEFT(TH!N60,2)="15",LEFT(TH!O60,2)="15"),TK!$E$7=TH!F60),"x","")</f>
        <v/>
      </c>
      <c r="AD60" s="85" t="str">
        <f>IF(AND(N60="1521",MONTH(C60)='BK-NL'!$M$11),"x","")</f>
        <v/>
      </c>
    </row>
    <row r="61" spans="1:30" s="348" customFormat="1" ht="15.75" customHeight="1">
      <c r="A61" s="343" t="str">
        <f>IF(B61&lt;&gt;"",IF(AND(B61='IN-TC'!$S$4,OR(TH!N61="1111",TH!O61="1111")),TH!D61,""),"")</f>
        <v/>
      </c>
      <c r="B61" s="63">
        <f t="shared" si="2"/>
        <v>2</v>
      </c>
      <c r="C61" s="882">
        <v>42429</v>
      </c>
      <c r="D61" s="882" t="s">
        <v>585</v>
      </c>
      <c r="E61" s="882">
        <f t="shared" si="11"/>
        <v>42429</v>
      </c>
      <c r="F61" s="883" t="s">
        <v>1360</v>
      </c>
      <c r="G61" s="278"/>
      <c r="H61" s="322"/>
      <c r="I61" s="447"/>
      <c r="J61" s="447"/>
      <c r="K61" s="438"/>
      <c r="L61" s="447"/>
      <c r="M61" s="888">
        <f>M59</f>
        <v>1083660</v>
      </c>
      <c r="N61" s="889" t="s">
        <v>283</v>
      </c>
      <c r="O61" s="889" t="s">
        <v>598</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IF(AND('341-CT'!$H$9=H61,OR(LEFT(N61,3)=$W$7,LEFT(O61,3)=$W$7)),"x","")</f>
        <v/>
      </c>
      <c r="X61" s="85" t="str">
        <f>IF(OR(TH!N61=TH!$X$7,O61=TH!$X$7),"x","")</f>
        <v/>
      </c>
      <c r="Y61" s="85" t="str">
        <f>IF(AND(OR(N61="131",O61="131"),H61='131-CT'!$H$9),"x","")</f>
        <v/>
      </c>
      <c r="Z61" s="85"/>
      <c r="AA61" s="85" t="str">
        <f>IF(AND(MONTH(E61)='IN-NX'!$J$5,'IN-NX'!$D$7=D61),"x","")</f>
        <v/>
      </c>
      <c r="AB61" s="85" t="str">
        <f>IF(AND(OR(LEFT(TH!N61,2)="15",LEFT(TH!O61,2)="15"),'152-CT'!$J$8=TH!F61),"x","")</f>
        <v/>
      </c>
      <c r="AC61" s="85" t="str">
        <f>IF(AND(OR(LEFT(TH!N61,2)="15",LEFT(TH!O61,2)="15"),TK!$E$7=TH!F61),"x","")</f>
        <v/>
      </c>
      <c r="AD61" s="85" t="str">
        <f>IF(AND(N61="1521",MONTH(C61)='BK-NL'!$M$11),"x","")</f>
        <v/>
      </c>
    </row>
    <row r="62" spans="1:30" s="348" customFormat="1" ht="15.75" customHeight="1">
      <c r="A62" s="343" t="str">
        <f>IF(B62&lt;&gt;"",IF(AND(B62='IN-TC'!$S$4,OR(TH!N62="1111",TH!O62="1111")),TH!D62,""),"")</f>
        <v/>
      </c>
      <c r="B62" s="63">
        <f t="shared" si="2"/>
        <v>3</v>
      </c>
      <c r="C62" s="882">
        <v>42460</v>
      </c>
      <c r="D62" s="882" t="s">
        <v>585</v>
      </c>
      <c r="E62" s="882">
        <f t="shared" si="11"/>
        <v>42460</v>
      </c>
      <c r="F62" s="883" t="s">
        <v>1347</v>
      </c>
      <c r="G62" s="278">
        <v>37369000</v>
      </c>
      <c r="H62" s="322"/>
      <c r="I62" s="447"/>
      <c r="J62" s="447"/>
      <c r="K62" s="438"/>
      <c r="L62" s="447"/>
      <c r="M62" s="888">
        <v>37691667</v>
      </c>
      <c r="N62" s="889" t="s">
        <v>594</v>
      </c>
      <c r="O62" s="889" t="s">
        <v>595</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IF(AND('341-CT'!$H$9=H62,OR(LEFT(N62,3)=$W$7,LEFT(O62,3)=$W$7)),"x","")</f>
        <v/>
      </c>
      <c r="X62" s="85" t="str">
        <f>IF(OR(TH!N62=TH!$X$7,O62=TH!$X$7),"x","")</f>
        <v/>
      </c>
      <c r="Y62" s="85" t="str">
        <f>IF(AND(OR(N62="131",O62="131"),H62='131-CT'!$H$9),"x","")</f>
        <v/>
      </c>
      <c r="Z62" s="85"/>
      <c r="AA62" s="85" t="str">
        <f>IF(AND(MONTH(E62)='IN-NX'!$J$5,'IN-NX'!$D$7=D62),"x","")</f>
        <v/>
      </c>
      <c r="AB62" s="85" t="str">
        <f>IF(AND(OR(LEFT(TH!N62,2)="15",LEFT(TH!O62,2)="15"),'152-CT'!$J$8=TH!F62),"x","")</f>
        <v/>
      </c>
      <c r="AC62" s="85" t="str">
        <f>IF(AND(OR(LEFT(TH!N62,2)="15",LEFT(TH!O62,2)="15"),TK!$E$7=TH!F62),"x","")</f>
        <v/>
      </c>
      <c r="AD62" s="85" t="str">
        <f>IF(AND(N62="1521",MONTH(C62)='BK-NL'!$M$11),"x","")</f>
        <v/>
      </c>
    </row>
    <row r="63" spans="1:30" s="348" customFormat="1" ht="15.75" customHeight="1">
      <c r="A63" s="343" t="str">
        <f>IF(B63&lt;&gt;"",IF(AND(B63='IN-TC'!$S$4,OR(TH!N63="1111",TH!O63="1111")),TH!D63,""),"")</f>
        <v/>
      </c>
      <c r="B63" s="63">
        <f t="shared" si="2"/>
        <v>3</v>
      </c>
      <c r="C63" s="882">
        <v>42460</v>
      </c>
      <c r="D63" s="882" t="s">
        <v>585</v>
      </c>
      <c r="E63" s="882">
        <f t="shared" si="11"/>
        <v>42460</v>
      </c>
      <c r="F63" s="883" t="s">
        <v>1348</v>
      </c>
      <c r="G63" s="278">
        <v>108366000</v>
      </c>
      <c r="H63" s="322"/>
      <c r="I63" s="447"/>
      <c r="J63" s="447"/>
      <c r="K63" s="438"/>
      <c r="L63" s="447"/>
      <c r="M63" s="888">
        <v>118338627</v>
      </c>
      <c r="N63" s="889" t="s">
        <v>283</v>
      </c>
      <c r="O63" s="889" t="s">
        <v>595</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IF(AND('341-CT'!$H$9=H63,OR(LEFT(N63,3)=$W$7,LEFT(O63,3)=$W$7)),"x","")</f>
        <v/>
      </c>
      <c r="X63" s="85" t="str">
        <f>IF(OR(TH!N63=TH!$X$7,O63=TH!$X$7),"x","")</f>
        <v/>
      </c>
      <c r="Y63" s="85" t="str">
        <f>IF(AND(OR(N63="131",O63="131"),H63='131-CT'!$H$9),"x","")</f>
        <v/>
      </c>
      <c r="Z63" s="85"/>
      <c r="AA63" s="85" t="str">
        <f>IF(AND(MONTH(E63)='IN-NX'!$J$5,'IN-NX'!$D$7=D63),"x","")</f>
        <v/>
      </c>
      <c r="AB63" s="85" t="str">
        <f>IF(AND(OR(LEFT(TH!N63,2)="15",LEFT(TH!O63,2)="15"),'152-CT'!$J$8=TH!F63),"x","")</f>
        <v/>
      </c>
      <c r="AC63" s="85" t="str">
        <f>IF(AND(OR(LEFT(TH!N63,2)="15",LEFT(TH!O63,2)="15"),TK!$E$7=TH!F63),"x","")</f>
        <v/>
      </c>
      <c r="AD63" s="85" t="str">
        <f>IF(AND(N63="1521",MONTH(C63)='BK-NL'!$M$11),"x","")</f>
        <v/>
      </c>
    </row>
    <row r="64" spans="1:30" s="348" customFormat="1" ht="15.75" customHeight="1">
      <c r="A64" s="343" t="str">
        <f>IF(B64&lt;&gt;"",IF(AND(B64='IN-TC'!$S$4,OR(TH!N64="1111",TH!O64="1111")),TH!D64,""),"")</f>
        <v/>
      </c>
      <c r="B64" s="63">
        <f t="shared" si="2"/>
        <v>3</v>
      </c>
      <c r="C64" s="882">
        <v>42460</v>
      </c>
      <c r="D64" s="882" t="s">
        <v>585</v>
      </c>
      <c r="E64" s="882">
        <f t="shared" si="11"/>
        <v>42460</v>
      </c>
      <c r="F64" s="883" t="s">
        <v>1349</v>
      </c>
      <c r="G64" s="990" t="s">
        <v>586</v>
      </c>
      <c r="H64" s="322"/>
      <c r="I64" s="447"/>
      <c r="J64" s="447"/>
      <c r="K64" s="438"/>
      <c r="L64" s="447"/>
      <c r="M64" s="888">
        <f>G62*$G64</f>
        <v>2989520</v>
      </c>
      <c r="N64" s="889" t="s">
        <v>595</v>
      </c>
      <c r="O64" s="889" t="s">
        <v>596</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IF(AND('341-CT'!$H$9=H64,OR(LEFT(N64,3)=$W$7,LEFT(O64,3)=$W$7)),"x","")</f>
        <v/>
      </c>
      <c r="X64" s="85" t="str">
        <f>IF(OR(TH!N64=TH!$X$7,O64=TH!$X$7),"x","")</f>
        <v/>
      </c>
      <c r="Y64" s="85" t="str">
        <f>IF(AND(OR(N64="131",O64="131"),H64='131-CT'!$H$9),"x","")</f>
        <v/>
      </c>
      <c r="Z64" s="85"/>
      <c r="AA64" s="85" t="str">
        <f>IF(AND(MONTH(E64)='IN-NX'!$J$5,'IN-NX'!$D$7=D64),"x","")</f>
        <v/>
      </c>
      <c r="AB64" s="85" t="str">
        <f>IF(AND(OR(LEFT(TH!N64,2)="15",LEFT(TH!O64,2)="15"),'152-CT'!$J$8=TH!F64),"x","")</f>
        <v/>
      </c>
      <c r="AC64" s="85" t="str">
        <f>IF(AND(OR(LEFT(TH!N64,2)="15",LEFT(TH!O64,2)="15"),TK!$E$7=TH!F64),"x","")</f>
        <v/>
      </c>
      <c r="AD64" s="85" t="str">
        <f>IF(AND(N64="1521",MONTH(C64)='BK-NL'!$M$11),"x","")</f>
        <v/>
      </c>
    </row>
    <row r="65" spans="1:30" s="348" customFormat="1" ht="15.75" customHeight="1">
      <c r="A65" s="343" t="str">
        <f>IF(B65&lt;&gt;"",IF(AND(B65='IN-TC'!$S$4,OR(TH!N65="1111",TH!O65="1111")),TH!D65,""),"")</f>
        <v/>
      </c>
      <c r="B65" s="63">
        <f t="shared" si="2"/>
        <v>3</v>
      </c>
      <c r="C65" s="882">
        <v>42460</v>
      </c>
      <c r="D65" s="882" t="s">
        <v>585</v>
      </c>
      <c r="E65" s="882">
        <f t="shared" si="11"/>
        <v>42460</v>
      </c>
      <c r="F65" s="883" t="s">
        <v>1350</v>
      </c>
      <c r="G65" s="278"/>
      <c r="H65" s="322"/>
      <c r="I65" s="447"/>
      <c r="J65" s="447"/>
      <c r="K65" s="438"/>
      <c r="L65" s="447"/>
      <c r="M65" s="888">
        <f>G63*$G64</f>
        <v>8669280</v>
      </c>
      <c r="N65" s="890" t="s">
        <v>595</v>
      </c>
      <c r="O65" s="891" t="s">
        <v>596</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IF(AND('341-CT'!$H$9=H65,OR(LEFT(N65,3)=$W$7,LEFT(O65,3)=$W$7)),"x","")</f>
        <v/>
      </c>
      <c r="X65" s="85" t="str">
        <f>IF(OR(TH!N65=TH!$X$7,O65=TH!$X$7),"x","")</f>
        <v/>
      </c>
      <c r="Y65" s="85" t="str">
        <f>IF(AND(OR(N65="131",O65="131"),H65='131-CT'!$H$9),"x","")</f>
        <v/>
      </c>
      <c r="Z65" s="85"/>
      <c r="AA65" s="85" t="str">
        <f>IF(AND(MONTH(E65)='IN-NX'!$J$5,'IN-NX'!$D$7=D65),"x","")</f>
        <v/>
      </c>
      <c r="AB65" s="85" t="str">
        <f>IF(AND(OR(LEFT(TH!N65,2)="15",LEFT(TH!O65,2)="15"),'152-CT'!$J$8=TH!F65),"x","")</f>
        <v/>
      </c>
      <c r="AC65" s="85" t="str">
        <f>IF(AND(OR(LEFT(TH!N65,2)="15",LEFT(TH!O65,2)="15"),TK!$E$7=TH!F65),"x","")</f>
        <v/>
      </c>
      <c r="AD65" s="85" t="str">
        <f>IF(AND(N65="1521",MONTH(C65)='BK-NL'!$M$11),"x","")</f>
        <v/>
      </c>
    </row>
    <row r="66" spans="1:30" s="348" customFormat="1" ht="15.75" customHeight="1">
      <c r="A66" s="343" t="str">
        <f>IF(B66&lt;&gt;"",IF(AND(B66='IN-TC'!$S$4,OR(TH!N66="1111",TH!O66="1111")),TH!D66,""),"")</f>
        <v/>
      </c>
      <c r="B66" s="63">
        <f t="shared" si="2"/>
        <v>3</v>
      </c>
      <c r="C66" s="882">
        <v>42460</v>
      </c>
      <c r="D66" s="882" t="s">
        <v>585</v>
      </c>
      <c r="E66" s="882">
        <f t="shared" si="11"/>
        <v>42460</v>
      </c>
      <c r="F66" s="883" t="s">
        <v>1351</v>
      </c>
      <c r="G66" s="990" t="s">
        <v>587</v>
      </c>
      <c r="H66" s="322"/>
      <c r="I66" s="447"/>
      <c r="J66" s="447"/>
      <c r="K66" s="438"/>
      <c r="L66" s="447"/>
      <c r="M66" s="888">
        <f>G62*$G66</f>
        <v>6726420</v>
      </c>
      <c r="N66" s="889" t="s">
        <v>594</v>
      </c>
      <c r="O66" s="889" t="s">
        <v>596</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IF(AND('341-CT'!$H$9=H66,OR(LEFT(N66,3)=$W$7,LEFT(O66,3)=$W$7)),"x","")</f>
        <v/>
      </c>
      <c r="X66" s="85" t="str">
        <f>IF(OR(TH!N66=TH!$X$7,O66=TH!$X$7),"x","")</f>
        <v/>
      </c>
      <c r="Y66" s="85" t="str">
        <f>IF(AND(OR(N66="131",O66="131"),H66='131-CT'!$H$9),"x","")</f>
        <v/>
      </c>
      <c r="Z66" s="85"/>
      <c r="AA66" s="85" t="str">
        <f>IF(AND(MONTH(E66)='IN-NX'!$J$5,'IN-NX'!$D$7=D66),"x","")</f>
        <v/>
      </c>
      <c r="AB66" s="85" t="str">
        <f>IF(AND(OR(LEFT(TH!N66,2)="15",LEFT(TH!O66,2)="15"),'152-CT'!$J$8=TH!F66),"x","")</f>
        <v/>
      </c>
      <c r="AC66" s="85" t="str">
        <f>IF(AND(OR(LEFT(TH!N66,2)="15",LEFT(TH!O66,2)="15"),TK!$E$7=TH!F66),"x","")</f>
        <v/>
      </c>
      <c r="AD66" s="85" t="str">
        <f>IF(AND(N66="1521",MONTH(C66)='BK-NL'!$M$11),"x","")</f>
        <v/>
      </c>
    </row>
    <row r="67" spans="1:30" s="348" customFormat="1" ht="15.75" customHeight="1">
      <c r="A67" s="343" t="str">
        <f>IF(B67&lt;&gt;"",IF(AND(B67='IN-TC'!$S$4,OR(TH!N67="1111",TH!O67="1111")),TH!D67,""),"")</f>
        <v/>
      </c>
      <c r="B67" s="63">
        <f t="shared" si="2"/>
        <v>3</v>
      </c>
      <c r="C67" s="882">
        <v>42460</v>
      </c>
      <c r="D67" s="882" t="s">
        <v>585</v>
      </c>
      <c r="E67" s="882">
        <f t="shared" si="11"/>
        <v>42460</v>
      </c>
      <c r="F67" s="883" t="s">
        <v>1352</v>
      </c>
      <c r="G67" s="278"/>
      <c r="H67" s="322"/>
      <c r="I67" s="447"/>
      <c r="J67" s="447"/>
      <c r="K67" s="438"/>
      <c r="L67" s="447"/>
      <c r="M67" s="888">
        <f>G63*$G66</f>
        <v>19505880</v>
      </c>
      <c r="N67" s="889" t="s">
        <v>283</v>
      </c>
      <c r="O67" s="889" t="s">
        <v>596</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IF(AND('341-CT'!$H$9=H67,OR(LEFT(N67,3)=$W$7,LEFT(O67,3)=$W$7)),"x","")</f>
        <v/>
      </c>
      <c r="X67" s="85" t="str">
        <f>IF(OR(TH!N67=TH!$X$7,O67=TH!$X$7),"x","")</f>
        <v/>
      </c>
      <c r="Y67" s="85" t="str">
        <f>IF(AND(OR(N67="131",O67="131"),H67='131-CT'!$H$9),"x","")</f>
        <v/>
      </c>
      <c r="Z67" s="85"/>
      <c r="AA67" s="85" t="str">
        <f>IF(AND(MONTH(E67)='IN-NX'!$J$5,'IN-NX'!$D$7=D67),"x","")</f>
        <v/>
      </c>
      <c r="AB67" s="85" t="str">
        <f>IF(AND(OR(LEFT(TH!N67,2)="15",LEFT(TH!O67,2)="15"),'152-CT'!$J$8=TH!F67),"x","")</f>
        <v/>
      </c>
      <c r="AC67" s="85" t="str">
        <f>IF(AND(OR(LEFT(TH!N67,2)="15",LEFT(TH!O67,2)="15"),TK!$E$7=TH!F67),"x","")</f>
        <v/>
      </c>
      <c r="AD67" s="85" t="str">
        <f>IF(AND(N67="1521",MONTH(C67)='BK-NL'!$M$11),"x","")</f>
        <v/>
      </c>
    </row>
    <row r="68" spans="1:30" s="348" customFormat="1" ht="15.75" customHeight="1">
      <c r="A68" s="343" t="str">
        <f>IF(B68&lt;&gt;"",IF(AND(B68='IN-TC'!$S$4,OR(TH!N68="1111",TH!O68="1111")),TH!D68,""),"")</f>
        <v/>
      </c>
      <c r="B68" s="63">
        <f t="shared" si="2"/>
        <v>3</v>
      </c>
      <c r="C68" s="882">
        <v>42460</v>
      </c>
      <c r="D68" s="882" t="s">
        <v>585</v>
      </c>
      <c r="E68" s="882">
        <f t="shared" si="11"/>
        <v>42460</v>
      </c>
      <c r="F68" s="883" t="s">
        <v>1353</v>
      </c>
      <c r="G68" s="990" t="s">
        <v>588</v>
      </c>
      <c r="H68" s="324"/>
      <c r="I68" s="445"/>
      <c r="J68" s="445"/>
      <c r="K68" s="436"/>
      <c r="L68" s="445"/>
      <c r="M68" s="888">
        <f>G62*$G68</f>
        <v>560535</v>
      </c>
      <c r="N68" s="889" t="s">
        <v>595</v>
      </c>
      <c r="O68" s="889" t="s">
        <v>597</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IF(AND('341-CT'!$H$9=H68,OR(LEFT(N68,3)=$W$7,LEFT(O68,3)=$W$7)),"x","")</f>
        <v/>
      </c>
      <c r="X68" s="85" t="str">
        <f>IF(OR(TH!N68=TH!$X$7,O68=TH!$X$7),"x","")</f>
        <v/>
      </c>
      <c r="Y68" s="85" t="str">
        <f>IF(AND(OR(N68="131",O68="131"),H68='131-CT'!$H$9),"x","")</f>
        <v/>
      </c>
      <c r="Z68" s="85"/>
      <c r="AA68" s="85" t="str">
        <f>IF(AND(MONTH(E68)='IN-NX'!$J$5,'IN-NX'!$D$7=D68),"x","")</f>
        <v/>
      </c>
      <c r="AB68" s="85" t="str">
        <f>IF(AND(OR(LEFT(TH!N68,2)="15",LEFT(TH!O68,2)="15"),'152-CT'!$J$8=TH!F68),"x","")</f>
        <v/>
      </c>
      <c r="AC68" s="85" t="str">
        <f>IF(AND(OR(LEFT(TH!N68,2)="15",LEFT(TH!O68,2)="15"),TK!$E$7=TH!F68),"x","")</f>
        <v/>
      </c>
      <c r="AD68" s="85" t="str">
        <f>IF(AND(N68="1521",MONTH(C68)='BK-NL'!$M$11),"x","")</f>
        <v/>
      </c>
    </row>
    <row r="69" spans="1:30" s="348" customFormat="1" ht="15.75" customHeight="1">
      <c r="A69" s="343" t="str">
        <f>IF(B69&lt;&gt;"",IF(AND(B69='IN-TC'!$S$4,OR(TH!N69="1111",TH!O69="1111")),TH!D69,""),"")</f>
        <v/>
      </c>
      <c r="B69" s="63">
        <f t="shared" si="2"/>
        <v>3</v>
      </c>
      <c r="C69" s="882">
        <v>42460</v>
      </c>
      <c r="D69" s="882" t="s">
        <v>585</v>
      </c>
      <c r="E69" s="882">
        <f>C69</f>
        <v>42460</v>
      </c>
      <c r="F69" s="883" t="s">
        <v>1354</v>
      </c>
      <c r="G69" s="278"/>
      <c r="H69" s="324"/>
      <c r="I69" s="445"/>
      <c r="J69" s="445"/>
      <c r="K69" s="436"/>
      <c r="L69" s="445"/>
      <c r="M69" s="888">
        <f>G63*$G68</f>
        <v>1625490</v>
      </c>
      <c r="N69" s="889" t="s">
        <v>595</v>
      </c>
      <c r="O69" s="889" t="s">
        <v>597</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IF(AND('341-CT'!$H$9=H69,OR(LEFT(N69,3)=$W$7,LEFT(O69,3)=$W$7)),"x","")</f>
        <v/>
      </c>
      <c r="X69" s="85" t="str">
        <f>IF(OR(TH!N69=TH!$X$7,O69=TH!$X$7),"x","")</f>
        <v/>
      </c>
      <c r="Y69" s="85" t="str">
        <f>IF(AND(OR(N69="131",O69="131"),H69='131-CT'!$H$9),"x","")</f>
        <v/>
      </c>
      <c r="Z69" s="85"/>
      <c r="AA69" s="85" t="str">
        <f>IF(AND(MONTH(E69)='IN-NX'!$J$5,'IN-NX'!$D$7=D69),"x","")</f>
        <v/>
      </c>
      <c r="AB69" s="85" t="str">
        <f>IF(AND(OR(LEFT(TH!N69,2)="15",LEFT(TH!O69,2)="15"),'152-CT'!$J$8=TH!F69),"x","")</f>
        <v/>
      </c>
      <c r="AC69" s="85" t="str">
        <f>IF(AND(OR(LEFT(TH!N69,2)="15",LEFT(TH!O69,2)="15"),TK!$E$7=TH!F69),"x","")</f>
        <v/>
      </c>
      <c r="AD69" s="85" t="str">
        <f>IF(AND(N69="1521",MONTH(C69)='BK-NL'!$M$11),"x","")</f>
        <v/>
      </c>
    </row>
    <row r="70" spans="1:30" s="348" customFormat="1" ht="15.75" customHeight="1">
      <c r="A70" s="343" t="str">
        <f>IF(B70&lt;&gt;"",IF(AND(B70='IN-TC'!$S$4,OR(TH!N70="1111",TH!O70="1111")),TH!D70,""),"")</f>
        <v/>
      </c>
      <c r="B70" s="63">
        <f t="shared" si="2"/>
        <v>3</v>
      </c>
      <c r="C70" s="882">
        <v>42460</v>
      </c>
      <c r="D70" s="882" t="s">
        <v>585</v>
      </c>
      <c r="E70" s="882">
        <f t="shared" ref="E70:E75" si="12">C70</f>
        <v>42460</v>
      </c>
      <c r="F70" s="883" t="s">
        <v>1355</v>
      </c>
      <c r="G70" s="990" t="s">
        <v>589</v>
      </c>
      <c r="H70" s="322"/>
      <c r="I70" s="447"/>
      <c r="J70" s="447"/>
      <c r="K70" s="438"/>
      <c r="L70" s="447"/>
      <c r="M70" s="888">
        <f>G62*$G70</f>
        <v>1121070</v>
      </c>
      <c r="N70" s="889" t="s">
        <v>594</v>
      </c>
      <c r="O70" s="889" t="s">
        <v>597</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IF(AND('341-CT'!$H$9=H70,OR(LEFT(N70,3)=$W$7,LEFT(O70,3)=$W$7)),"x","")</f>
        <v/>
      </c>
      <c r="X70" s="85" t="str">
        <f>IF(OR(TH!N70=TH!$X$7,O70=TH!$X$7),"x","")</f>
        <v/>
      </c>
      <c r="Y70" s="85" t="str">
        <f>IF(AND(OR(N70="131",O70="131"),H70='131-CT'!$H$9),"x","")</f>
        <v/>
      </c>
      <c r="Z70" s="85"/>
      <c r="AA70" s="85" t="str">
        <f>IF(AND(MONTH(E70)='IN-NX'!$J$5,'IN-NX'!$D$7=D70),"x","")</f>
        <v/>
      </c>
      <c r="AB70" s="85" t="str">
        <f>IF(AND(OR(LEFT(TH!N70,2)="15",LEFT(TH!O70,2)="15"),'152-CT'!$J$8=TH!F70),"x","")</f>
        <v/>
      </c>
      <c r="AC70" s="85" t="str">
        <f>IF(AND(OR(LEFT(TH!N70,2)="15",LEFT(TH!O70,2)="15"),TK!$E$7=TH!F70),"x","")</f>
        <v/>
      </c>
      <c r="AD70" s="85" t="str">
        <f>IF(AND(N70="1521",MONTH(C70)='BK-NL'!$M$11),"x","")</f>
        <v/>
      </c>
    </row>
    <row r="71" spans="1:30" s="348" customFormat="1" ht="15.75" customHeight="1">
      <c r="A71" s="343" t="str">
        <f>IF(B71&lt;&gt;"",IF(AND(B71='IN-TC'!$S$4,OR(TH!N71="1111",TH!O71="1111")),TH!D71,""),"")</f>
        <v/>
      </c>
      <c r="B71" s="63">
        <f t="shared" si="2"/>
        <v>3</v>
      </c>
      <c r="C71" s="882">
        <v>42460</v>
      </c>
      <c r="D71" s="882" t="s">
        <v>585</v>
      </c>
      <c r="E71" s="882">
        <f t="shared" si="12"/>
        <v>42460</v>
      </c>
      <c r="F71" s="883" t="s">
        <v>1356</v>
      </c>
      <c r="G71" s="278"/>
      <c r="H71" s="322"/>
      <c r="I71" s="447"/>
      <c r="J71" s="447"/>
      <c r="K71" s="438"/>
      <c r="L71" s="447"/>
      <c r="M71" s="888">
        <f>G63*$G70</f>
        <v>3250980</v>
      </c>
      <c r="N71" s="889" t="s">
        <v>283</v>
      </c>
      <c r="O71" s="889" t="s">
        <v>597</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IF(AND('341-CT'!$H$9=H71,OR(LEFT(N71,3)=$W$7,LEFT(O71,3)=$W$7)),"x","")</f>
        <v/>
      </c>
      <c r="X71" s="85" t="str">
        <f>IF(OR(TH!N71=TH!$X$7,O71=TH!$X$7),"x","")</f>
        <v/>
      </c>
      <c r="Y71" s="85" t="str">
        <f>IF(AND(OR(N71="131",O71="131"),H71='131-CT'!$H$9),"x","")</f>
        <v/>
      </c>
      <c r="Z71" s="85"/>
      <c r="AA71" s="85" t="str">
        <f>IF(AND(MONTH(E71)='IN-NX'!$J$5,'IN-NX'!$D$7=D71),"x","")</f>
        <v/>
      </c>
      <c r="AB71" s="85" t="str">
        <f>IF(AND(OR(LEFT(TH!N71,2)="15",LEFT(TH!O71,2)="15"),'152-CT'!$J$8=TH!F71),"x","")</f>
        <v/>
      </c>
      <c r="AC71" s="85" t="str">
        <f>IF(AND(OR(LEFT(TH!N71,2)="15",LEFT(TH!O71,2)="15"),TK!$E$7=TH!F71),"x","")</f>
        <v/>
      </c>
      <c r="AD71" s="85" t="str">
        <f>IF(AND(N71="1521",MONTH(C71)='BK-NL'!$M$11),"x","")</f>
        <v/>
      </c>
    </row>
    <row r="72" spans="1:30" s="348" customFormat="1" ht="15.75" customHeight="1">
      <c r="A72" s="343" t="str">
        <f>IF(B72&lt;&gt;"",IF(AND(B72='IN-TC'!$S$4,OR(TH!N72="1111",TH!O72="1111")),TH!D72,""),"")</f>
        <v/>
      </c>
      <c r="B72" s="63">
        <f t="shared" si="2"/>
        <v>3</v>
      </c>
      <c r="C72" s="882">
        <v>42460</v>
      </c>
      <c r="D72" s="882" t="s">
        <v>585</v>
      </c>
      <c r="E72" s="882">
        <f t="shared" si="12"/>
        <v>42460</v>
      </c>
      <c r="F72" s="883" t="s">
        <v>1357</v>
      </c>
      <c r="G72" s="990" t="s">
        <v>590</v>
      </c>
      <c r="H72" s="322"/>
      <c r="I72" s="447"/>
      <c r="J72" s="447"/>
      <c r="K72" s="438"/>
      <c r="L72" s="447"/>
      <c r="M72" s="888">
        <f>G62*$G72</f>
        <v>373690</v>
      </c>
      <c r="N72" s="889" t="s">
        <v>595</v>
      </c>
      <c r="O72" s="889" t="s">
        <v>598</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IF(AND('341-CT'!$H$9=H72,OR(LEFT(N72,3)=$W$7,LEFT(O72,3)=$W$7)),"x","")</f>
        <v/>
      </c>
      <c r="X72" s="85" t="str">
        <f>IF(OR(TH!N72=TH!$X$7,O72=TH!$X$7),"x","")</f>
        <v/>
      </c>
      <c r="Y72" s="85" t="str">
        <f>IF(AND(OR(N72="131",O72="131"),H72='131-CT'!$H$9),"x","")</f>
        <v/>
      </c>
      <c r="Z72" s="85"/>
      <c r="AA72" s="85" t="str">
        <f>IF(AND(MONTH(E72)='IN-NX'!$J$5,'IN-NX'!$D$7=D72),"x","")</f>
        <v/>
      </c>
      <c r="AB72" s="85" t="str">
        <f>IF(AND(OR(LEFT(TH!N72,2)="15",LEFT(TH!O72,2)="15"),'152-CT'!$J$8=TH!F72),"x","")</f>
        <v/>
      </c>
      <c r="AC72" s="85" t="str">
        <f>IF(AND(OR(LEFT(TH!N72,2)="15",LEFT(TH!O72,2)="15"),TK!$E$7=TH!F72),"x","")</f>
        <v/>
      </c>
      <c r="AD72" s="85" t="str">
        <f>IF(AND(N72="1521",MONTH(C72)='BK-NL'!$M$11),"x","")</f>
        <v/>
      </c>
    </row>
    <row r="73" spans="1:30" s="348" customFormat="1" ht="15.75" customHeight="1">
      <c r="A73" s="343" t="str">
        <f>IF(B73&lt;&gt;"",IF(AND(B73='IN-TC'!$S$4,OR(TH!N73="1111",TH!O73="1111")),TH!D73,""),"")</f>
        <v/>
      </c>
      <c r="B73" s="63">
        <f t="shared" si="2"/>
        <v>3</v>
      </c>
      <c r="C73" s="882">
        <v>42460</v>
      </c>
      <c r="D73" s="882" t="s">
        <v>585</v>
      </c>
      <c r="E73" s="882">
        <f t="shared" si="12"/>
        <v>42460</v>
      </c>
      <c r="F73" s="883" t="s">
        <v>1358</v>
      </c>
      <c r="G73" s="278"/>
      <c r="H73" s="322"/>
      <c r="I73" s="447"/>
      <c r="J73" s="447"/>
      <c r="K73" s="438"/>
      <c r="L73" s="447"/>
      <c r="M73" s="888">
        <f>G63*$G72</f>
        <v>1083660</v>
      </c>
      <c r="N73" s="889" t="s">
        <v>595</v>
      </c>
      <c r="O73" s="889" t="s">
        <v>598</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IF(AND('341-CT'!$H$9=H73,OR(LEFT(N73,3)=$W$7,LEFT(O73,3)=$W$7)),"x","")</f>
        <v/>
      </c>
      <c r="X73" s="85" t="str">
        <f>IF(OR(TH!N73=TH!$X$7,O73=TH!$X$7),"x","")</f>
        <v/>
      </c>
      <c r="Y73" s="85" t="str">
        <f>IF(AND(OR(N73="131",O73="131"),H73='131-CT'!$H$9),"x","")</f>
        <v/>
      </c>
      <c r="Z73" s="85"/>
      <c r="AA73" s="85" t="str">
        <f>IF(AND(MONTH(E73)='IN-NX'!$J$5,'IN-NX'!$D$7=D73),"x","")</f>
        <v/>
      </c>
      <c r="AB73" s="85" t="str">
        <f>IF(AND(OR(LEFT(TH!N73,2)="15",LEFT(TH!O73,2)="15"),'152-CT'!$J$8=TH!F73),"x","")</f>
        <v/>
      </c>
      <c r="AC73" s="85" t="str">
        <f>IF(AND(OR(LEFT(TH!N73,2)="15",LEFT(TH!O73,2)="15"),TK!$E$7=TH!F73),"x","")</f>
        <v/>
      </c>
      <c r="AD73" s="85" t="str">
        <f>IF(AND(N73="1521",MONTH(C73)='BK-NL'!$M$11),"x","")</f>
        <v/>
      </c>
    </row>
    <row r="74" spans="1:30" s="348" customFormat="1" ht="15.75" customHeight="1">
      <c r="A74" s="343" t="str">
        <f>IF(B74&lt;&gt;"",IF(AND(B74='IN-TC'!$S$4,OR(TH!N74="1111",TH!O74="1111")),TH!D74,""),"")</f>
        <v/>
      </c>
      <c r="B74" s="63">
        <f t="shared" si="2"/>
        <v>3</v>
      </c>
      <c r="C74" s="882">
        <v>42460</v>
      </c>
      <c r="D74" s="882" t="s">
        <v>585</v>
      </c>
      <c r="E74" s="882">
        <f t="shared" si="12"/>
        <v>42460</v>
      </c>
      <c r="F74" s="883" t="s">
        <v>1359</v>
      </c>
      <c r="G74" s="990" t="s">
        <v>590</v>
      </c>
      <c r="H74" s="1150"/>
      <c r="I74" s="448"/>
      <c r="J74" s="448"/>
      <c r="K74" s="439"/>
      <c r="L74" s="448"/>
      <c r="M74" s="888">
        <f>M72</f>
        <v>373690</v>
      </c>
      <c r="N74" s="889" t="s">
        <v>594</v>
      </c>
      <c r="O74" s="889" t="s">
        <v>598</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IF(AND('341-CT'!$H$9=H74,OR(LEFT(N74,3)=$W$7,LEFT(O74,3)=$W$7)),"x","")</f>
        <v/>
      </c>
      <c r="X74" s="85" t="str">
        <f>IF(OR(TH!N74=TH!$X$7,O74=TH!$X$7),"x","")</f>
        <v/>
      </c>
      <c r="Y74" s="85" t="str">
        <f>IF(AND(OR(N74="131",O74="131"),H74='131-CT'!$H$9),"x","")</f>
        <v/>
      </c>
      <c r="Z74" s="85"/>
      <c r="AA74" s="85" t="str">
        <f>IF(AND(MONTH(E74)='IN-NX'!$J$5,'IN-NX'!$D$7=D74),"x","")</f>
        <v/>
      </c>
      <c r="AB74" s="85" t="str">
        <f>IF(AND(OR(LEFT(TH!N74,2)="15",LEFT(TH!O74,2)="15"),'152-CT'!$J$8=TH!F74),"x","")</f>
        <v/>
      </c>
      <c r="AC74" s="85" t="str">
        <f>IF(AND(OR(LEFT(TH!N74,2)="15",LEFT(TH!O74,2)="15"),TK!$E$7=TH!F74),"x","")</f>
        <v/>
      </c>
      <c r="AD74" s="85" t="str">
        <f>IF(AND(N74="1521",MONTH(C74)='BK-NL'!$M$11),"x","")</f>
        <v/>
      </c>
    </row>
    <row r="75" spans="1:30" s="348" customFormat="1" ht="15.75" customHeight="1">
      <c r="A75" s="343" t="str">
        <f>IF(B75&lt;&gt;"",IF(AND(B75='IN-TC'!$S$4,OR(TH!N75="1111",TH!O75="1111")),TH!D75,""),"")</f>
        <v/>
      </c>
      <c r="B75" s="63">
        <f t="shared" si="2"/>
        <v>3</v>
      </c>
      <c r="C75" s="882">
        <v>42460</v>
      </c>
      <c r="D75" s="882" t="s">
        <v>585</v>
      </c>
      <c r="E75" s="882">
        <f t="shared" si="12"/>
        <v>42460</v>
      </c>
      <c r="F75" s="883" t="s">
        <v>1360</v>
      </c>
      <c r="G75" s="278"/>
      <c r="H75" s="322"/>
      <c r="I75" s="447"/>
      <c r="J75" s="447"/>
      <c r="K75" s="438"/>
      <c r="L75" s="447"/>
      <c r="M75" s="888">
        <f>M73</f>
        <v>1083660</v>
      </c>
      <c r="N75" s="889" t="s">
        <v>283</v>
      </c>
      <c r="O75" s="889" t="s">
        <v>598</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IF(AND('341-CT'!$H$9=H75,OR(LEFT(N75,3)=$W$7,LEFT(O75,3)=$W$7)),"x","")</f>
        <v/>
      </c>
      <c r="X75" s="85" t="str">
        <f>IF(OR(TH!N75=TH!$X$7,O75=TH!$X$7),"x","")</f>
        <v/>
      </c>
      <c r="Y75" s="85" t="str">
        <f>IF(AND(OR(N75="131",O75="131"),H75='131-CT'!$H$9),"x","")</f>
        <v/>
      </c>
      <c r="Z75" s="85"/>
      <c r="AA75" s="85" t="str">
        <f>IF(AND(MONTH(E75)='IN-NX'!$J$5,'IN-NX'!$D$7=D75),"x","")</f>
        <v/>
      </c>
      <c r="AB75" s="85" t="str">
        <f>IF(AND(OR(LEFT(TH!N75,2)="15",LEFT(TH!O75,2)="15"),'152-CT'!$J$8=TH!F75),"x","")</f>
        <v/>
      </c>
      <c r="AC75" s="85" t="str">
        <f>IF(AND(OR(LEFT(TH!N75,2)="15",LEFT(TH!O75,2)="15"),TK!$E$7=TH!F75),"x","")</f>
        <v/>
      </c>
      <c r="AD75" s="85" t="str">
        <f>IF(AND(N75="1521",MONTH(C75)='BK-NL'!$M$11),"x","")</f>
        <v/>
      </c>
    </row>
    <row r="76" spans="1:30" s="348" customFormat="1" ht="15.75" customHeight="1">
      <c r="A76" s="343" t="str">
        <f>IF(B76&lt;&gt;"",IF(AND(B76='IN-TC'!$S$4,OR(TH!N76="1111",TH!O76="1111")),TH!D76,""),"")</f>
        <v/>
      </c>
      <c r="B76" s="63">
        <f>IF(C76&lt;&gt;"",MONTH(C76),"")</f>
        <v>1</v>
      </c>
      <c r="C76" s="876">
        <v>42395</v>
      </c>
      <c r="D76" s="876" t="s">
        <v>599</v>
      </c>
      <c r="E76" s="876">
        <f>C76</f>
        <v>42395</v>
      </c>
      <c r="F76" s="877" t="s">
        <v>583</v>
      </c>
      <c r="G76" s="993" t="s">
        <v>620</v>
      </c>
      <c r="H76" s="985" t="s">
        <v>604</v>
      </c>
      <c r="I76" s="986">
        <v>7100</v>
      </c>
      <c r="J76" s="988">
        <v>11.2</v>
      </c>
      <c r="K76" s="987">
        <v>79520</v>
      </c>
      <c r="L76" s="986">
        <v>22365</v>
      </c>
      <c r="M76" s="878">
        <v>1778464800</v>
      </c>
      <c r="N76" s="884" t="s">
        <v>591</v>
      </c>
      <c r="O76" s="884" t="s">
        <v>299</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IF(AND('341-CT'!$H$9=H76,OR(LEFT(N76,3)=$W$7,LEFT(O76,3)=$W$7)),"x","")</f>
        <v/>
      </c>
      <c r="X76" s="85" t="str">
        <f>IF(OR(TH!N76=TH!$X$7,O76=TH!$X$7),"x","")</f>
        <v/>
      </c>
      <c r="Y76" s="85" t="str">
        <f>IF(AND(OR(N76="131",O76="131"),H76='131-CT'!$H$9),"x","")</f>
        <v/>
      </c>
      <c r="Z76" s="85"/>
      <c r="AA76" s="85" t="str">
        <f>IF(AND(MONTH(E76)='IN-NX'!$J$5,'IN-NX'!$D$7=D76),"x","")</f>
        <v/>
      </c>
      <c r="AB76" s="85" t="str">
        <f>IF(AND(OR(LEFT(TH!N76,2)="15",LEFT(TH!O76,2)="15"),'152-CT'!$J$8=TH!F76),"x","")</f>
        <v/>
      </c>
      <c r="AC76" s="85" t="str">
        <f>IF(AND(OR(LEFT(TH!N76,2)="15",LEFT(TH!O76,2)="15"),TK!$E$7=TH!F76),"x","")</f>
        <v/>
      </c>
      <c r="AD76" s="85" t="str">
        <f>IF(AND(N76="1521",MONTH(C76)='BK-NL'!$M$11),"x","")</f>
        <v/>
      </c>
    </row>
    <row r="77" spans="1:30" s="348" customFormat="1" ht="15.75" customHeight="1">
      <c r="A77" s="343" t="str">
        <f>IF(B77&lt;&gt;"",IF(AND(B77='IN-TC'!$S$4,OR(TH!N77="1111",TH!O77="1111")),TH!D77,""),"")</f>
        <v/>
      </c>
      <c r="B77" s="63">
        <f>IF(C77&lt;&gt;"",MONTH(C77),"")</f>
        <v>1</v>
      </c>
      <c r="C77" s="876">
        <v>42395</v>
      </c>
      <c r="D77" s="876" t="s">
        <v>600</v>
      </c>
      <c r="E77" s="876">
        <f>C77</f>
        <v>42395</v>
      </c>
      <c r="F77" s="877" t="s">
        <v>584</v>
      </c>
      <c r="G77" s="993" t="s">
        <v>621</v>
      </c>
      <c r="H77" s="985" t="s">
        <v>601</v>
      </c>
      <c r="I77" s="986">
        <v>4800</v>
      </c>
      <c r="J77" s="988">
        <v>8.6999999999999993</v>
      </c>
      <c r="K77" s="987">
        <v>41760</v>
      </c>
      <c r="L77" s="986">
        <v>22365</v>
      </c>
      <c r="M77" s="878">
        <v>933962400</v>
      </c>
      <c r="N77" s="884" t="s">
        <v>591</v>
      </c>
      <c r="O77" s="884" t="s">
        <v>299</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IF(AND('341-CT'!$H$9=H77,OR(LEFT(N77,3)=$W$7,LEFT(O77,3)=$W$7)),"x","")</f>
        <v/>
      </c>
      <c r="X77" s="85" t="str">
        <f>IF(OR(TH!N77=TH!$X$7,O77=TH!$X$7),"x","")</f>
        <v/>
      </c>
      <c r="Y77" s="85" t="str">
        <f>IF(AND(OR(N77="131",O77="131"),H77='131-CT'!$H$9),"x","")</f>
        <v/>
      </c>
      <c r="Z77" s="85"/>
      <c r="AA77" s="85" t="str">
        <f>IF(AND(MONTH(E77)='IN-NX'!$J$5,'IN-NX'!$D$7=D77),"x","")</f>
        <v/>
      </c>
      <c r="AB77" s="85" t="str">
        <f>IF(AND(OR(LEFT(TH!N77,2)="15",LEFT(TH!O77,2)="15"),'152-CT'!$J$8=TH!F77),"x","")</f>
        <v/>
      </c>
      <c r="AC77" s="85" t="str">
        <f>IF(AND(OR(LEFT(TH!N77,2)="15",LEFT(TH!O77,2)="15"),TK!$E$7=TH!F77),"x","")</f>
        <v/>
      </c>
      <c r="AD77" s="85" t="str">
        <f>IF(AND(N77="1521",MONTH(C77)='BK-NL'!$M$11),"x","")</f>
        <v/>
      </c>
    </row>
    <row r="78" spans="1:30" ht="15.75" customHeight="1">
      <c r="A78" s="343" t="str">
        <f>IF(B78&lt;&gt;"",IF(AND(B78='IN-TC'!$S$4,OR(TH!N78="1111",TH!O78="1111")),TH!D78,""),"")</f>
        <v/>
      </c>
      <c r="B78" s="63">
        <f>IF(C78&lt;&gt;"",MONTH(C78),"")</f>
        <v>2</v>
      </c>
      <c r="C78" s="876">
        <v>42402</v>
      </c>
      <c r="D78" s="876" t="s">
        <v>1007</v>
      </c>
      <c r="E78" s="876">
        <f>C78</f>
        <v>42402</v>
      </c>
      <c r="F78" s="877" t="s">
        <v>453</v>
      </c>
      <c r="G78" s="994" t="s">
        <v>1008</v>
      </c>
      <c r="H78" s="985" t="s">
        <v>602</v>
      </c>
      <c r="I78" s="986">
        <v>12000</v>
      </c>
      <c r="J78" s="988">
        <v>8.58</v>
      </c>
      <c r="K78" s="987">
        <f>I78*J78</f>
        <v>102960</v>
      </c>
      <c r="L78" s="986">
        <v>22215</v>
      </c>
      <c r="M78" s="878">
        <f>ROUND(K78*L78,0)</f>
        <v>2287256400</v>
      </c>
      <c r="N78" s="884" t="s">
        <v>591</v>
      </c>
      <c r="O78" s="884" t="s">
        <v>299</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IF(AND('341-CT'!$H$9=H78,OR(LEFT(N78,3)=$W$7,LEFT(O78,3)=$W$7)),"x","")</f>
        <v/>
      </c>
      <c r="X78" s="85" t="str">
        <f>IF(OR(TH!N78=TH!$X$7,O78=TH!$X$7),"x","")</f>
        <v/>
      </c>
      <c r="Y78" s="85" t="str">
        <f>IF(AND(OR(N78="131",O78="131"),H78='131-CT'!$H$9),"x","")</f>
        <v>x</v>
      </c>
      <c r="Z78" s="85"/>
      <c r="AA78" s="85" t="str">
        <f>IF(AND(MONTH(E78)='IN-NX'!$J$5,'IN-NX'!$D$7=D78),"x","")</f>
        <v/>
      </c>
      <c r="AB78" s="85" t="str">
        <f>IF(AND(OR(LEFT(TH!N78,2)="15",LEFT(TH!O78,2)="15"),'152-CT'!$J$8=TH!F78),"x","")</f>
        <v/>
      </c>
      <c r="AC78" s="85" t="str">
        <f>IF(AND(OR(LEFT(TH!N78,2)="15",LEFT(TH!O78,2)="15"),TK!$E$7=TH!F78),"x","")</f>
        <v/>
      </c>
      <c r="AD78" s="85" t="str">
        <f>IF(AND(N78="1521",MONTH(C78)='BK-NL'!$M$11),"x","")</f>
        <v/>
      </c>
    </row>
    <row r="79" spans="1:30" s="354" customFormat="1" ht="15.75" customHeight="1">
      <c r="A79" s="343" t="str">
        <f>IF(B79&lt;&gt;"",IF(AND(B79='IN-TC'!$S$4,OR(TH!N79="1111",TH!O79="1111")),TH!D79,""),"")</f>
        <v/>
      </c>
      <c r="B79" s="63">
        <f>IF(C79&lt;&gt;"",MONTH(C79),"")</f>
        <v>3</v>
      </c>
      <c r="C79" s="989">
        <v>42443</v>
      </c>
      <c r="D79" s="876" t="s">
        <v>1007</v>
      </c>
      <c r="E79" s="876">
        <f>C79</f>
        <v>42443</v>
      </c>
      <c r="F79" s="877" t="s">
        <v>453</v>
      </c>
      <c r="G79" s="994" t="s">
        <v>1009</v>
      </c>
      <c r="H79" s="985" t="s">
        <v>602</v>
      </c>
      <c r="I79" s="986">
        <v>12500</v>
      </c>
      <c r="J79" s="988">
        <v>8.43</v>
      </c>
      <c r="K79" s="987">
        <f>I79*J79</f>
        <v>105375</v>
      </c>
      <c r="L79" s="986">
        <v>22255</v>
      </c>
      <c r="M79" s="878">
        <f>ROUND(K79*L79,0)</f>
        <v>2345120625</v>
      </c>
      <c r="N79" s="884" t="s">
        <v>591</v>
      </c>
      <c r="O79" s="884" t="s">
        <v>299</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IF(AND('341-CT'!$H$9=H79,OR(LEFT(N79,3)=$W$7,LEFT(O79,3)=$W$7)),"x","")</f>
        <v/>
      </c>
      <c r="X79" s="85" t="str">
        <f>IF(OR(TH!N79=TH!$X$7,O79=TH!$X$7),"x","")</f>
        <v/>
      </c>
      <c r="Y79" s="85" t="str">
        <f>IF(AND(OR(N79="131",O79="131"),H79='131-CT'!$H$9),"x","")</f>
        <v>x</v>
      </c>
      <c r="Z79" s="85"/>
      <c r="AA79" s="85" t="str">
        <f>IF(AND(MONTH(E79)='IN-NX'!$J$5,'IN-NX'!$D$7=D79),"x","")</f>
        <v/>
      </c>
      <c r="AB79" s="85" t="str">
        <f>IF(AND(OR(LEFT(TH!N79,2)="15",LEFT(TH!O79,2)="15"),'152-CT'!$J$8=TH!F79),"x","")</f>
        <v/>
      </c>
      <c r="AC79" s="85" t="str">
        <f>IF(AND(OR(LEFT(TH!N79,2)="15",LEFT(TH!O79,2)="15"),TK!$E$7=TH!F79),"x","")</f>
        <v/>
      </c>
      <c r="AD79" s="85" t="str">
        <f>IF(AND(N79="1521",MONTH(C79)='BK-NL'!$M$11),"x","")</f>
        <v/>
      </c>
    </row>
    <row r="80" spans="1:30" s="348" customFormat="1" ht="15.75" customHeight="1">
      <c r="A80" s="343" t="str">
        <f>IF(B80&lt;&gt;"",IF(AND(B80='IN-TC'!$S$4,OR(TH!N80="1111",TH!O80="1111")),TH!D80,""),"")</f>
        <v/>
      </c>
      <c r="B80" s="63">
        <f t="shared" si="2"/>
        <v>1</v>
      </c>
      <c r="C80" s="81">
        <f t="shared" ref="C80:C92" si="13">E80</f>
        <v>42389</v>
      </c>
      <c r="D80" s="81" t="s">
        <v>703</v>
      </c>
      <c r="E80" s="81">
        <v>42389</v>
      </c>
      <c r="F80" s="82" t="s">
        <v>452</v>
      </c>
      <c r="G80" s="82"/>
      <c r="H80" s="83" t="s">
        <v>701</v>
      </c>
      <c r="I80" s="445">
        <v>7100</v>
      </c>
      <c r="J80" s="445">
        <v>192019.31991146883</v>
      </c>
      <c r="K80" s="436"/>
      <c r="L80" s="445"/>
      <c r="M80" s="84">
        <f t="shared" ref="M80:M86" si="14">ROUND(I80*J80,0)</f>
        <v>1363337171</v>
      </c>
      <c r="N80" s="85" t="s">
        <v>285</v>
      </c>
      <c r="O80" s="85" t="s">
        <v>283</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IF(AND('341-CT'!$H$9=H80,OR(LEFT(N80,3)=$W$7,LEFT(O80,3)=$W$7)),"x","")</f>
        <v/>
      </c>
      <c r="X80" s="85" t="str">
        <f>IF(OR(TH!N80=TH!$X$7,O80=TH!$X$7),"x","")</f>
        <v/>
      </c>
      <c r="Y80" s="85" t="str">
        <f>IF(AND(OR(N80="131",O80="131"),H80='131-CT'!$H$9),"x","")</f>
        <v/>
      </c>
      <c r="Z80" s="85"/>
      <c r="AA80" s="85" t="str">
        <f>IF(AND(MONTH(E80)='IN-NX'!$J$5,'IN-NX'!$D$7=D80),"x","")</f>
        <v/>
      </c>
      <c r="AB80" s="85" t="str">
        <f>IF(AND(OR(LEFT(TH!N80,2)="15",LEFT(TH!O80,2)="15"),'152-CT'!$J$8=TH!F80),"x","")</f>
        <v/>
      </c>
      <c r="AC80" s="85" t="str">
        <f>IF(AND(OR(LEFT(TH!N80,2)="15",LEFT(TH!O80,2)="15"),TK!$E$7=TH!F80),"x","")</f>
        <v/>
      </c>
      <c r="AD80" s="85" t="str">
        <f>IF(AND(N80="1521",MONTH(C80)='BK-NL'!$M$11),"x","")</f>
        <v/>
      </c>
    </row>
    <row r="81" spans="1:30" s="348" customFormat="1" ht="15.75" customHeight="1">
      <c r="A81" s="343" t="str">
        <f>IF(B81&lt;&gt;"",IF(AND(B81='IN-TC'!$S$4,OR(TH!N81="1111",TH!O81="1111")),TH!D81,""),"")</f>
        <v/>
      </c>
      <c r="B81" s="63">
        <f t="shared" si="2"/>
        <v>1</v>
      </c>
      <c r="C81" s="81">
        <f t="shared" si="13"/>
        <v>42393</v>
      </c>
      <c r="D81" s="81" t="s">
        <v>704</v>
      </c>
      <c r="E81" s="81">
        <v>42393</v>
      </c>
      <c r="F81" s="82" t="s">
        <v>454</v>
      </c>
      <c r="G81" s="82"/>
      <c r="H81" s="83" t="s">
        <v>701</v>
      </c>
      <c r="I81" s="445">
        <v>4800</v>
      </c>
      <c r="J81" s="445">
        <v>168506.85547551978</v>
      </c>
      <c r="K81" s="436"/>
      <c r="L81" s="445"/>
      <c r="M81" s="84">
        <f t="shared" si="14"/>
        <v>808832906</v>
      </c>
      <c r="N81" s="85" t="s">
        <v>285</v>
      </c>
      <c r="O81" s="85" t="s">
        <v>283</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IF(AND('341-CT'!$H$9=H81,OR(LEFT(N81,3)=$W$7,LEFT(O81,3)=$W$7)),"x","")</f>
        <v/>
      </c>
      <c r="X81" s="85" t="str">
        <f>IF(OR(TH!N81=TH!$X$7,O81=TH!$X$7),"x","")</f>
        <v/>
      </c>
      <c r="Y81" s="85" t="str">
        <f>IF(AND(OR(N81="131",O81="131"),H81='131-CT'!$H$9),"x","")</f>
        <v/>
      </c>
      <c r="Z81" s="85"/>
      <c r="AA81" s="85" t="str">
        <f>IF(AND(MONTH(E81)='IN-NX'!$J$5,'IN-NX'!$D$7=D81),"x","")</f>
        <v/>
      </c>
      <c r="AB81" s="85" t="str">
        <f>IF(AND(OR(LEFT(TH!N81,2)="15",LEFT(TH!O81,2)="15"),'152-CT'!$J$8=TH!F81),"x","")</f>
        <v/>
      </c>
      <c r="AC81" s="85" t="str">
        <f>IF(AND(OR(LEFT(TH!N81,2)="15",LEFT(TH!O81,2)="15"),TK!$E$7=TH!F81),"x","")</f>
        <v/>
      </c>
      <c r="AD81" s="85" t="str">
        <f>IF(AND(N81="1521",MONTH(C81)='BK-NL'!$M$11),"x","")</f>
        <v/>
      </c>
    </row>
    <row r="82" spans="1:30" s="348" customFormat="1" ht="15.75" customHeight="1">
      <c r="A82" s="343" t="str">
        <f>IF(B82&lt;&gt;"",IF(AND(B82='IN-TC'!$S$4,OR(TH!N82="1111",TH!O82="1111")),TH!D82,""),"")</f>
        <v/>
      </c>
      <c r="B82" s="63">
        <f t="shared" si="2"/>
        <v>1</v>
      </c>
      <c r="C82" s="81">
        <f t="shared" si="13"/>
        <v>42400</v>
      </c>
      <c r="D82" s="81" t="s">
        <v>705</v>
      </c>
      <c r="E82" s="81">
        <v>42400</v>
      </c>
      <c r="F82" s="82" t="s">
        <v>453</v>
      </c>
      <c r="G82" s="82"/>
      <c r="H82" s="83" t="s">
        <v>701</v>
      </c>
      <c r="I82" s="445">
        <v>12000</v>
      </c>
      <c r="J82" s="445">
        <v>175689.47836217305</v>
      </c>
      <c r="K82" s="436"/>
      <c r="L82" s="445"/>
      <c r="M82" s="84">
        <f t="shared" si="14"/>
        <v>2108273740</v>
      </c>
      <c r="N82" s="85" t="s">
        <v>285</v>
      </c>
      <c r="O82" s="85" t="s">
        <v>283</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IF(AND('341-CT'!$H$9=H82,OR(LEFT(N82,3)=$W$7,LEFT(O82,3)=$W$7)),"x","")</f>
        <v/>
      </c>
      <c r="X82" s="85" t="str">
        <f>IF(OR(TH!N82=TH!$X$7,O82=TH!$X$7),"x","")</f>
        <v/>
      </c>
      <c r="Y82" s="85" t="str">
        <f>IF(AND(OR(N82="131",O82="131"),H82='131-CT'!$H$9),"x","")</f>
        <v/>
      </c>
      <c r="Z82" s="85"/>
      <c r="AA82" s="85" t="str">
        <f>IF(AND(MONTH(E82)='IN-NX'!$J$5,'IN-NX'!$D$7=D82),"x","")</f>
        <v/>
      </c>
      <c r="AB82" s="85" t="str">
        <f>IF(AND(OR(LEFT(TH!N82,2)="15",LEFT(TH!O82,2)="15"),'152-CT'!$J$8=TH!F82),"x","")</f>
        <v/>
      </c>
      <c r="AC82" s="85" t="str">
        <f>IF(AND(OR(LEFT(TH!N82,2)="15",LEFT(TH!O82,2)="15"),TK!$E$7=TH!F82),"x","")</f>
        <v/>
      </c>
      <c r="AD82" s="85" t="str">
        <f>IF(AND(N82="1521",MONTH(C82)='BK-NL'!$M$11),"x","")</f>
        <v/>
      </c>
    </row>
    <row r="83" spans="1:30" s="348" customFormat="1" ht="15.75" customHeight="1">
      <c r="A83" s="343" t="str">
        <f>IF(B83&lt;&gt;"",IF(AND(B83='IN-TC'!$S$4,OR(TH!N83="1111",TH!O83="1111")),TH!D83,""),"")</f>
        <v/>
      </c>
      <c r="B83" s="63">
        <f t="shared" si="2"/>
        <v>1</v>
      </c>
      <c r="C83" s="81">
        <f t="shared" si="13"/>
        <v>42395</v>
      </c>
      <c r="D83" s="81" t="s">
        <v>599</v>
      </c>
      <c r="E83" s="81">
        <v>42395</v>
      </c>
      <c r="F83" s="82" t="s">
        <v>452</v>
      </c>
      <c r="G83" s="82"/>
      <c r="H83" s="83" t="s">
        <v>604</v>
      </c>
      <c r="I83" s="445">
        <v>7100</v>
      </c>
      <c r="J83" s="445">
        <v>192019.31991146883</v>
      </c>
      <c r="K83" s="436"/>
      <c r="L83" s="445"/>
      <c r="M83" s="84">
        <f t="shared" si="14"/>
        <v>1363337171</v>
      </c>
      <c r="N83" s="85" t="s">
        <v>295</v>
      </c>
      <c r="O83" s="85" t="s">
        <v>285</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IF(AND('341-CT'!$H$9=H83,OR(LEFT(N83,3)=$W$7,LEFT(O83,3)=$W$7)),"x","")</f>
        <v/>
      </c>
      <c r="X83" s="85" t="str">
        <f>IF(OR(TH!N83=TH!$X$7,O83=TH!$X$7),"x","")</f>
        <v/>
      </c>
      <c r="Y83" s="85" t="str">
        <f>IF(AND(OR(N83="131",O83="131"),H83='131-CT'!$H$9),"x","")</f>
        <v/>
      </c>
      <c r="Z83" s="85"/>
      <c r="AA83" s="85" t="str">
        <f>IF(AND(MONTH(E83)='IN-NX'!$J$5,'IN-NX'!$D$7=D83),"x","")</f>
        <v/>
      </c>
      <c r="AB83" s="85" t="str">
        <f>IF(AND(OR(LEFT(TH!N83,2)="15",LEFT(TH!O83,2)="15"),'152-CT'!$J$8=TH!F83),"x","")</f>
        <v/>
      </c>
      <c r="AC83" s="85" t="str">
        <f>IF(AND(OR(LEFT(TH!N83,2)="15",LEFT(TH!O83,2)="15"),TK!$E$7=TH!F83),"x","")</f>
        <v/>
      </c>
      <c r="AD83" s="85" t="str">
        <f>IF(AND(N83="1521",MONTH(C83)='BK-NL'!$M$11),"x","")</f>
        <v/>
      </c>
    </row>
    <row r="84" spans="1:30" s="348" customFormat="1" ht="15.75" customHeight="1">
      <c r="A84" s="343" t="str">
        <f>IF(B84&lt;&gt;"",IF(AND(B84='IN-TC'!$S$4,OR(TH!N84="1111",TH!O84="1111")),TH!D84,""),"")</f>
        <v/>
      </c>
      <c r="B84" s="63">
        <f t="shared" si="2"/>
        <v>1</v>
      </c>
      <c r="C84" s="81">
        <f t="shared" si="13"/>
        <v>42395</v>
      </c>
      <c r="D84" s="81" t="s">
        <v>600</v>
      </c>
      <c r="E84" s="81">
        <v>42395</v>
      </c>
      <c r="F84" s="82" t="s">
        <v>454</v>
      </c>
      <c r="G84" s="82"/>
      <c r="H84" s="83" t="s">
        <v>601</v>
      </c>
      <c r="I84" s="445">
        <v>4800</v>
      </c>
      <c r="J84" s="445">
        <v>168506.85547551978</v>
      </c>
      <c r="K84" s="436"/>
      <c r="L84" s="445"/>
      <c r="M84" s="84">
        <f t="shared" si="14"/>
        <v>808832906</v>
      </c>
      <c r="N84" s="85" t="s">
        <v>295</v>
      </c>
      <c r="O84" s="85" t="s">
        <v>285</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IF(AND('341-CT'!$H$9=H84,OR(LEFT(N84,3)=$W$7,LEFT(O84,3)=$W$7)),"x","")</f>
        <v/>
      </c>
      <c r="X84" s="85" t="str">
        <f>IF(OR(TH!N84=TH!$X$7,O84=TH!$X$7),"x","")</f>
        <v/>
      </c>
      <c r="Y84" s="85" t="str">
        <f>IF(AND(OR(N84="131",O84="131"),H84='131-CT'!$H$9),"x","")</f>
        <v/>
      </c>
      <c r="Z84" s="85"/>
      <c r="AA84" s="85" t="str">
        <f>IF(AND(MONTH(E84)='IN-NX'!$J$5,'IN-NX'!$D$7=D84),"x","")</f>
        <v/>
      </c>
      <c r="AB84" s="85" t="str">
        <f>IF(AND(OR(LEFT(TH!N84,2)="15",LEFT(TH!O84,2)="15"),'152-CT'!$J$8=TH!F84),"x","")</f>
        <v/>
      </c>
      <c r="AC84" s="85" t="str">
        <f>IF(AND(OR(LEFT(TH!N84,2)="15",LEFT(TH!O84,2)="15"),TK!$E$7=TH!F84),"x","")</f>
        <v/>
      </c>
      <c r="AD84" s="85" t="str">
        <f>IF(AND(N84="1521",MONTH(C84)='BK-NL'!$M$11),"x","")</f>
        <v/>
      </c>
    </row>
    <row r="85" spans="1:30" s="348" customFormat="1" ht="15.75" customHeight="1">
      <c r="A85" s="343" t="str">
        <f>IF(B85&lt;&gt;"",IF(AND(B85='IN-TC'!$S$4,OR(TH!N85="1111",TH!O85="1111")),TH!D85,""),"")</f>
        <v/>
      </c>
      <c r="B85" s="63">
        <f t="shared" si="2"/>
        <v>2</v>
      </c>
      <c r="C85" s="81">
        <f t="shared" si="13"/>
        <v>42402</v>
      </c>
      <c r="D85" s="81" t="s">
        <v>599</v>
      </c>
      <c r="E85" s="81">
        <v>42402</v>
      </c>
      <c r="F85" s="82" t="s">
        <v>453</v>
      </c>
      <c r="G85" s="82"/>
      <c r="H85" s="976" t="s">
        <v>602</v>
      </c>
      <c r="I85" s="445">
        <v>12000</v>
      </c>
      <c r="J85" s="445">
        <v>175689.47836217305</v>
      </c>
      <c r="K85" s="436"/>
      <c r="L85" s="445"/>
      <c r="M85" s="84">
        <f t="shared" si="14"/>
        <v>2108273740</v>
      </c>
      <c r="N85" s="85" t="s">
        <v>295</v>
      </c>
      <c r="O85" s="85" t="s">
        <v>285</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IF(AND('341-CT'!$H$9=H85,OR(LEFT(N85,3)=$W$7,LEFT(O85,3)=$W$7)),"x","")</f>
        <v/>
      </c>
      <c r="X85" s="85" t="str">
        <f>IF(OR(TH!N85=TH!$X$7,O85=TH!$X$7),"x","")</f>
        <v/>
      </c>
      <c r="Y85" s="85" t="str">
        <f>IF(AND(OR(N85="131",O85="131"),H85='131-CT'!$H$9),"x","")</f>
        <v/>
      </c>
      <c r="Z85" s="85"/>
      <c r="AA85" s="85" t="str">
        <f>IF(AND(MONTH(E85)='IN-NX'!$J$5,'IN-NX'!$D$7=D85),"x","")</f>
        <v/>
      </c>
      <c r="AB85" s="85" t="str">
        <f>IF(AND(OR(LEFT(TH!N85,2)="15",LEFT(TH!O85,2)="15"),'152-CT'!$J$8=TH!F85),"x","")</f>
        <v/>
      </c>
      <c r="AC85" s="85" t="str">
        <f>IF(AND(OR(LEFT(TH!N85,2)="15",LEFT(TH!O85,2)="15"),TK!$E$7=TH!F85),"x","")</f>
        <v/>
      </c>
      <c r="AD85" s="85" t="str">
        <f>IF(AND(N85="1521",MONTH(C85)='BK-NL'!$M$11),"x","")</f>
        <v/>
      </c>
    </row>
    <row r="86" spans="1:30" s="348" customFormat="1" ht="15.75" customHeight="1">
      <c r="A86" s="343" t="str">
        <f>IF(B86&lt;&gt;"",IF(AND(B86='IN-TC'!$S$4,OR(TH!N86="1111",TH!O86="1111")),TH!D86,""),"")</f>
        <v/>
      </c>
      <c r="B86" s="63">
        <f t="shared" si="2"/>
        <v>2</v>
      </c>
      <c r="C86" s="81">
        <f t="shared" si="13"/>
        <v>42429</v>
      </c>
      <c r="D86" s="81" t="s">
        <v>703</v>
      </c>
      <c r="E86" s="81">
        <v>42429</v>
      </c>
      <c r="F86" s="82" t="s">
        <v>453</v>
      </c>
      <c r="G86" s="82"/>
      <c r="H86" s="83" t="s">
        <v>702</v>
      </c>
      <c r="I86" s="445">
        <v>8000</v>
      </c>
      <c r="J86" s="445">
        <v>179600.94</v>
      </c>
      <c r="K86" s="436"/>
      <c r="L86" s="445"/>
      <c r="M86" s="84">
        <f t="shared" si="14"/>
        <v>1436807520</v>
      </c>
      <c r="N86" s="89" t="s">
        <v>285</v>
      </c>
      <c r="O86" s="85" t="s">
        <v>283</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IF(AND('341-CT'!$H$9=H86,OR(LEFT(N86,3)=$W$7,LEFT(O86,3)=$W$7)),"x","")</f>
        <v/>
      </c>
      <c r="X86" s="85" t="str">
        <f>IF(OR(TH!N86=TH!$X$7,O86=TH!$X$7),"x","")</f>
        <v/>
      </c>
      <c r="Y86" s="85" t="str">
        <f>IF(AND(OR(N86="131",O86="131"),H86='131-CT'!$H$9),"x","")</f>
        <v/>
      </c>
      <c r="Z86" s="85"/>
      <c r="AA86" s="85" t="str">
        <f>IF(AND(MONTH(E86)='IN-NX'!$J$5,'IN-NX'!$D$7=D86),"x","")</f>
        <v/>
      </c>
      <c r="AB86" s="85" t="str">
        <f>IF(AND(OR(LEFT(TH!N86,2)="15",LEFT(TH!O86,2)="15"),'152-CT'!$J$8=TH!F86),"x","")</f>
        <v/>
      </c>
      <c r="AC86" s="85" t="str">
        <f>IF(AND(OR(LEFT(TH!N86,2)="15",LEFT(TH!O86,2)="15"),TK!$E$7=TH!F86),"x","")</f>
        <v/>
      </c>
      <c r="AD86" s="85" t="str">
        <f>IF(AND(N86="1521",MONTH(C86)='BK-NL'!$M$11),"x","")</f>
        <v/>
      </c>
    </row>
    <row r="87" spans="1:30" s="348" customFormat="1" ht="15.75" customHeight="1">
      <c r="A87" s="343" t="str">
        <f>IF(B87&lt;&gt;"",IF(AND(B87='IN-TC'!$S$4,OR(TH!N87="1111",TH!O87="1111")),TH!D87,""),"")</f>
        <v/>
      </c>
      <c r="B87" s="63">
        <f t="shared" ref="B87:B118" si="15">IF(C87&lt;&gt;"",MONTH(C87),"")</f>
        <v>3</v>
      </c>
      <c r="C87" s="81">
        <f t="shared" si="13"/>
        <v>42430</v>
      </c>
      <c r="D87" s="81" t="s">
        <v>599</v>
      </c>
      <c r="E87" s="81">
        <v>42430</v>
      </c>
      <c r="F87" s="82" t="s">
        <v>453</v>
      </c>
      <c r="G87" s="82"/>
      <c r="H87" s="83" t="s">
        <v>701</v>
      </c>
      <c r="I87" s="445">
        <v>8000</v>
      </c>
      <c r="J87" s="445">
        <v>179600.94</v>
      </c>
      <c r="K87" s="436"/>
      <c r="L87" s="445"/>
      <c r="M87" s="84">
        <f t="shared" ref="M87" si="16">ROUND(I87*J87,0)</f>
        <v>1436807520</v>
      </c>
      <c r="N87" s="89" t="s">
        <v>283</v>
      </c>
      <c r="O87" s="85" t="s">
        <v>285</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IF(AND('341-CT'!$H$9=H87,OR(LEFT(N87,3)=$W$7,LEFT(O87,3)=$W$7)),"x","")</f>
        <v/>
      </c>
      <c r="X87" s="85" t="str">
        <f>IF(OR(TH!N87=TH!$X$7,O87=TH!$X$7),"x","")</f>
        <v/>
      </c>
      <c r="Y87" s="85" t="str">
        <f>IF(AND(OR(N87="131",O87="131"),H87='131-CT'!$H$9),"x","")</f>
        <v/>
      </c>
      <c r="Z87" s="85"/>
      <c r="AA87" s="85" t="str">
        <f>IF(AND(MONTH(E87)='IN-NX'!$J$5,'IN-NX'!$D$7=D87),"x","")</f>
        <v/>
      </c>
      <c r="AB87" s="85" t="str">
        <f>IF(AND(OR(LEFT(TH!N87,2)="15",LEFT(TH!O87,2)="15"),'152-CT'!$J$8=TH!F87),"x","")</f>
        <v/>
      </c>
      <c r="AC87" s="85" t="str">
        <f>IF(AND(OR(LEFT(TH!N87,2)="15",LEFT(TH!O87,2)="15"),TK!$E$7=TH!F87),"x","")</f>
        <v/>
      </c>
      <c r="AD87" s="85" t="str">
        <f>IF(AND(N87="1521",MONTH(C87)='BK-NL'!$M$11),"x","")</f>
        <v/>
      </c>
    </row>
    <row r="88" spans="1:30" s="348" customFormat="1" ht="15.75" customHeight="1">
      <c r="A88" s="343" t="str">
        <f>IF(B88&lt;&gt;"",IF(AND(B88='IN-TC'!$S$4,OR(TH!N88="1111",TH!O88="1111")),TH!D88,""),"")</f>
        <v/>
      </c>
      <c r="B88" s="63">
        <f t="shared" si="15"/>
        <v>3</v>
      </c>
      <c r="C88" s="81">
        <f t="shared" si="13"/>
        <v>42441</v>
      </c>
      <c r="D88" s="81" t="s">
        <v>703</v>
      </c>
      <c r="E88" s="81">
        <v>42441</v>
      </c>
      <c r="F88" s="82" t="s">
        <v>453</v>
      </c>
      <c r="G88" s="82"/>
      <c r="H88" s="83" t="s">
        <v>701</v>
      </c>
      <c r="I88" s="445">
        <v>8000</v>
      </c>
      <c r="J88" s="445">
        <v>181172.47863227222</v>
      </c>
      <c r="K88" s="436"/>
      <c r="L88" s="445"/>
      <c r="M88" s="84">
        <f t="shared" ref="M88:M92" si="17">ROUND(I88*J88,0)</f>
        <v>1449379829</v>
      </c>
      <c r="N88" s="85" t="s">
        <v>285</v>
      </c>
      <c r="O88" s="85" t="s">
        <v>283</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IF(AND('341-CT'!$H$9=H88,OR(LEFT(N88,3)=$W$7,LEFT(O88,3)=$W$7)),"x","")</f>
        <v/>
      </c>
      <c r="X88" s="85" t="str">
        <f>IF(OR(TH!N88=TH!$X$7,O88=TH!$X$7),"x","")</f>
        <v/>
      </c>
      <c r="Y88" s="85" t="str">
        <f>IF(AND(OR(N88="131",O88="131"),H88='131-CT'!$H$9),"x","")</f>
        <v/>
      </c>
      <c r="Z88" s="85"/>
      <c r="AA88" s="85" t="str">
        <f>IF(AND(MONTH(E88)='IN-NX'!$J$5,'IN-NX'!$D$7=D88),"x","")</f>
        <v/>
      </c>
      <c r="AB88" s="85" t="str">
        <f>IF(AND(OR(LEFT(TH!N88,2)="15",LEFT(TH!O88,2)="15"),'152-CT'!$J$8=TH!F88),"x","")</f>
        <v/>
      </c>
      <c r="AC88" s="85" t="str">
        <f>IF(AND(OR(LEFT(TH!N88,2)="15",LEFT(TH!O88,2)="15"),TK!$E$7=TH!F88),"x","")</f>
        <v/>
      </c>
      <c r="AD88" s="85" t="str">
        <f>IF(AND(N88="1521",MONTH(C88)='BK-NL'!$M$11),"x","")</f>
        <v/>
      </c>
    </row>
    <row r="89" spans="1:30" s="348" customFormat="1" ht="15.75" customHeight="1">
      <c r="A89" s="343" t="str">
        <f>IF(B89&lt;&gt;"",IF(AND(B89='IN-TC'!$S$4,OR(TH!N89="1111",TH!O89="1111")),TH!D89,""),"")</f>
        <v/>
      </c>
      <c r="B89" s="63">
        <f t="shared" si="15"/>
        <v>3</v>
      </c>
      <c r="C89" s="81">
        <f t="shared" si="13"/>
        <v>42441</v>
      </c>
      <c r="D89" s="81" t="s">
        <v>703</v>
      </c>
      <c r="E89" s="81">
        <v>42441</v>
      </c>
      <c r="F89" s="82" t="s">
        <v>453</v>
      </c>
      <c r="G89" s="82"/>
      <c r="H89" s="83" t="s">
        <v>701</v>
      </c>
      <c r="I89" s="445">
        <v>4500</v>
      </c>
      <c r="J89" s="445">
        <v>184232.87147764169</v>
      </c>
      <c r="K89" s="436"/>
      <c r="L89" s="445"/>
      <c r="M89" s="84">
        <f t="shared" si="17"/>
        <v>829047922</v>
      </c>
      <c r="N89" s="85" t="s">
        <v>285</v>
      </c>
      <c r="O89" s="85" t="s">
        <v>283</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IF(AND('341-CT'!$H$9=H89,OR(LEFT(N89,3)=$W$7,LEFT(O89,3)=$W$7)),"x","")</f>
        <v/>
      </c>
      <c r="X89" s="85" t="str">
        <f>IF(OR(TH!N89=TH!$X$7,O89=TH!$X$7),"x","")</f>
        <v/>
      </c>
      <c r="Y89" s="85" t="str">
        <f>IF(AND(OR(N89="131",O89="131"),H89='131-CT'!$H$9),"x","")</f>
        <v/>
      </c>
      <c r="Z89" s="85"/>
      <c r="AA89" s="85" t="str">
        <f>IF(AND(MONTH(E89)='IN-NX'!$J$5,'IN-NX'!$D$7=D89),"x","")</f>
        <v/>
      </c>
      <c r="AB89" s="85" t="str">
        <f>IF(AND(OR(LEFT(TH!N89,2)="15",LEFT(TH!O89,2)="15"),'152-CT'!$J$8=TH!F89),"x","")</f>
        <v/>
      </c>
      <c r="AC89" s="85" t="str">
        <f>IF(AND(OR(LEFT(TH!N89,2)="15",LEFT(TH!O89,2)="15"),TK!$E$7=TH!F89),"x","")</f>
        <v/>
      </c>
      <c r="AD89" s="85" t="str">
        <f>IF(AND(N89="1521",MONTH(C89)='BK-NL'!$M$11),"x","")</f>
        <v/>
      </c>
    </row>
    <row r="90" spans="1:30" s="348" customFormat="1" ht="15.75" customHeight="1">
      <c r="A90" s="343" t="str">
        <f>IF(B90&lt;&gt;"",IF(AND(B90='IN-TC'!$S$4,OR(TH!N90="1111",TH!O90="1111")),TH!D90,""),"")</f>
        <v/>
      </c>
      <c r="B90" s="63">
        <f>IF(C90&lt;&gt;"",MONTH(C90),"")</f>
        <v>3</v>
      </c>
      <c r="C90" s="81">
        <v>42459</v>
      </c>
      <c r="D90" s="81" t="s">
        <v>704</v>
      </c>
      <c r="E90" s="81">
        <f>C90</f>
        <v>42459</v>
      </c>
      <c r="F90" s="82" t="s">
        <v>454</v>
      </c>
      <c r="G90" s="82"/>
      <c r="H90" s="83" t="s">
        <v>702</v>
      </c>
      <c r="I90" s="445">
        <v>5000</v>
      </c>
      <c r="J90" s="445">
        <v>177883.42945848691</v>
      </c>
      <c r="K90" s="436"/>
      <c r="L90" s="445"/>
      <c r="M90" s="84">
        <f>ROUND(I90*J90,0)</f>
        <v>889417147</v>
      </c>
      <c r="N90" s="85" t="s">
        <v>285</v>
      </c>
      <c r="O90" s="85" t="s">
        <v>283</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IF(AND('341-CT'!$H$9=H90,OR(LEFT(N90,3)=$W$7,LEFT(O90,3)=$W$7)),"x","")</f>
        <v/>
      </c>
      <c r="X90" s="85" t="str">
        <f>IF(OR(TH!N90=TH!$X$7,O90=TH!$X$7),"x","")</f>
        <v/>
      </c>
      <c r="Y90" s="85" t="str">
        <f>IF(AND(OR(N90="131",O90="131"),H90='131-CT'!$H$9),"x","")</f>
        <v/>
      </c>
      <c r="Z90" s="85"/>
      <c r="AA90" s="85" t="str">
        <f>IF(AND(MONTH(E90)='IN-NX'!$J$5,'IN-NX'!$D$7=D90),"x","")</f>
        <v/>
      </c>
      <c r="AB90" s="85" t="str">
        <f>IF(AND(OR(LEFT(TH!N90,2)="15",LEFT(TH!O90,2)="15"),'152-CT'!$J$8=TH!F90),"x","")</f>
        <v/>
      </c>
      <c r="AC90" s="85" t="str">
        <f>IF(AND(OR(LEFT(TH!N90,2)="15",LEFT(TH!O90,2)="15"),TK!$E$7=TH!F90),"x","")</f>
        <v/>
      </c>
      <c r="AD90" s="85" t="str">
        <f>IF(AND(N90="1521",MONTH(C90)='BK-NL'!$M$11),"x","")</f>
        <v/>
      </c>
    </row>
    <row r="91" spans="1:30" s="348" customFormat="1" ht="15.75" customHeight="1">
      <c r="A91" s="343" t="str">
        <f>IF(B91&lt;&gt;"",IF(AND(B91='IN-TC'!$S$4,OR(TH!N91="1111",TH!O91="1111")),TH!D91,""),"")</f>
        <v/>
      </c>
      <c r="B91" s="63">
        <f t="shared" ref="B91" si="18">IF(C91&lt;&gt;"",MONTH(C91),"")</f>
        <v>3</v>
      </c>
      <c r="C91" s="81">
        <f t="shared" ref="C91" si="19">E91</f>
        <v>42443</v>
      </c>
      <c r="D91" s="81" t="s">
        <v>600</v>
      </c>
      <c r="E91" s="81">
        <v>42443</v>
      </c>
      <c r="F91" s="82" t="s">
        <v>453</v>
      </c>
      <c r="G91" s="82"/>
      <c r="H91" s="976" t="s">
        <v>602</v>
      </c>
      <c r="I91" s="445">
        <v>8000</v>
      </c>
      <c r="J91" s="445">
        <v>181172.47863227222</v>
      </c>
      <c r="K91" s="436"/>
      <c r="L91" s="445"/>
      <c r="M91" s="84">
        <f t="shared" ref="M91" si="20">ROUND(I91*J91,0)</f>
        <v>1449379829</v>
      </c>
      <c r="N91" s="85" t="s">
        <v>295</v>
      </c>
      <c r="O91" s="85" t="s">
        <v>285</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IF(AND('341-CT'!$H$9=H91,OR(LEFT(N91,3)=$W$7,LEFT(O91,3)=$W$7)),"x","")</f>
        <v/>
      </c>
      <c r="X91" s="85" t="str">
        <f>IF(OR(TH!N91=TH!$X$7,O91=TH!$X$7),"x","")</f>
        <v/>
      </c>
      <c r="Y91" s="85" t="str">
        <f>IF(AND(OR(N91="131",O91="131"),H91='131-CT'!$H$9),"x","")</f>
        <v/>
      </c>
      <c r="Z91" s="85"/>
      <c r="AA91" s="85" t="str">
        <f>IF(AND(MONTH(E91)='IN-NX'!$J$5,'IN-NX'!$D$7=D91),"x","")</f>
        <v/>
      </c>
      <c r="AB91" s="85" t="str">
        <f>IF(AND(OR(LEFT(TH!N91,2)="15",LEFT(TH!O91,2)="15"),'152-CT'!$J$8=TH!F91),"x","")</f>
        <v/>
      </c>
      <c r="AC91" s="85" t="str">
        <f>IF(AND(OR(LEFT(TH!N91,2)="15",LEFT(TH!O91,2)="15"),TK!$E$7=TH!F91),"x","")</f>
        <v/>
      </c>
      <c r="AD91" s="85" t="str">
        <f>IF(AND(N91="1521",MONTH(C91)='BK-NL'!$M$11),"x","")</f>
        <v/>
      </c>
    </row>
    <row r="92" spans="1:30" s="348" customFormat="1" ht="15.75" customHeight="1">
      <c r="A92" s="343" t="str">
        <f>IF(B92&lt;&gt;"",IF(AND(B92='IN-TC'!$S$4,OR(TH!N92="1111",TH!O92="1111")),TH!D92,""),"")</f>
        <v/>
      </c>
      <c r="B92" s="63">
        <f t="shared" si="15"/>
        <v>3</v>
      </c>
      <c r="C92" s="81">
        <f t="shared" si="13"/>
        <v>42443</v>
      </c>
      <c r="D92" s="81" t="s">
        <v>600</v>
      </c>
      <c r="E92" s="81">
        <v>42443</v>
      </c>
      <c r="F92" s="82" t="s">
        <v>453</v>
      </c>
      <c r="G92" s="82"/>
      <c r="H92" s="976" t="s">
        <v>602</v>
      </c>
      <c r="I92" s="445">
        <v>4500</v>
      </c>
      <c r="J92" s="445">
        <v>184232.87147764169</v>
      </c>
      <c r="K92" s="436"/>
      <c r="L92" s="445"/>
      <c r="M92" s="84">
        <f t="shared" si="17"/>
        <v>829047922</v>
      </c>
      <c r="N92" s="85" t="s">
        <v>295</v>
      </c>
      <c r="O92" s="85" t="s">
        <v>285</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IF(AND('341-CT'!$H$9=H92,OR(LEFT(N92,3)=$W$7,LEFT(O92,3)=$W$7)),"x","")</f>
        <v/>
      </c>
      <c r="X92" s="85" t="str">
        <f>IF(OR(TH!N92=TH!$X$7,O92=TH!$X$7),"x","")</f>
        <v/>
      </c>
      <c r="Y92" s="85" t="str">
        <f>IF(AND(OR(N92="131",O92="131"),H92='131-CT'!$H$9),"x","")</f>
        <v/>
      </c>
      <c r="Z92" s="85"/>
      <c r="AA92" s="85" t="str">
        <f>IF(AND(MONTH(E92)='IN-NX'!$J$5,'IN-NX'!$D$7=D92),"x","")</f>
        <v/>
      </c>
      <c r="AB92" s="85" t="str">
        <f>IF(AND(OR(LEFT(TH!N92,2)="15",LEFT(TH!O92,2)="15"),'152-CT'!$J$8=TH!F92),"x","")</f>
        <v/>
      </c>
      <c r="AC92" s="85" t="str">
        <f>IF(AND(OR(LEFT(TH!N92,2)="15",LEFT(TH!O92,2)="15"),TK!$E$7=TH!F92),"x","")</f>
        <v/>
      </c>
      <c r="AD92" s="85" t="str">
        <f>IF(AND(N92="1521",MONTH(C92)='BK-NL'!$M$11),"x","")</f>
        <v/>
      </c>
    </row>
    <row r="93" spans="1:30" s="348" customFormat="1" ht="15.75" customHeight="1">
      <c r="A93" s="343" t="str">
        <f>IF(B93&lt;&gt;"",IF(AND(B93='IN-TC'!$S$4,OR(TH!N93="1111",TH!O93="1111")),TH!D93,""),"")</f>
        <v/>
      </c>
      <c r="B93" s="63">
        <f t="shared" si="15"/>
        <v>1</v>
      </c>
      <c r="C93" s="64">
        <f t="shared" ref="C93:C108" si="21">E93</f>
        <v>42374</v>
      </c>
      <c r="D93" s="64" t="s">
        <v>681</v>
      </c>
      <c r="E93" s="64">
        <v>42374</v>
      </c>
      <c r="F93" s="67" t="s">
        <v>349</v>
      </c>
      <c r="G93" s="996" t="s">
        <v>674</v>
      </c>
      <c r="H93" s="74" t="s">
        <v>679</v>
      </c>
      <c r="I93" s="447">
        <v>1000</v>
      </c>
      <c r="J93" s="447">
        <v>13571.429</v>
      </c>
      <c r="K93" s="438"/>
      <c r="L93" s="447"/>
      <c r="M93" s="65">
        <v>13571429</v>
      </c>
      <c r="N93" s="66" t="s">
        <v>277</v>
      </c>
      <c r="O93" s="66" t="s">
        <v>8</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IF(AND('341-CT'!$H$9=H93,OR(LEFT(N93,3)=$W$7,LEFT(O93,3)=$W$7)),"x","")</f>
        <v/>
      </c>
      <c r="X93" s="85" t="str">
        <f>IF(OR(TH!N93=TH!$X$7,O93=TH!$X$7),"x","")</f>
        <v/>
      </c>
      <c r="Y93" s="85" t="str">
        <f>IF(AND(OR(N93="131",O93="131"),H93='131-CT'!$H$9),"x","")</f>
        <v/>
      </c>
      <c r="Z93" s="85"/>
      <c r="AA93" s="85" t="str">
        <f>IF(AND(MONTH(E93)='IN-NX'!$J$5,'IN-NX'!$D$7=D93),"x","")</f>
        <v/>
      </c>
      <c r="AB93" s="85" t="str">
        <f>IF(AND(OR(LEFT(TH!N93,2)="15",LEFT(TH!O93,2)="15"),'152-CT'!$J$8=TH!F93),"x","")</f>
        <v/>
      </c>
      <c r="AC93" s="85" t="str">
        <f>IF(AND(OR(LEFT(TH!N93,2)="15",LEFT(TH!O93,2)="15"),TK!$E$7=TH!F93),"x","")</f>
        <v>x</v>
      </c>
      <c r="AD93" s="85" t="str">
        <f>IF(AND(N93="1521",MONTH(C93)='BK-NL'!$M$11),"x","")</f>
        <v/>
      </c>
    </row>
    <row r="94" spans="1:30" s="348" customFormat="1" ht="15.75" customHeight="1">
      <c r="A94" s="343" t="str">
        <f>IF(B94&lt;&gt;"",IF(AND(B94='IN-TC'!$S$4,OR(TH!N94="1111",TH!O94="1111")),TH!D94,""),"")</f>
        <v/>
      </c>
      <c r="B94" s="63">
        <f t="shared" si="15"/>
        <v>1</v>
      </c>
      <c r="C94" s="64">
        <f t="shared" si="21"/>
        <v>42374</v>
      </c>
      <c r="D94" s="64" t="s">
        <v>681</v>
      </c>
      <c r="E94" s="64">
        <v>42374</v>
      </c>
      <c r="F94" s="67" t="s">
        <v>653</v>
      </c>
      <c r="G94" s="996" t="s">
        <v>674</v>
      </c>
      <c r="H94" s="74" t="s">
        <v>679</v>
      </c>
      <c r="I94" s="447"/>
      <c r="J94" s="447"/>
      <c r="K94" s="438"/>
      <c r="L94" s="447"/>
      <c r="M94" s="65">
        <v>678571</v>
      </c>
      <c r="N94" s="66" t="s">
        <v>9</v>
      </c>
      <c r="O94" s="66" t="s">
        <v>8</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IF(AND('341-CT'!$H$9=H94,OR(LEFT(N94,3)=$W$7,LEFT(O94,3)=$W$7)),"x","")</f>
        <v/>
      </c>
      <c r="X94" s="85" t="str">
        <f>IF(OR(TH!N94=TH!$X$7,O94=TH!$X$7),"x","")</f>
        <v/>
      </c>
      <c r="Y94" s="85" t="str">
        <f>IF(AND(OR(N94="131",O94="131"),H94='131-CT'!$H$9),"x","")</f>
        <v/>
      </c>
      <c r="Z94" s="85"/>
      <c r="AA94" s="85" t="str">
        <f>IF(AND(MONTH(E94)='IN-NX'!$J$5,'IN-NX'!$D$7=D94),"x","")</f>
        <v/>
      </c>
      <c r="AB94" s="85" t="str">
        <f>IF(AND(OR(LEFT(TH!N94,2)="15",LEFT(TH!O94,2)="15"),'152-CT'!$J$8=TH!F94),"x","")</f>
        <v/>
      </c>
      <c r="AC94" s="85" t="str">
        <f>IF(AND(OR(LEFT(TH!N94,2)="15",LEFT(TH!O94,2)="15"),TK!$E$7=TH!F94),"x","")</f>
        <v/>
      </c>
      <c r="AD94" s="85" t="str">
        <f>IF(AND(N94="1521",MONTH(C94)='BK-NL'!$M$11),"x","")</f>
        <v/>
      </c>
    </row>
    <row r="95" spans="1:30" s="348" customFormat="1" ht="15.75" customHeight="1">
      <c r="A95" s="343" t="str">
        <f>IF(B95&lt;&gt;"",IF(AND(B95='IN-TC'!$S$4,OR(TH!N95="1111",TH!O95="1111")),TH!D95,""),"")</f>
        <v/>
      </c>
      <c r="B95" s="63">
        <f t="shared" si="15"/>
        <v>1</v>
      </c>
      <c r="C95" s="64">
        <f t="shared" si="21"/>
        <v>42374</v>
      </c>
      <c r="D95" s="64" t="s">
        <v>682</v>
      </c>
      <c r="E95" s="64">
        <v>42374</v>
      </c>
      <c r="F95" s="67" t="s">
        <v>364</v>
      </c>
      <c r="G95" s="67" t="s">
        <v>676</v>
      </c>
      <c r="H95" s="74" t="s">
        <v>680</v>
      </c>
      <c r="I95" s="447">
        <v>1000</v>
      </c>
      <c r="J95" s="447">
        <v>33000</v>
      </c>
      <c r="K95" s="438"/>
      <c r="L95" s="447"/>
      <c r="M95" s="65">
        <v>33000000</v>
      </c>
      <c r="N95" s="66" t="s">
        <v>277</v>
      </c>
      <c r="O95" s="66" t="s">
        <v>8</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IF(AND('341-CT'!$H$9=H95,OR(LEFT(N95,3)=$W$7,LEFT(O95,3)=$W$7)),"x","")</f>
        <v/>
      </c>
      <c r="X95" s="85" t="str">
        <f>IF(OR(TH!N95=TH!$X$7,O95=TH!$X$7),"x","")</f>
        <v/>
      </c>
      <c r="Y95" s="85" t="str">
        <f>IF(AND(OR(N95="131",O95="131"),H95='131-CT'!$H$9),"x","")</f>
        <v/>
      </c>
      <c r="Z95" s="85"/>
      <c r="AA95" s="85" t="str">
        <f>IF(AND(MONTH(E95)='IN-NX'!$J$5,'IN-NX'!$D$7=D95),"x","")</f>
        <v/>
      </c>
      <c r="AB95" s="85" t="str">
        <f>IF(AND(OR(LEFT(TH!N95,2)="15",LEFT(TH!O95,2)="15"),'152-CT'!$J$8=TH!F95),"x","")</f>
        <v/>
      </c>
      <c r="AC95" s="85" t="str">
        <f>IF(AND(OR(LEFT(TH!N95,2)="15",LEFT(TH!O95,2)="15"),TK!$E$7=TH!F95),"x","")</f>
        <v/>
      </c>
      <c r="AD95" s="85" t="str">
        <f>IF(AND(N95="1521",MONTH(C95)='BK-NL'!$M$11),"x","")</f>
        <v/>
      </c>
    </row>
    <row r="96" spans="1:30" s="348" customFormat="1" ht="15.75" customHeight="1">
      <c r="A96" s="343" t="str">
        <f>IF(B96&lt;&gt;"",IF(AND(B96='IN-TC'!$S$4,OR(TH!N96="1111",TH!O96="1111")),TH!D96,""),"")</f>
        <v/>
      </c>
      <c r="B96" s="63">
        <f t="shared" si="15"/>
        <v>1</v>
      </c>
      <c r="C96" s="64">
        <f t="shared" si="21"/>
        <v>42374</v>
      </c>
      <c r="D96" s="64" t="s">
        <v>682</v>
      </c>
      <c r="E96" s="64">
        <v>42374</v>
      </c>
      <c r="F96" s="67" t="s">
        <v>654</v>
      </c>
      <c r="G96" s="67" t="s">
        <v>676</v>
      </c>
      <c r="H96" s="74" t="s">
        <v>680</v>
      </c>
      <c r="I96" s="447"/>
      <c r="J96" s="447"/>
      <c r="K96" s="438"/>
      <c r="L96" s="447"/>
      <c r="M96" s="65">
        <v>3300000</v>
      </c>
      <c r="N96" s="66" t="s">
        <v>9</v>
      </c>
      <c r="O96" s="66" t="s">
        <v>8</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IF(AND('341-CT'!$H$9=H96,OR(LEFT(N96,3)=$W$7,LEFT(O96,3)=$W$7)),"x","")</f>
        <v/>
      </c>
      <c r="X96" s="85" t="str">
        <f>IF(OR(TH!N96=TH!$X$7,O96=TH!$X$7),"x","")</f>
        <v/>
      </c>
      <c r="Y96" s="85" t="str">
        <f>IF(AND(OR(N96="131",O96="131"),H96='131-CT'!$H$9),"x","")</f>
        <v/>
      </c>
      <c r="Z96" s="85"/>
      <c r="AA96" s="85" t="str">
        <f>IF(AND(MONTH(E96)='IN-NX'!$J$5,'IN-NX'!$D$7=D96),"x","")</f>
        <v/>
      </c>
      <c r="AB96" s="85" t="str">
        <f>IF(AND(OR(LEFT(TH!N96,2)="15",LEFT(TH!O96,2)="15"),'152-CT'!$J$8=TH!F96),"x","")</f>
        <v/>
      </c>
      <c r="AC96" s="85" t="str">
        <f>IF(AND(OR(LEFT(TH!N96,2)="15",LEFT(TH!O96,2)="15"),TK!$E$7=TH!F96),"x","")</f>
        <v/>
      </c>
      <c r="AD96" s="85" t="str">
        <f>IF(AND(N96="1521",MONTH(C96)='BK-NL'!$M$11),"x","")</f>
        <v/>
      </c>
    </row>
    <row r="97" spans="1:30" s="348" customFormat="1" ht="15.75" customHeight="1">
      <c r="A97" s="343" t="str">
        <f>IF(B97&lt;&gt;"",IF(AND(B97='IN-TC'!$S$4,OR(TH!N97="1111",TH!O97="1111")),TH!D97,""),"")</f>
        <v/>
      </c>
      <c r="B97" s="63">
        <f t="shared" si="15"/>
        <v>1</v>
      </c>
      <c r="C97" s="64">
        <f t="shared" si="21"/>
        <v>42375</v>
      </c>
      <c r="D97" s="64" t="s">
        <v>683</v>
      </c>
      <c r="E97" s="64">
        <v>42375</v>
      </c>
      <c r="F97" s="67" t="s">
        <v>357</v>
      </c>
      <c r="G97" s="996" t="s">
        <v>676</v>
      </c>
      <c r="H97" s="74" t="s">
        <v>630</v>
      </c>
      <c r="I97" s="447">
        <v>5400</v>
      </c>
      <c r="J97" s="447">
        <v>14400</v>
      </c>
      <c r="K97" s="438"/>
      <c r="L97" s="447"/>
      <c r="M97" s="65">
        <v>77760000</v>
      </c>
      <c r="N97" s="66" t="s">
        <v>277</v>
      </c>
      <c r="O97" s="66" t="s">
        <v>8</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IF(AND('341-CT'!$H$9=H97,OR(LEFT(N97,3)=$W$7,LEFT(O97,3)=$W$7)),"x","")</f>
        <v/>
      </c>
      <c r="X97" s="85" t="str">
        <f>IF(OR(TH!N97=TH!$X$7,O97=TH!$X$7),"x","")</f>
        <v/>
      </c>
      <c r="Y97" s="85" t="str">
        <f>IF(AND(OR(N97="131",O97="131"),H97='131-CT'!$H$9),"x","")</f>
        <v/>
      </c>
      <c r="Z97" s="85"/>
      <c r="AA97" s="85" t="str">
        <f>IF(AND(MONTH(E97)='IN-NX'!$J$5,'IN-NX'!$D$7=D97),"x","")</f>
        <v/>
      </c>
      <c r="AB97" s="85" t="str">
        <f>IF(AND(OR(LEFT(TH!N97,2)="15",LEFT(TH!O97,2)="15"),'152-CT'!$J$8=TH!F97),"x","")</f>
        <v/>
      </c>
      <c r="AC97" s="85" t="str">
        <f>IF(AND(OR(LEFT(TH!N97,2)="15",LEFT(TH!O97,2)="15"),TK!$E$7=TH!F97),"x","")</f>
        <v/>
      </c>
      <c r="AD97" s="85" t="str">
        <f>IF(AND(N97="1521",MONTH(C97)='BK-NL'!$M$11),"x","")</f>
        <v/>
      </c>
    </row>
    <row r="98" spans="1:30" s="348" customFormat="1" ht="15.75" customHeight="1">
      <c r="A98" s="343" t="str">
        <f>IF(B98&lt;&gt;"",IF(AND(B98='IN-TC'!$S$4,OR(TH!N98="1111",TH!O98="1111")),TH!D98,""),"")</f>
        <v/>
      </c>
      <c r="B98" s="63">
        <f t="shared" si="15"/>
        <v>1</v>
      </c>
      <c r="C98" s="64">
        <f t="shared" si="21"/>
        <v>42375</v>
      </c>
      <c r="D98" s="64" t="s">
        <v>683</v>
      </c>
      <c r="E98" s="64">
        <v>42375</v>
      </c>
      <c r="F98" s="67" t="s">
        <v>655</v>
      </c>
      <c r="G98" s="996" t="s">
        <v>676</v>
      </c>
      <c r="H98" s="74" t="s">
        <v>630</v>
      </c>
      <c r="I98" s="447"/>
      <c r="J98" s="447"/>
      <c r="K98" s="438"/>
      <c r="L98" s="447"/>
      <c r="M98" s="65">
        <v>7776000</v>
      </c>
      <c r="N98" s="66" t="s">
        <v>9</v>
      </c>
      <c r="O98" s="66" t="s">
        <v>8</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IF(AND('341-CT'!$H$9=H98,OR(LEFT(N98,3)=$W$7,LEFT(O98,3)=$W$7)),"x","")</f>
        <v/>
      </c>
      <c r="X98" s="85" t="str">
        <f>IF(OR(TH!N98=TH!$X$7,O98=TH!$X$7),"x","")</f>
        <v/>
      </c>
      <c r="Y98" s="85" t="str">
        <f>IF(AND(OR(N98="131",O98="131"),H98='131-CT'!$H$9),"x","")</f>
        <v/>
      </c>
      <c r="Z98" s="85"/>
      <c r="AA98" s="85" t="str">
        <f>IF(AND(MONTH(E98)='IN-NX'!$J$5,'IN-NX'!$D$7=D98),"x","")</f>
        <v/>
      </c>
      <c r="AB98" s="85" t="str">
        <f>IF(AND(OR(LEFT(TH!N98,2)="15",LEFT(TH!O98,2)="15"),'152-CT'!$J$8=TH!F98),"x","")</f>
        <v/>
      </c>
      <c r="AC98" s="85" t="str">
        <f>IF(AND(OR(LEFT(TH!N98,2)="15",LEFT(TH!O98,2)="15"),TK!$E$7=TH!F98),"x","")</f>
        <v/>
      </c>
      <c r="AD98" s="85" t="str">
        <f>IF(AND(N98="1521",MONTH(C98)='BK-NL'!$M$11),"x","")</f>
        <v/>
      </c>
    </row>
    <row r="99" spans="1:30" s="348" customFormat="1" ht="15.75" customHeight="1">
      <c r="A99" s="343" t="str">
        <f>IF(B99&lt;&gt;"",IF(AND(B99='IN-TC'!$S$4,OR(TH!N99="1111",TH!O99="1111")),TH!D99,""),"")</f>
        <v/>
      </c>
      <c r="B99" s="63">
        <f t="shared" si="15"/>
        <v>1</v>
      </c>
      <c r="C99" s="64">
        <f t="shared" si="21"/>
        <v>42383</v>
      </c>
      <c r="D99" s="64" t="s">
        <v>684</v>
      </c>
      <c r="E99" s="64">
        <v>42383</v>
      </c>
      <c r="F99" s="67" t="s">
        <v>391</v>
      </c>
      <c r="G99" s="67" t="s">
        <v>677</v>
      </c>
      <c r="H99" s="74" t="s">
        <v>628</v>
      </c>
      <c r="I99" s="447">
        <v>1150</v>
      </c>
      <c r="J99" s="447">
        <v>12000</v>
      </c>
      <c r="K99" s="438"/>
      <c r="L99" s="447"/>
      <c r="M99" s="65">
        <f>ROUND(I99*J99,0)</f>
        <v>13800000</v>
      </c>
      <c r="N99" s="66" t="s">
        <v>277</v>
      </c>
      <c r="O99" s="66" t="s">
        <v>8</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IF(AND('341-CT'!$H$9=H99,OR(LEFT(N99,3)=$W$7,LEFT(O99,3)=$W$7)),"x","")</f>
        <v/>
      </c>
      <c r="X99" s="85" t="str">
        <f>IF(OR(TH!N99=TH!$X$7,O99=TH!$X$7),"x","")</f>
        <v/>
      </c>
      <c r="Y99" s="85" t="str">
        <f>IF(AND(OR(N99="131",O99="131"),H99='131-CT'!$H$9),"x","")</f>
        <v/>
      </c>
      <c r="Z99" s="85"/>
      <c r="AA99" s="85" t="str">
        <f>IF(AND(MONTH(E99)='IN-NX'!$J$5,'IN-NX'!$D$7=D99),"x","")</f>
        <v/>
      </c>
      <c r="AB99" s="85" t="str">
        <f>IF(AND(OR(LEFT(TH!N99,2)="15",LEFT(TH!O99,2)="15"),'152-CT'!$J$8=TH!F99),"x","")</f>
        <v/>
      </c>
      <c r="AC99" s="85" t="str">
        <f>IF(AND(OR(LEFT(TH!N99,2)="15",LEFT(TH!O99,2)="15"),TK!$E$7=TH!F99),"x","")</f>
        <v/>
      </c>
      <c r="AD99" s="85" t="str">
        <f>IF(AND(N99="1521",MONTH(C99)='BK-NL'!$M$11),"x","")</f>
        <v/>
      </c>
    </row>
    <row r="100" spans="1:30" s="348" customFormat="1" ht="15.75" customHeight="1">
      <c r="A100" s="343" t="str">
        <f>IF(B100&lt;&gt;"",IF(AND(B100='IN-TC'!$S$4,OR(TH!N100="1111",TH!O100="1111")),TH!D100,""),"")</f>
        <v/>
      </c>
      <c r="B100" s="63">
        <f t="shared" si="15"/>
        <v>1</v>
      </c>
      <c r="C100" s="64">
        <f t="shared" si="21"/>
        <v>42383</v>
      </c>
      <c r="D100" s="64" t="s">
        <v>684</v>
      </c>
      <c r="E100" s="64">
        <v>42383</v>
      </c>
      <c r="F100" s="67" t="s">
        <v>393</v>
      </c>
      <c r="G100" s="67" t="s">
        <v>677</v>
      </c>
      <c r="H100" s="74" t="s">
        <v>628</v>
      </c>
      <c r="I100" s="447">
        <v>150</v>
      </c>
      <c r="J100" s="447">
        <v>9500</v>
      </c>
      <c r="K100" s="438"/>
      <c r="L100" s="447"/>
      <c r="M100" s="65">
        <f t="shared" ref="M100:M103" si="22">ROUND(I100*J100,0)</f>
        <v>1425000</v>
      </c>
      <c r="N100" s="66" t="s">
        <v>277</v>
      </c>
      <c r="O100" s="66" t="s">
        <v>8</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IF(AND('341-CT'!$H$9=H100,OR(LEFT(N100,3)=$W$7,LEFT(O100,3)=$W$7)),"x","")</f>
        <v/>
      </c>
      <c r="X100" s="85" t="str">
        <f>IF(OR(TH!N100=TH!$X$7,O100=TH!$X$7),"x","")</f>
        <v/>
      </c>
      <c r="Y100" s="85" t="str">
        <f>IF(AND(OR(N100="131",O100="131"),H100='131-CT'!$H$9),"x","")</f>
        <v/>
      </c>
      <c r="Z100" s="85"/>
      <c r="AA100" s="85" t="str">
        <f>IF(AND(MONTH(E100)='IN-NX'!$J$5,'IN-NX'!$D$7=D100),"x","")</f>
        <v/>
      </c>
      <c r="AB100" s="85" t="str">
        <f>IF(AND(OR(LEFT(TH!N100,2)="15",LEFT(TH!O100,2)="15"),'152-CT'!$J$8=TH!F100),"x","")</f>
        <v/>
      </c>
      <c r="AC100" s="85" t="str">
        <f>IF(AND(OR(LEFT(TH!N100,2)="15",LEFT(TH!O100,2)="15"),TK!$E$7=TH!F100),"x","")</f>
        <v/>
      </c>
      <c r="AD100" s="85" t="str">
        <f>IF(AND(N100="1521",MONTH(C100)='BK-NL'!$M$11),"x","")</f>
        <v/>
      </c>
    </row>
    <row r="101" spans="1:30" s="348" customFormat="1" ht="15.75" customHeight="1">
      <c r="A101" s="343" t="str">
        <f>IF(B101&lt;&gt;"",IF(AND(B101='IN-TC'!$S$4,OR(TH!N101="1111",TH!O101="1111")),TH!D101,""),"")</f>
        <v/>
      </c>
      <c r="B101" s="63">
        <f t="shared" si="15"/>
        <v>1</v>
      </c>
      <c r="C101" s="64">
        <f t="shared" si="21"/>
        <v>42383</v>
      </c>
      <c r="D101" s="64" t="s">
        <v>684</v>
      </c>
      <c r="E101" s="64">
        <v>42383</v>
      </c>
      <c r="F101" s="67" t="s">
        <v>395</v>
      </c>
      <c r="G101" s="67" t="s">
        <v>677</v>
      </c>
      <c r="H101" s="74" t="s">
        <v>628</v>
      </c>
      <c r="I101" s="447">
        <v>400</v>
      </c>
      <c r="J101" s="447">
        <v>17000</v>
      </c>
      <c r="K101" s="438"/>
      <c r="L101" s="447"/>
      <c r="M101" s="65">
        <f t="shared" si="22"/>
        <v>6800000</v>
      </c>
      <c r="N101" s="66" t="s">
        <v>277</v>
      </c>
      <c r="O101" s="66" t="s">
        <v>8</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IF(AND('341-CT'!$H$9=H101,OR(LEFT(N101,3)=$W$7,LEFT(O101,3)=$W$7)),"x","")</f>
        <v/>
      </c>
      <c r="X101" s="85" t="str">
        <f>IF(OR(TH!N101=TH!$X$7,O101=TH!$X$7),"x","")</f>
        <v/>
      </c>
      <c r="Y101" s="85" t="str">
        <f>IF(AND(OR(N101="131",O101="131"),H101='131-CT'!$H$9),"x","")</f>
        <v/>
      </c>
      <c r="Z101" s="85"/>
      <c r="AA101" s="85" t="str">
        <f>IF(AND(MONTH(E101)='IN-NX'!$J$5,'IN-NX'!$D$7=D101),"x","")</f>
        <v/>
      </c>
      <c r="AB101" s="85" t="str">
        <f>IF(AND(OR(LEFT(TH!N101,2)="15",LEFT(TH!O101,2)="15"),'152-CT'!$J$8=TH!F101),"x","")</f>
        <v/>
      </c>
      <c r="AC101" s="85" t="str">
        <f>IF(AND(OR(LEFT(TH!N101,2)="15",LEFT(TH!O101,2)="15"),TK!$E$7=TH!F101),"x","")</f>
        <v/>
      </c>
      <c r="AD101" s="85" t="str">
        <f>IF(AND(N101="1521",MONTH(C101)='BK-NL'!$M$11),"x","")</f>
        <v/>
      </c>
    </row>
    <row r="102" spans="1:30" s="350" customFormat="1" ht="15.75" customHeight="1">
      <c r="A102" s="343" t="str">
        <f>IF(B102&lt;&gt;"",IF(AND(B102='IN-TC'!$S$4,OR(TH!N102="1111",TH!O102="1111")),TH!D102,""),"")</f>
        <v/>
      </c>
      <c r="B102" s="63">
        <f t="shared" si="15"/>
        <v>1</v>
      </c>
      <c r="C102" s="64">
        <f t="shared" si="21"/>
        <v>42383</v>
      </c>
      <c r="D102" s="64" t="s">
        <v>684</v>
      </c>
      <c r="E102" s="64">
        <v>42383</v>
      </c>
      <c r="F102" s="67" t="s">
        <v>1103</v>
      </c>
      <c r="G102" s="67" t="s">
        <v>677</v>
      </c>
      <c r="H102" s="74" t="s">
        <v>628</v>
      </c>
      <c r="I102" s="447">
        <v>400</v>
      </c>
      <c r="J102" s="447">
        <v>2500</v>
      </c>
      <c r="K102" s="438"/>
      <c r="L102" s="447"/>
      <c r="M102" s="65">
        <f t="shared" si="22"/>
        <v>1000000</v>
      </c>
      <c r="N102" s="66" t="s">
        <v>277</v>
      </c>
      <c r="O102" s="66" t="s">
        <v>8</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IF(AND('341-CT'!$H$9=H102,OR(LEFT(N102,3)=$W$7,LEFT(O102,3)=$W$7)),"x","")</f>
        <v/>
      </c>
      <c r="X102" s="85" t="str">
        <f>IF(OR(TH!N102=TH!$X$7,O102=TH!$X$7),"x","")</f>
        <v/>
      </c>
      <c r="Y102" s="85" t="str">
        <f>IF(AND(OR(N102="131",O102="131"),H102='131-CT'!$H$9),"x","")</f>
        <v/>
      </c>
      <c r="Z102" s="85"/>
      <c r="AA102" s="85" t="str">
        <f>IF(AND(MONTH(E102)='IN-NX'!$J$5,'IN-NX'!$D$7=D102),"x","")</f>
        <v/>
      </c>
      <c r="AB102" s="85" t="str">
        <f>IF(AND(OR(LEFT(TH!N102,2)="15",LEFT(TH!O102,2)="15"),'152-CT'!$J$8=TH!F102),"x","")</f>
        <v/>
      </c>
      <c r="AC102" s="85" t="str">
        <f>IF(AND(OR(LEFT(TH!N102,2)="15",LEFT(TH!O102,2)="15"),TK!$E$7=TH!F102),"x","")</f>
        <v/>
      </c>
      <c r="AD102" s="85" t="str">
        <f>IF(AND(N102="1521",MONTH(C102)='BK-NL'!$M$11),"x","")</f>
        <v/>
      </c>
    </row>
    <row r="103" spans="1:30" s="350" customFormat="1" ht="15.75" customHeight="1">
      <c r="A103" s="343" t="str">
        <f>IF(B103&lt;&gt;"",IF(AND(B103='IN-TC'!$S$4,OR(TH!N103="1111",TH!O103="1111")),TH!D103,""),"")</f>
        <v/>
      </c>
      <c r="B103" s="63">
        <f t="shared" si="15"/>
        <v>1</v>
      </c>
      <c r="C103" s="64">
        <f t="shared" si="21"/>
        <v>42383</v>
      </c>
      <c r="D103" s="64" t="s">
        <v>684</v>
      </c>
      <c r="E103" s="64">
        <v>42383</v>
      </c>
      <c r="F103" s="67" t="s">
        <v>402</v>
      </c>
      <c r="G103" s="67" t="s">
        <v>677</v>
      </c>
      <c r="H103" s="74" t="s">
        <v>628</v>
      </c>
      <c r="I103" s="447">
        <v>620</v>
      </c>
      <c r="J103" s="447">
        <v>18300</v>
      </c>
      <c r="K103" s="438"/>
      <c r="L103" s="447"/>
      <c r="M103" s="65">
        <f t="shared" si="22"/>
        <v>11346000</v>
      </c>
      <c r="N103" s="66" t="s">
        <v>277</v>
      </c>
      <c r="O103" s="66" t="s">
        <v>8</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IF(AND('341-CT'!$H$9=H103,OR(LEFT(N103,3)=$W$7,LEFT(O103,3)=$W$7)),"x","")</f>
        <v/>
      </c>
      <c r="X103" s="85" t="str">
        <f>IF(OR(TH!N103=TH!$X$7,O103=TH!$X$7),"x","")</f>
        <v/>
      </c>
      <c r="Y103" s="85" t="str">
        <f>IF(AND(OR(N103="131",O103="131"),H103='131-CT'!$H$9),"x","")</f>
        <v/>
      </c>
      <c r="Z103" s="85"/>
      <c r="AA103" s="85" t="str">
        <f>IF(AND(MONTH(E103)='IN-NX'!$J$5,'IN-NX'!$D$7=D103),"x","")</f>
        <v/>
      </c>
      <c r="AB103" s="85" t="str">
        <f>IF(AND(OR(LEFT(TH!N103,2)="15",LEFT(TH!O103,2)="15"),'152-CT'!$J$8=TH!F103),"x","")</f>
        <v/>
      </c>
      <c r="AC103" s="85" t="str">
        <f>IF(AND(OR(LEFT(TH!N103,2)="15",LEFT(TH!O103,2)="15"),TK!$E$7=TH!F103),"x","")</f>
        <v/>
      </c>
      <c r="AD103" s="85" t="str">
        <f>IF(AND(N103="1521",MONTH(C103)='BK-NL'!$M$11),"x","")</f>
        <v/>
      </c>
    </row>
    <row r="104" spans="1:30" s="348" customFormat="1" ht="15.75" customHeight="1">
      <c r="A104" s="343" t="str">
        <f>IF(B104&lt;&gt;"",IF(AND(B104='IN-TC'!$S$4,OR(TH!N104="1111",TH!O104="1111")),TH!D104,""),"")</f>
        <v/>
      </c>
      <c r="B104" s="63">
        <f t="shared" si="15"/>
        <v>1</v>
      </c>
      <c r="C104" s="64">
        <f t="shared" si="21"/>
        <v>42383</v>
      </c>
      <c r="D104" s="64" t="s">
        <v>684</v>
      </c>
      <c r="E104" s="64">
        <v>42383</v>
      </c>
      <c r="F104" s="67" t="s">
        <v>656</v>
      </c>
      <c r="G104" s="67" t="s">
        <v>677</v>
      </c>
      <c r="H104" s="74" t="s">
        <v>628</v>
      </c>
      <c r="I104" s="447"/>
      <c r="J104" s="447"/>
      <c r="K104" s="438"/>
      <c r="L104" s="447"/>
      <c r="M104" s="65">
        <v>3437100</v>
      </c>
      <c r="N104" s="66" t="s">
        <v>9</v>
      </c>
      <c r="O104" s="66" t="s">
        <v>8</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IF(AND('341-CT'!$H$9=H104,OR(LEFT(N104,3)=$W$7,LEFT(O104,3)=$W$7)),"x","")</f>
        <v/>
      </c>
      <c r="X104" s="85" t="str">
        <f>IF(OR(TH!N104=TH!$X$7,O104=TH!$X$7),"x","")</f>
        <v/>
      </c>
      <c r="Y104" s="85" t="str">
        <f>IF(AND(OR(N104="131",O104="131"),H104='131-CT'!$H$9),"x","")</f>
        <v/>
      </c>
      <c r="Z104" s="85"/>
      <c r="AA104" s="85" t="str">
        <f>IF(AND(MONTH(E104)='IN-NX'!$J$5,'IN-NX'!$D$7=D104),"x","")</f>
        <v/>
      </c>
      <c r="AB104" s="85" t="str">
        <f>IF(AND(OR(LEFT(TH!N104,2)="15",LEFT(TH!O104,2)="15"),'152-CT'!$J$8=TH!F104),"x","")</f>
        <v/>
      </c>
      <c r="AC104" s="85" t="str">
        <f>IF(AND(OR(LEFT(TH!N104,2)="15",LEFT(TH!O104,2)="15"),TK!$E$7=TH!F104),"x","")</f>
        <v/>
      </c>
      <c r="AD104" s="85" t="str">
        <f>IF(AND(N104="1521",MONTH(C104)='BK-NL'!$M$11),"x","")</f>
        <v/>
      </c>
    </row>
    <row r="105" spans="1:30" s="348" customFormat="1" ht="15.75" customHeight="1">
      <c r="A105" s="343" t="str">
        <f>IF(B105&lt;&gt;"",IF(AND(B105='IN-TC'!$S$4,OR(TH!N105="1111",TH!O105="1111")),TH!D105,""),"")</f>
        <v/>
      </c>
      <c r="B105" s="63">
        <f t="shared" si="15"/>
        <v>1</v>
      </c>
      <c r="C105" s="64">
        <f t="shared" si="21"/>
        <v>42387</v>
      </c>
      <c r="D105" s="64" t="s">
        <v>685</v>
      </c>
      <c r="E105" s="64">
        <v>42387</v>
      </c>
      <c r="F105" s="67" t="s">
        <v>349</v>
      </c>
      <c r="G105" s="996" t="s">
        <v>675</v>
      </c>
      <c r="H105" s="74" t="s">
        <v>679</v>
      </c>
      <c r="I105" s="447">
        <v>1000</v>
      </c>
      <c r="J105" s="447">
        <v>14523.81</v>
      </c>
      <c r="K105" s="438"/>
      <c r="L105" s="447"/>
      <c r="M105" s="65">
        <v>14523810</v>
      </c>
      <c r="N105" s="66" t="s">
        <v>277</v>
      </c>
      <c r="O105" s="66" t="s">
        <v>8</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IF(AND('341-CT'!$H$9=H105,OR(LEFT(N105,3)=$W$7,LEFT(O105,3)=$W$7)),"x","")</f>
        <v/>
      </c>
      <c r="X105" s="85" t="str">
        <f>IF(OR(TH!N105=TH!$X$7,O105=TH!$X$7),"x","")</f>
        <v/>
      </c>
      <c r="Y105" s="85" t="str">
        <f>IF(AND(OR(N105="131",O105="131"),H105='131-CT'!$H$9),"x","")</f>
        <v/>
      </c>
      <c r="Z105" s="85"/>
      <c r="AA105" s="85" t="str">
        <f>IF(AND(MONTH(E105)='IN-NX'!$J$5,'IN-NX'!$D$7=D105),"x","")</f>
        <v/>
      </c>
      <c r="AB105" s="85" t="str">
        <f>IF(AND(OR(LEFT(TH!N105,2)="15",LEFT(TH!O105,2)="15"),'152-CT'!$J$8=TH!F105),"x","")</f>
        <v/>
      </c>
      <c r="AC105" s="85" t="str">
        <f>IF(AND(OR(LEFT(TH!N105,2)="15",LEFT(TH!O105,2)="15"),TK!$E$7=TH!F105),"x","")</f>
        <v>x</v>
      </c>
      <c r="AD105" s="85" t="str">
        <f>IF(AND(N105="1521",MONTH(C105)='BK-NL'!$M$11),"x","")</f>
        <v/>
      </c>
    </row>
    <row r="106" spans="1:30" s="348" customFormat="1" ht="15.75" customHeight="1">
      <c r="A106" s="343" t="str">
        <f>IF(B106&lt;&gt;"",IF(AND(B106='IN-TC'!$S$4,OR(TH!N106="1111",TH!O106="1111")),TH!D106,""),"")</f>
        <v/>
      </c>
      <c r="B106" s="63">
        <f t="shared" si="15"/>
        <v>1</v>
      </c>
      <c r="C106" s="64">
        <f t="shared" si="21"/>
        <v>42387</v>
      </c>
      <c r="D106" s="64" t="s">
        <v>685</v>
      </c>
      <c r="E106" s="64">
        <v>42387</v>
      </c>
      <c r="F106" s="67" t="s">
        <v>653</v>
      </c>
      <c r="G106" s="67" t="s">
        <v>675</v>
      </c>
      <c r="H106" s="74" t="s">
        <v>679</v>
      </c>
      <c r="I106" s="447"/>
      <c r="J106" s="447"/>
      <c r="K106" s="438"/>
      <c r="L106" s="447"/>
      <c r="M106" s="65">
        <v>726190</v>
      </c>
      <c r="N106" s="68" t="s">
        <v>9</v>
      </c>
      <c r="O106" s="66" t="s">
        <v>8</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IF(AND('341-CT'!$H$9=H106,OR(LEFT(N106,3)=$W$7,LEFT(O106,3)=$W$7)),"x","")</f>
        <v/>
      </c>
      <c r="X106" s="85" t="str">
        <f>IF(OR(TH!N106=TH!$X$7,O106=TH!$X$7),"x","")</f>
        <v/>
      </c>
      <c r="Y106" s="85" t="str">
        <f>IF(AND(OR(N106="131",O106="131"),H106='131-CT'!$H$9),"x","")</f>
        <v/>
      </c>
      <c r="Z106" s="85"/>
      <c r="AA106" s="85" t="str">
        <f>IF(AND(MONTH(E106)='IN-NX'!$J$5,'IN-NX'!$D$7=D106),"x","")</f>
        <v/>
      </c>
      <c r="AB106" s="85" t="str">
        <f>IF(AND(OR(LEFT(TH!N106,2)="15",LEFT(TH!O106,2)="15"),'152-CT'!$J$8=TH!F106),"x","")</f>
        <v/>
      </c>
      <c r="AC106" s="85" t="str">
        <f>IF(AND(OR(LEFT(TH!N106,2)="15",LEFT(TH!O106,2)="15"),TK!$E$7=TH!F106),"x","")</f>
        <v/>
      </c>
      <c r="AD106" s="85" t="str">
        <f>IF(AND(N106="1521",MONTH(C106)='BK-NL'!$M$11),"x","")</f>
        <v/>
      </c>
    </row>
    <row r="107" spans="1:30" s="348" customFormat="1" ht="15.75" customHeight="1">
      <c r="A107" s="343" t="str">
        <f>IF(B107&lt;&gt;"",IF(AND(B107='IN-TC'!$S$4,OR(TH!N107="1111",TH!O107="1111")),TH!D107,""),"")</f>
        <v/>
      </c>
      <c r="B107" s="63">
        <f t="shared" si="15"/>
        <v>1</v>
      </c>
      <c r="C107" s="64">
        <f t="shared" si="21"/>
        <v>42391</v>
      </c>
      <c r="D107" s="64" t="s">
        <v>686</v>
      </c>
      <c r="E107" s="64">
        <v>42391</v>
      </c>
      <c r="F107" s="67" t="s">
        <v>657</v>
      </c>
      <c r="G107" s="67" t="s">
        <v>678</v>
      </c>
      <c r="H107" s="74" t="s">
        <v>626</v>
      </c>
      <c r="I107" s="447">
        <v>2500</v>
      </c>
      <c r="J107" s="447">
        <v>14000</v>
      </c>
      <c r="K107" s="438"/>
      <c r="L107" s="447"/>
      <c r="M107" s="65">
        <v>35000000</v>
      </c>
      <c r="N107" s="66" t="s">
        <v>277</v>
      </c>
      <c r="O107" s="66" t="s">
        <v>8</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IF(AND('341-CT'!$H$9=H107,OR(LEFT(N107,3)=$W$7,LEFT(O107,3)=$W$7)),"x","")</f>
        <v/>
      </c>
      <c r="X107" s="85" t="str">
        <f>IF(OR(TH!N107=TH!$X$7,O107=TH!$X$7),"x","")</f>
        <v/>
      </c>
      <c r="Y107" s="85" t="str">
        <f>IF(AND(OR(N107="131",O107="131"),H107='131-CT'!$H$9),"x","")</f>
        <v/>
      </c>
      <c r="Z107" s="85"/>
      <c r="AA107" s="85" t="str">
        <f>IF(AND(MONTH(E107)='IN-NX'!$J$5,'IN-NX'!$D$7=D107),"x","")</f>
        <v/>
      </c>
      <c r="AB107" s="85" t="str">
        <f>IF(AND(OR(LEFT(TH!N107,2)="15",LEFT(TH!O107,2)="15"),'152-CT'!$J$8=TH!F107),"x","")</f>
        <v/>
      </c>
      <c r="AC107" s="85" t="str">
        <f>IF(AND(OR(LEFT(TH!N107,2)="15",LEFT(TH!O107,2)="15"),TK!$E$7=TH!F107),"x","")</f>
        <v/>
      </c>
      <c r="AD107" s="85" t="str">
        <f>IF(AND(N107="1521",MONTH(C107)='BK-NL'!$M$11),"x","")</f>
        <v/>
      </c>
    </row>
    <row r="108" spans="1:30" s="348" customFormat="1" ht="15.75" customHeight="1">
      <c r="A108" s="343" t="str">
        <f>IF(B108&lt;&gt;"",IF(AND(B108='IN-TC'!$S$4,OR(TH!N108="1111",TH!O108="1111")),TH!D108,""),"")</f>
        <v/>
      </c>
      <c r="B108" s="63">
        <f t="shared" si="15"/>
        <v>1</v>
      </c>
      <c r="C108" s="64">
        <f t="shared" si="21"/>
        <v>42391</v>
      </c>
      <c r="D108" s="64" t="s">
        <v>686</v>
      </c>
      <c r="E108" s="64">
        <v>42391</v>
      </c>
      <c r="F108" s="67" t="s">
        <v>658</v>
      </c>
      <c r="G108" s="67" t="s">
        <v>678</v>
      </c>
      <c r="H108" s="74" t="s">
        <v>626</v>
      </c>
      <c r="I108" s="447"/>
      <c r="J108" s="447"/>
      <c r="K108" s="438"/>
      <c r="L108" s="447"/>
      <c r="M108" s="65">
        <v>3500000</v>
      </c>
      <c r="N108" s="66" t="s">
        <v>9</v>
      </c>
      <c r="O108" s="66" t="s">
        <v>8</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IF(AND('341-CT'!$H$9=H108,OR(LEFT(N108,3)=$W$7,LEFT(O108,3)=$W$7)),"x","")</f>
        <v/>
      </c>
      <c r="X108" s="85" t="str">
        <f>IF(OR(TH!N108=TH!$X$7,O108=TH!$X$7),"x","")</f>
        <v/>
      </c>
      <c r="Y108" s="85" t="str">
        <f>IF(AND(OR(N108="131",O108="131"),H108='131-CT'!$H$9),"x","")</f>
        <v/>
      </c>
      <c r="Z108" s="85"/>
      <c r="AA108" s="85" t="str">
        <f>IF(AND(MONTH(E108)='IN-NX'!$J$5,'IN-NX'!$D$7=D108),"x","")</f>
        <v/>
      </c>
      <c r="AB108" s="85" t="str">
        <f>IF(AND(OR(LEFT(TH!N108,2)="15",LEFT(TH!O108,2)="15"),'152-CT'!$J$8=TH!F108),"x","")</f>
        <v/>
      </c>
      <c r="AC108" s="85" t="str">
        <f>IF(AND(OR(LEFT(TH!N108,2)="15",LEFT(TH!O108,2)="15"),TK!$E$7=TH!F108),"x","")</f>
        <v/>
      </c>
      <c r="AD108" s="85" t="str">
        <f>IF(AND(N108="1521",MONTH(C108)='BK-NL'!$M$11),"x","")</f>
        <v/>
      </c>
    </row>
    <row r="109" spans="1:30" s="348" customFormat="1" ht="15.75" customHeight="1">
      <c r="A109" s="343" t="str">
        <f>IF(B109&lt;&gt;"",IF(AND(B109='IN-TC'!$S$4,OR(TH!N109="1111",TH!O109="1111")),TH!D109,""),"")</f>
        <v/>
      </c>
      <c r="B109" s="63">
        <f t="shared" si="15"/>
        <v>1</v>
      </c>
      <c r="C109" s="64">
        <f>E109</f>
        <v>42371</v>
      </c>
      <c r="D109" s="64" t="s">
        <v>690</v>
      </c>
      <c r="E109" s="64">
        <v>42371</v>
      </c>
      <c r="F109" s="67" t="s">
        <v>340</v>
      </c>
      <c r="G109" s="996"/>
      <c r="H109" s="74" t="s">
        <v>450</v>
      </c>
      <c r="I109" s="447">
        <v>100</v>
      </c>
      <c r="J109" s="447">
        <v>35444.444444444445</v>
      </c>
      <c r="K109" s="438"/>
      <c r="L109" s="447"/>
      <c r="M109" s="65">
        <f>ROUND(I109*J109,0)</f>
        <v>3544444</v>
      </c>
      <c r="N109" s="66" t="s">
        <v>283</v>
      </c>
      <c r="O109" s="66" t="s">
        <v>277</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IF(AND('341-CT'!$H$9=H109,OR(LEFT(N109,3)=$W$7,LEFT(O109,3)=$W$7)),"x","")</f>
        <v/>
      </c>
      <c r="X109" s="85" t="str">
        <f>IF(OR(TH!N109=TH!$X$7,O109=TH!$X$7),"x","")</f>
        <v/>
      </c>
      <c r="Y109" s="85" t="str">
        <f>IF(AND(OR(N109="131",O109="131"),H109='131-CT'!$H$9),"x","")</f>
        <v/>
      </c>
      <c r="Z109" s="85"/>
      <c r="AA109" s="85" t="str">
        <f>IF(AND(MONTH(E109)='IN-NX'!$J$5,'IN-NX'!$D$7=D109),"x","")</f>
        <v>x</v>
      </c>
      <c r="AB109" s="85" t="str">
        <f>IF(AND(OR(LEFT(TH!N109,2)="15",LEFT(TH!O109,2)="15"),'152-CT'!$J$8=TH!F109),"x","")</f>
        <v/>
      </c>
      <c r="AC109" s="85" t="str">
        <f>IF(AND(OR(LEFT(TH!N109,2)="15",LEFT(TH!O109,2)="15"),TK!$E$7=TH!F109),"x","")</f>
        <v/>
      </c>
      <c r="AD109" s="85" t="str">
        <f>IF(AND(N109="1521",MONTH(C109)='BK-NL'!$M$11),"x","")</f>
        <v/>
      </c>
    </row>
    <row r="110" spans="1:30" s="348" customFormat="1" ht="15.75" customHeight="1">
      <c r="A110" s="343" t="str">
        <f>IF(B110&lt;&gt;"",IF(AND(B110='IN-TC'!$S$4,OR(TH!N110="1111",TH!O110="1111")),TH!D110,""),"")</f>
        <v/>
      </c>
      <c r="B110" s="63">
        <f t="shared" si="15"/>
        <v>1</v>
      </c>
      <c r="C110" s="64">
        <f t="shared" ref="C110:C171" si="23">E110</f>
        <v>42371</v>
      </c>
      <c r="D110" s="64" t="s">
        <v>690</v>
      </c>
      <c r="E110" s="64">
        <v>42371</v>
      </c>
      <c r="F110" s="67" t="s">
        <v>346</v>
      </c>
      <c r="G110" s="996"/>
      <c r="H110" s="74" t="s">
        <v>450</v>
      </c>
      <c r="I110" s="447">
        <v>20</v>
      </c>
      <c r="J110" s="447">
        <v>46741.2</v>
      </c>
      <c r="K110" s="438"/>
      <c r="L110" s="447"/>
      <c r="M110" s="65">
        <f t="shared" ref="M110:M171" si="24">ROUND(I110*J110,0)</f>
        <v>934824</v>
      </c>
      <c r="N110" s="66" t="s">
        <v>283</v>
      </c>
      <c r="O110" s="66" t="s">
        <v>277</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IF(AND('341-CT'!$H$9=H110,OR(LEFT(N110,3)=$W$7,LEFT(O110,3)=$W$7)),"x","")</f>
        <v/>
      </c>
      <c r="X110" s="85" t="str">
        <f>IF(OR(TH!N110=TH!$X$7,O110=TH!$X$7),"x","")</f>
        <v/>
      </c>
      <c r="Y110" s="85" t="str">
        <f>IF(AND(OR(N110="131",O110="131"),H110='131-CT'!$H$9),"x","")</f>
        <v/>
      </c>
      <c r="Z110" s="85"/>
      <c r="AA110" s="85" t="str">
        <f>IF(AND(MONTH(E110)='IN-NX'!$J$5,'IN-NX'!$D$7=D110),"x","")</f>
        <v>x</v>
      </c>
      <c r="AB110" s="85" t="str">
        <f>IF(AND(OR(LEFT(TH!N110,2)="15",LEFT(TH!O110,2)="15"),'152-CT'!$J$8=TH!F110),"x","")</f>
        <v/>
      </c>
      <c r="AC110" s="85" t="str">
        <f>IF(AND(OR(LEFT(TH!N110,2)="15",LEFT(TH!O110,2)="15"),TK!$E$7=TH!F110),"x","")</f>
        <v/>
      </c>
      <c r="AD110" s="85" t="str">
        <f>IF(AND(N110="1521",MONTH(C110)='BK-NL'!$M$11),"x","")</f>
        <v/>
      </c>
    </row>
    <row r="111" spans="1:30" s="348" customFormat="1" ht="15.75" customHeight="1">
      <c r="A111" s="343" t="str">
        <f>IF(B111&lt;&gt;"",IF(AND(B111='IN-TC'!$S$4,OR(TH!N111="1111",TH!O111="1111")),TH!D111,""),"")</f>
        <v/>
      </c>
      <c r="B111" s="63">
        <f t="shared" si="15"/>
        <v>1</v>
      </c>
      <c r="C111" s="64">
        <f t="shared" si="23"/>
        <v>42371</v>
      </c>
      <c r="D111" s="64" t="s">
        <v>690</v>
      </c>
      <c r="E111" s="64">
        <v>42371</v>
      </c>
      <c r="F111" s="67" t="s">
        <v>349</v>
      </c>
      <c r="G111" s="67"/>
      <c r="H111" s="74" t="s">
        <v>450</v>
      </c>
      <c r="I111" s="447">
        <v>150</v>
      </c>
      <c r="J111" s="447">
        <v>11666.673333333334</v>
      </c>
      <c r="K111" s="438"/>
      <c r="L111" s="447"/>
      <c r="M111" s="65">
        <f t="shared" si="24"/>
        <v>1750001</v>
      </c>
      <c r="N111" s="66" t="s">
        <v>283</v>
      </c>
      <c r="O111" s="66" t="s">
        <v>277</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IF(AND('341-CT'!$H$9=H111,OR(LEFT(N111,3)=$W$7,LEFT(O111,3)=$W$7)),"x","")</f>
        <v/>
      </c>
      <c r="X111" s="85" t="str">
        <f>IF(OR(TH!N111=TH!$X$7,O111=TH!$X$7),"x","")</f>
        <v/>
      </c>
      <c r="Y111" s="85" t="str">
        <f>IF(AND(OR(N111="131",O111="131"),H111='131-CT'!$H$9),"x","")</f>
        <v/>
      </c>
      <c r="Z111" s="85"/>
      <c r="AA111" s="85" t="str">
        <f>IF(AND(MONTH(E111)='IN-NX'!$J$5,'IN-NX'!$D$7=D111),"x","")</f>
        <v>x</v>
      </c>
      <c r="AB111" s="85" t="str">
        <f>IF(AND(OR(LEFT(TH!N111,2)="15",LEFT(TH!O111,2)="15"),'152-CT'!$J$8=TH!F111),"x","")</f>
        <v/>
      </c>
      <c r="AC111" s="85" t="str">
        <f>IF(AND(OR(LEFT(TH!N111,2)="15",LEFT(TH!O111,2)="15"),TK!$E$7=TH!F111),"x","")</f>
        <v>x</v>
      </c>
      <c r="AD111" s="85" t="str">
        <f>IF(AND(N111="1521",MONTH(C111)='BK-NL'!$M$11),"x","")</f>
        <v/>
      </c>
    </row>
    <row r="112" spans="1:30" s="348" customFormat="1" ht="15.75" customHeight="1">
      <c r="A112" s="343" t="str">
        <f>IF(B112&lt;&gt;"",IF(AND(B112='IN-TC'!$S$4,OR(TH!N112="1111",TH!O112="1111")),TH!D112,""),"")</f>
        <v/>
      </c>
      <c r="B112" s="63">
        <f t="shared" si="15"/>
        <v>1</v>
      </c>
      <c r="C112" s="64">
        <f t="shared" si="23"/>
        <v>42376</v>
      </c>
      <c r="D112" s="64" t="s">
        <v>691</v>
      </c>
      <c r="E112" s="64">
        <v>42376</v>
      </c>
      <c r="F112" s="67" t="s">
        <v>225</v>
      </c>
      <c r="G112" s="67"/>
      <c r="H112" s="74" t="s">
        <v>450</v>
      </c>
      <c r="I112" s="447">
        <v>100</v>
      </c>
      <c r="J112" s="447">
        <v>21979.791919191921</v>
      </c>
      <c r="K112" s="438"/>
      <c r="L112" s="447"/>
      <c r="M112" s="65">
        <f t="shared" si="24"/>
        <v>2197979</v>
      </c>
      <c r="N112" s="66" t="s">
        <v>283</v>
      </c>
      <c r="O112" s="66" t="s">
        <v>277</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IF(AND('341-CT'!$H$9=H112,OR(LEFT(N112,3)=$W$7,LEFT(O112,3)=$W$7)),"x","")</f>
        <v/>
      </c>
      <c r="X112" s="85" t="str">
        <f>IF(OR(TH!N112=TH!$X$7,O112=TH!$X$7),"x","")</f>
        <v/>
      </c>
      <c r="Y112" s="85" t="str">
        <f>IF(AND(OR(N112="131",O112="131"),H112='131-CT'!$H$9),"x","")</f>
        <v/>
      </c>
      <c r="Z112" s="85"/>
      <c r="AA112" s="85" t="str">
        <f>IF(AND(MONTH(E112)='IN-NX'!$J$5,'IN-NX'!$D$7=D112),"x","")</f>
        <v/>
      </c>
      <c r="AB112" s="85" t="str">
        <f>IF(AND(OR(LEFT(TH!N112,2)="15",LEFT(TH!O112,2)="15"),'152-CT'!$J$8=TH!F112),"x","")</f>
        <v/>
      </c>
      <c r="AC112" s="85" t="str">
        <f>IF(AND(OR(LEFT(TH!N112,2)="15",LEFT(TH!O112,2)="15"),TK!$E$7=TH!F112),"x","")</f>
        <v/>
      </c>
      <c r="AD112" s="85" t="str">
        <f>IF(AND(N112="1521",MONTH(C112)='BK-NL'!$M$11),"x","")</f>
        <v/>
      </c>
    </row>
    <row r="113" spans="1:30" s="348" customFormat="1" ht="15.75" customHeight="1">
      <c r="A113" s="343" t="str">
        <f>IF(B113&lt;&gt;"",IF(AND(B113='IN-TC'!$S$4,OR(TH!N113="1111",TH!O113="1111")),TH!D113,""),"")</f>
        <v/>
      </c>
      <c r="B113" s="63">
        <f t="shared" si="15"/>
        <v>1</v>
      </c>
      <c r="C113" s="64">
        <f t="shared" si="23"/>
        <v>42376</v>
      </c>
      <c r="D113" s="64" t="s">
        <v>691</v>
      </c>
      <c r="E113" s="64">
        <v>42376</v>
      </c>
      <c r="F113" s="67" t="s">
        <v>357</v>
      </c>
      <c r="G113" s="67"/>
      <c r="H113" s="74" t="s">
        <v>450</v>
      </c>
      <c r="I113" s="447">
        <v>2700</v>
      </c>
      <c r="J113" s="447">
        <v>14899.99962962963</v>
      </c>
      <c r="K113" s="438"/>
      <c r="L113" s="447"/>
      <c r="M113" s="65">
        <f t="shared" si="24"/>
        <v>40229999</v>
      </c>
      <c r="N113" s="66" t="s">
        <v>283</v>
      </c>
      <c r="O113" s="66" t="s">
        <v>277</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IF(AND('341-CT'!$H$9=H113,OR(LEFT(N113,3)=$W$7,LEFT(O113,3)=$W$7)),"x","")</f>
        <v/>
      </c>
      <c r="X113" s="85" t="str">
        <f>IF(OR(TH!N113=TH!$X$7,O113=TH!$X$7),"x","")</f>
        <v/>
      </c>
      <c r="Y113" s="85" t="str">
        <f>IF(AND(OR(N113="131",O113="131"),H113='131-CT'!$H$9),"x","")</f>
        <v/>
      </c>
      <c r="Z113" s="85"/>
      <c r="AA113" s="85" t="str">
        <f>IF(AND(MONTH(E113)='IN-NX'!$J$5,'IN-NX'!$D$7=D113),"x","")</f>
        <v/>
      </c>
      <c r="AB113" s="85" t="str">
        <f>IF(AND(OR(LEFT(TH!N113,2)="15",LEFT(TH!O113,2)="15"),'152-CT'!$J$8=TH!F113),"x","")</f>
        <v/>
      </c>
      <c r="AC113" s="85" t="str">
        <f>IF(AND(OR(LEFT(TH!N113,2)="15",LEFT(TH!O113,2)="15"),TK!$E$7=TH!F113),"x","")</f>
        <v/>
      </c>
      <c r="AD113" s="85" t="str">
        <f>IF(AND(N113="1521",MONTH(C113)='BK-NL'!$M$11),"x","")</f>
        <v/>
      </c>
    </row>
    <row r="114" spans="1:30" s="348" customFormat="1" ht="15.75" customHeight="1">
      <c r="A114" s="343" t="str">
        <f>IF(B114&lt;&gt;"",IF(AND(B114='IN-TC'!$S$4,OR(TH!N114="1111",TH!O114="1111")),TH!D114,""),"")</f>
        <v/>
      </c>
      <c r="B114" s="63">
        <f t="shared" si="15"/>
        <v>1</v>
      </c>
      <c r="C114" s="64">
        <f t="shared" si="23"/>
        <v>42384</v>
      </c>
      <c r="D114" s="64" t="s">
        <v>692</v>
      </c>
      <c r="E114" s="64">
        <v>42384</v>
      </c>
      <c r="F114" s="67" t="s">
        <v>360</v>
      </c>
      <c r="G114" s="67"/>
      <c r="H114" s="74" t="s">
        <v>450</v>
      </c>
      <c r="I114" s="447">
        <v>400</v>
      </c>
      <c r="J114" s="447">
        <v>8500</v>
      </c>
      <c r="K114" s="438"/>
      <c r="L114" s="447"/>
      <c r="M114" s="65">
        <f t="shared" si="24"/>
        <v>3400000</v>
      </c>
      <c r="N114" s="66" t="s">
        <v>283</v>
      </c>
      <c r="O114" s="66" t="s">
        <v>277</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IF(AND('341-CT'!$H$9=H114,OR(LEFT(N114,3)=$W$7,LEFT(O114,3)=$W$7)),"x","")</f>
        <v/>
      </c>
      <c r="X114" s="85" t="str">
        <f>IF(OR(TH!N114=TH!$X$7,O114=TH!$X$7),"x","")</f>
        <v/>
      </c>
      <c r="Y114" s="85" t="str">
        <f>IF(AND(OR(N114="131",O114="131"),H114='131-CT'!$H$9),"x","")</f>
        <v/>
      </c>
      <c r="Z114" s="85"/>
      <c r="AA114" s="85" t="str">
        <f>IF(AND(MONTH(E114)='IN-NX'!$J$5,'IN-NX'!$D$7=D114),"x","")</f>
        <v/>
      </c>
      <c r="AB114" s="85" t="str">
        <f>IF(AND(OR(LEFT(TH!N114,2)="15",LEFT(TH!O114,2)="15"),'152-CT'!$J$8=TH!F114),"x","")</f>
        <v/>
      </c>
      <c r="AC114" s="85" t="str">
        <f>IF(AND(OR(LEFT(TH!N114,2)="15",LEFT(TH!O114,2)="15"),TK!$E$7=TH!F114),"x","")</f>
        <v/>
      </c>
      <c r="AD114" s="85" t="str">
        <f>IF(AND(N114="1521",MONTH(C114)='BK-NL'!$M$11),"x","")</f>
        <v/>
      </c>
    </row>
    <row r="115" spans="1:30" s="348" customFormat="1" ht="15.75" customHeight="1">
      <c r="A115" s="343" t="str">
        <f>IF(B115&lt;&gt;"",IF(AND(B115='IN-TC'!$S$4,OR(TH!N115="1111",TH!O115="1111")),TH!D115,""),"")</f>
        <v/>
      </c>
      <c r="B115" s="63">
        <f t="shared" si="15"/>
        <v>1</v>
      </c>
      <c r="C115" s="64">
        <f t="shared" si="23"/>
        <v>42384</v>
      </c>
      <c r="D115" s="64" t="s">
        <v>692</v>
      </c>
      <c r="E115" s="64">
        <v>42384</v>
      </c>
      <c r="F115" s="67" t="s">
        <v>364</v>
      </c>
      <c r="G115" s="67"/>
      <c r="H115" s="76" t="s">
        <v>450</v>
      </c>
      <c r="I115" s="449">
        <v>1647</v>
      </c>
      <c r="J115" s="449">
        <f>M115/I115</f>
        <v>322.9927140255009</v>
      </c>
      <c r="K115" s="440"/>
      <c r="L115" s="449"/>
      <c r="M115" s="65">
        <v>531969</v>
      </c>
      <c r="N115" s="66" t="s">
        <v>283</v>
      </c>
      <c r="O115" s="66" t="s">
        <v>277</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IF(AND('341-CT'!$H$9=H115,OR(LEFT(N115,3)=$W$7,LEFT(O115,3)=$W$7)),"x","")</f>
        <v/>
      </c>
      <c r="X115" s="85" t="str">
        <f>IF(OR(TH!N115=TH!$X$7,O115=TH!$X$7),"x","")</f>
        <v/>
      </c>
      <c r="Y115" s="85" t="str">
        <f>IF(AND(OR(N115="131",O115="131"),H115='131-CT'!$H$9),"x","")</f>
        <v/>
      </c>
      <c r="Z115" s="85"/>
      <c r="AA115" s="85" t="str">
        <f>IF(AND(MONTH(E115)='IN-NX'!$J$5,'IN-NX'!$D$7=D115),"x","")</f>
        <v/>
      </c>
      <c r="AB115" s="85" t="str">
        <f>IF(AND(OR(LEFT(TH!N115,2)="15",LEFT(TH!O115,2)="15"),'152-CT'!$J$8=TH!F115),"x","")</f>
        <v/>
      </c>
      <c r="AC115" s="85" t="str">
        <f>IF(AND(OR(LEFT(TH!N115,2)="15",LEFT(TH!O115,2)="15"),TK!$E$7=TH!F115),"x","")</f>
        <v/>
      </c>
      <c r="AD115" s="85" t="str">
        <f>IF(AND(N115="1521",MONTH(C115)='BK-NL'!$M$11),"x","")</f>
        <v/>
      </c>
    </row>
    <row r="116" spans="1:30" s="348" customFormat="1" ht="15.75" customHeight="1">
      <c r="A116" s="343" t="str">
        <f>IF(B116&lt;&gt;"",IF(AND(B116='IN-TC'!$S$4,OR(TH!N116="1111",TH!O116="1111")),TH!D116,""),"")</f>
        <v/>
      </c>
      <c r="B116" s="63">
        <f t="shared" si="15"/>
        <v>1</v>
      </c>
      <c r="C116" s="64">
        <f t="shared" si="23"/>
        <v>42388</v>
      </c>
      <c r="D116" s="64" t="s">
        <v>693</v>
      </c>
      <c r="E116" s="64">
        <v>42388</v>
      </c>
      <c r="F116" s="67" t="s">
        <v>395</v>
      </c>
      <c r="G116" s="67"/>
      <c r="H116" s="76" t="s">
        <v>450</v>
      </c>
      <c r="I116" s="449">
        <v>400</v>
      </c>
      <c r="J116" s="449">
        <v>17000</v>
      </c>
      <c r="K116" s="440"/>
      <c r="L116" s="449"/>
      <c r="M116" s="65">
        <f t="shared" si="24"/>
        <v>6800000</v>
      </c>
      <c r="N116" s="66" t="s">
        <v>283</v>
      </c>
      <c r="O116" s="66" t="s">
        <v>277</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IF(AND('341-CT'!$H$9=H116,OR(LEFT(N116,3)=$W$7,LEFT(O116,3)=$W$7)),"x","")</f>
        <v/>
      </c>
      <c r="X116" s="85" t="str">
        <f>IF(OR(TH!N116=TH!$X$7,O116=TH!$X$7),"x","")</f>
        <v/>
      </c>
      <c r="Y116" s="85" t="str">
        <f>IF(AND(OR(N116="131",O116="131"),H116='131-CT'!$H$9),"x","")</f>
        <v/>
      </c>
      <c r="Z116" s="85"/>
      <c r="AA116" s="85" t="str">
        <f>IF(AND(MONTH(E116)='IN-NX'!$J$5,'IN-NX'!$D$7=D116),"x","")</f>
        <v/>
      </c>
      <c r="AB116" s="85" t="str">
        <f>IF(AND(OR(LEFT(TH!N116,2)="15",LEFT(TH!O116,2)="15"),'152-CT'!$J$8=TH!F116),"x","")</f>
        <v/>
      </c>
      <c r="AC116" s="85" t="str">
        <f>IF(AND(OR(LEFT(TH!N116,2)="15",LEFT(TH!O116,2)="15"),TK!$E$7=TH!F116),"x","")</f>
        <v/>
      </c>
      <c r="AD116" s="85" t="str">
        <f>IF(AND(N116="1521",MONTH(C116)='BK-NL'!$M$11),"x","")</f>
        <v/>
      </c>
    </row>
    <row r="117" spans="1:30" s="348" customFormat="1" ht="15.75" customHeight="1">
      <c r="A117" s="343" t="str">
        <f>IF(B117&lt;&gt;"",IF(AND(B117='IN-TC'!$S$4,OR(TH!N117="1111",TH!O117="1111")),TH!D117,""),"")</f>
        <v/>
      </c>
      <c r="B117" s="63">
        <f t="shared" si="15"/>
        <v>1</v>
      </c>
      <c r="C117" s="64">
        <f t="shared" si="23"/>
        <v>42388</v>
      </c>
      <c r="D117" s="64" t="s">
        <v>693</v>
      </c>
      <c r="E117" s="64">
        <v>42388</v>
      </c>
      <c r="F117" s="67" t="s">
        <v>1103</v>
      </c>
      <c r="G117" s="67"/>
      <c r="H117" s="74" t="s">
        <v>450</v>
      </c>
      <c r="I117" s="447">
        <v>400</v>
      </c>
      <c r="J117" s="447">
        <v>2500</v>
      </c>
      <c r="K117" s="438"/>
      <c r="L117" s="447"/>
      <c r="M117" s="65">
        <f t="shared" si="24"/>
        <v>1000000</v>
      </c>
      <c r="N117" s="66" t="s">
        <v>283</v>
      </c>
      <c r="O117" s="66" t="s">
        <v>277</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IF(AND('341-CT'!$H$9=H117,OR(LEFT(N117,3)=$W$7,LEFT(O117,3)=$W$7)),"x","")</f>
        <v/>
      </c>
      <c r="X117" s="85" t="str">
        <f>IF(OR(TH!N117=TH!$X$7,O117=TH!$X$7),"x","")</f>
        <v/>
      </c>
      <c r="Y117" s="85" t="str">
        <f>IF(AND(OR(N117="131",O117="131"),H117='131-CT'!$H$9),"x","")</f>
        <v/>
      </c>
      <c r="Z117" s="85"/>
      <c r="AA117" s="85" t="str">
        <f>IF(AND(MONTH(E117)='IN-NX'!$J$5,'IN-NX'!$D$7=D117),"x","")</f>
        <v/>
      </c>
      <c r="AB117" s="85" t="str">
        <f>IF(AND(OR(LEFT(TH!N117,2)="15",LEFT(TH!O117,2)="15"),'152-CT'!$J$8=TH!F117),"x","")</f>
        <v/>
      </c>
      <c r="AC117" s="85" t="str">
        <f>IF(AND(OR(LEFT(TH!N117,2)="15",LEFT(TH!O117,2)="15"),TK!$E$7=TH!F117),"x","")</f>
        <v/>
      </c>
      <c r="AD117" s="85" t="str">
        <f>IF(AND(N117="1521",MONTH(C117)='BK-NL'!$M$11),"x","")</f>
        <v/>
      </c>
    </row>
    <row r="118" spans="1:30" s="348" customFormat="1" ht="15.75" customHeight="1">
      <c r="A118" s="343" t="str">
        <f>IF(B118&lt;&gt;"",IF(AND(B118='IN-TC'!$S$4,OR(TH!N118="1111",TH!O118="1111")),TH!D118,""),"")</f>
        <v/>
      </c>
      <c r="B118" s="63">
        <f t="shared" si="15"/>
        <v>1</v>
      </c>
      <c r="C118" s="64">
        <f t="shared" si="23"/>
        <v>42391</v>
      </c>
      <c r="D118" s="64" t="s">
        <v>694</v>
      </c>
      <c r="E118" s="64">
        <v>42391</v>
      </c>
      <c r="F118" s="67" t="s">
        <v>402</v>
      </c>
      <c r="G118" s="67"/>
      <c r="H118" s="76" t="s">
        <v>450</v>
      </c>
      <c r="I118" s="449">
        <v>620</v>
      </c>
      <c r="J118" s="449">
        <v>18300</v>
      </c>
      <c r="K118" s="440"/>
      <c r="L118" s="449"/>
      <c r="M118" s="65">
        <f t="shared" si="24"/>
        <v>11346000</v>
      </c>
      <c r="N118" s="66" t="s">
        <v>283</v>
      </c>
      <c r="O118" s="66" t="s">
        <v>277</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IF(AND('341-CT'!$H$9=H118,OR(LEFT(N118,3)=$W$7,LEFT(O118,3)=$W$7)),"x","")</f>
        <v/>
      </c>
      <c r="X118" s="85" t="str">
        <f>IF(OR(TH!N118=TH!$X$7,O118=TH!$X$7),"x","")</f>
        <v/>
      </c>
      <c r="Y118" s="85" t="str">
        <f>IF(AND(OR(N118="131",O118="131"),H118='131-CT'!$H$9),"x","")</f>
        <v/>
      </c>
      <c r="Z118" s="85"/>
      <c r="AA118" s="85" t="str">
        <f>IF(AND(MONTH(E118)='IN-NX'!$J$5,'IN-NX'!$D$7=D118),"x","")</f>
        <v/>
      </c>
      <c r="AB118" s="85" t="str">
        <f>IF(AND(OR(LEFT(TH!N118,2)="15",LEFT(TH!O118,2)="15"),'152-CT'!$J$8=TH!F118),"x","")</f>
        <v/>
      </c>
      <c r="AC118" s="85" t="str">
        <f>IF(AND(OR(LEFT(TH!N118,2)="15",LEFT(TH!O118,2)="15"),TK!$E$7=TH!F118),"x","")</f>
        <v/>
      </c>
      <c r="AD118" s="85" t="str">
        <f>IF(AND(N118="1521",MONTH(C118)='BK-NL'!$M$11),"x","")</f>
        <v/>
      </c>
    </row>
    <row r="119" spans="1:30" s="348" customFormat="1" ht="15.75" customHeight="1">
      <c r="A119" s="343" t="str">
        <f>IF(B119&lt;&gt;"",IF(AND(B119='IN-TC'!$S$4,OR(TH!N119="1111",TH!O119="1111")),TH!D119,""),"")</f>
        <v/>
      </c>
      <c r="B119" s="63">
        <f t="shared" ref="B119:B186" si="25">IF(C119&lt;&gt;"",MONTH(C119),"")</f>
        <v>1</v>
      </c>
      <c r="C119" s="64">
        <f t="shared" ref="C119" si="26">E119</f>
        <v>42391</v>
      </c>
      <c r="D119" s="64" t="s">
        <v>694</v>
      </c>
      <c r="E119" s="64">
        <v>42391</v>
      </c>
      <c r="F119" s="67" t="s">
        <v>657</v>
      </c>
      <c r="G119" s="67"/>
      <c r="H119" s="76" t="s">
        <v>450</v>
      </c>
      <c r="I119" s="447">
        <v>2500</v>
      </c>
      <c r="J119" s="447">
        <v>14000</v>
      </c>
      <c r="K119" s="440"/>
      <c r="L119" s="449"/>
      <c r="M119" s="65">
        <f t="shared" ref="M119" si="27">ROUND(I119*J119,0)</f>
        <v>35000000</v>
      </c>
      <c r="N119" s="66" t="s">
        <v>283</v>
      </c>
      <c r="O119" s="66" t="s">
        <v>277</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IF(AND('341-CT'!$H$9=H119,OR(LEFT(N119,3)=$W$7,LEFT(O119,3)=$W$7)),"x","")</f>
        <v/>
      </c>
      <c r="X119" s="85" t="str">
        <f>IF(OR(TH!N119=TH!$X$7,O119=TH!$X$7),"x","")</f>
        <v/>
      </c>
      <c r="Y119" s="85" t="str">
        <f>IF(AND(OR(N119="131",O119="131"),H119='131-CT'!$H$9),"x","")</f>
        <v/>
      </c>
      <c r="Z119" s="85"/>
      <c r="AA119" s="85" t="str">
        <f>IF(AND(MONTH(E119)='IN-NX'!$J$5,'IN-NX'!$D$7=D119),"x","")</f>
        <v/>
      </c>
      <c r="AB119" s="85" t="str">
        <f>IF(AND(OR(LEFT(TH!N119,2)="15",LEFT(TH!O119,2)="15"),'152-CT'!$J$8=TH!F119),"x","")</f>
        <v/>
      </c>
      <c r="AC119" s="85" t="str">
        <f>IF(AND(OR(LEFT(TH!N119,2)="15",LEFT(TH!O119,2)="15"),TK!$E$7=TH!F119),"x","")</f>
        <v/>
      </c>
      <c r="AD119" s="85" t="str">
        <f>IF(AND(N119="1521",MONTH(C119)='BK-NL'!$M$11),"x","")</f>
        <v/>
      </c>
    </row>
    <row r="120" spans="1:30" s="348" customFormat="1" ht="15.75" customHeight="1">
      <c r="A120" s="343" t="str">
        <f>IF(B120&lt;&gt;"",IF(AND(B120='IN-TC'!$S$4,OR(TH!N120="1111",TH!O120="1111")),TH!D120,""),"")</f>
        <v/>
      </c>
      <c r="B120" s="63">
        <f t="shared" si="25"/>
        <v>1</v>
      </c>
      <c r="C120" s="64">
        <f t="shared" si="23"/>
        <v>42398</v>
      </c>
      <c r="D120" s="64" t="s">
        <v>695</v>
      </c>
      <c r="E120" s="64">
        <v>42398</v>
      </c>
      <c r="F120" s="67" t="s">
        <v>391</v>
      </c>
      <c r="G120" s="67"/>
      <c r="H120" s="74" t="s">
        <v>450</v>
      </c>
      <c r="I120" s="447">
        <v>1150</v>
      </c>
      <c r="J120" s="447">
        <v>12000</v>
      </c>
      <c r="K120" s="438"/>
      <c r="L120" s="447"/>
      <c r="M120" s="65">
        <f t="shared" si="24"/>
        <v>13800000</v>
      </c>
      <c r="N120" s="66" t="s">
        <v>283</v>
      </c>
      <c r="O120" s="66" t="s">
        <v>277</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IF(AND('341-CT'!$H$9=H120,OR(LEFT(N120,3)=$W$7,LEFT(O120,3)=$W$7)),"x","")</f>
        <v/>
      </c>
      <c r="X120" s="85" t="str">
        <f>IF(OR(TH!N120=TH!$X$7,O120=TH!$X$7),"x","")</f>
        <v/>
      </c>
      <c r="Y120" s="85" t="str">
        <f>IF(AND(OR(N120="131",O120="131"),H120='131-CT'!$H$9),"x","")</f>
        <v/>
      </c>
      <c r="Z120" s="85"/>
      <c r="AA120" s="85" t="str">
        <f>IF(AND(MONTH(E120)='IN-NX'!$J$5,'IN-NX'!$D$7=D120),"x","")</f>
        <v/>
      </c>
      <c r="AB120" s="85" t="str">
        <f>IF(AND(OR(LEFT(TH!N120,2)="15",LEFT(TH!O120,2)="15"),'152-CT'!$J$8=TH!F120),"x","")</f>
        <v/>
      </c>
      <c r="AC120" s="85" t="str">
        <f>IF(AND(OR(LEFT(TH!N120,2)="15",LEFT(TH!O120,2)="15"),TK!$E$7=TH!F120),"x","")</f>
        <v/>
      </c>
      <c r="AD120" s="85" t="str">
        <f>IF(AND(N120="1521",MONTH(C120)='BK-NL'!$M$11),"x","")</f>
        <v/>
      </c>
    </row>
    <row r="121" spans="1:30" s="348" customFormat="1" ht="15.75" customHeight="1">
      <c r="A121" s="343" t="str">
        <f>IF(B121&lt;&gt;"",IF(AND(B121='IN-TC'!$S$4,OR(TH!N121="1111",TH!O121="1111")),TH!D121,""),"")</f>
        <v/>
      </c>
      <c r="B121" s="63">
        <f t="shared" si="25"/>
        <v>1</v>
      </c>
      <c r="C121" s="64">
        <f t="shared" si="23"/>
        <v>42398</v>
      </c>
      <c r="D121" s="64" t="s">
        <v>695</v>
      </c>
      <c r="E121" s="64">
        <v>42398</v>
      </c>
      <c r="F121" s="67" t="s">
        <v>393</v>
      </c>
      <c r="G121" s="67"/>
      <c r="H121" s="74" t="s">
        <v>450</v>
      </c>
      <c r="I121" s="447">
        <v>150</v>
      </c>
      <c r="J121" s="447">
        <v>9500</v>
      </c>
      <c r="K121" s="438"/>
      <c r="L121" s="447"/>
      <c r="M121" s="65">
        <f t="shared" si="24"/>
        <v>1425000</v>
      </c>
      <c r="N121" s="66" t="s">
        <v>283</v>
      </c>
      <c r="O121" s="66" t="s">
        <v>277</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IF(AND('341-CT'!$H$9=H121,OR(LEFT(N121,3)=$W$7,LEFT(O121,3)=$W$7)),"x","")</f>
        <v/>
      </c>
      <c r="X121" s="85" t="str">
        <f>IF(OR(TH!N121=TH!$X$7,O121=TH!$X$7),"x","")</f>
        <v/>
      </c>
      <c r="Y121" s="85" t="str">
        <f>IF(AND(OR(N121="131",O121="131"),H121='131-CT'!$H$9),"x","")</f>
        <v/>
      </c>
      <c r="Z121" s="85"/>
      <c r="AA121" s="85" t="str">
        <f>IF(AND(MONTH(E121)='IN-NX'!$J$5,'IN-NX'!$D$7=D121),"x","")</f>
        <v/>
      </c>
      <c r="AB121" s="85" t="str">
        <f>IF(AND(OR(LEFT(TH!N121,2)="15",LEFT(TH!O121,2)="15"),'152-CT'!$J$8=TH!F121),"x","")</f>
        <v/>
      </c>
      <c r="AC121" s="85" t="str">
        <f>IF(AND(OR(LEFT(TH!N121,2)="15",LEFT(TH!O121,2)="15"),TK!$E$7=TH!F121),"x","")</f>
        <v/>
      </c>
      <c r="AD121" s="85" t="str">
        <f>IF(AND(N121="1521",MONTH(C121)='BK-NL'!$M$11),"x","")</f>
        <v/>
      </c>
    </row>
    <row r="122" spans="1:30" s="348" customFormat="1" ht="15.75" customHeight="1">
      <c r="A122" s="343" t="str">
        <f>IF(B122&lt;&gt;"",IF(AND(B122='IN-TC'!$S$4,OR(TH!N122="1111",TH!O122="1111")),TH!D122,""),"")</f>
        <v/>
      </c>
      <c r="B122" s="63">
        <f t="shared" si="25"/>
        <v>2</v>
      </c>
      <c r="C122" s="64">
        <f>E122</f>
        <v>42415</v>
      </c>
      <c r="D122" s="64" t="s">
        <v>691</v>
      </c>
      <c r="E122" s="64">
        <v>42415</v>
      </c>
      <c r="F122" s="67" t="s">
        <v>340</v>
      </c>
      <c r="G122" s="996"/>
      <c r="H122" s="74" t="s">
        <v>450</v>
      </c>
      <c r="I122" s="447">
        <v>20</v>
      </c>
      <c r="J122" s="447">
        <v>35444.444444444445</v>
      </c>
      <c r="K122" s="438"/>
      <c r="L122" s="447"/>
      <c r="M122" s="65">
        <f t="shared" si="24"/>
        <v>708889</v>
      </c>
      <c r="N122" s="66" t="s">
        <v>283</v>
      </c>
      <c r="O122" s="66" t="s">
        <v>277</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IF(AND('341-CT'!$H$9=H122,OR(LEFT(N122,3)=$W$7,LEFT(O122,3)=$W$7)),"x","")</f>
        <v/>
      </c>
      <c r="X122" s="85" t="str">
        <f>IF(OR(TH!N122=TH!$X$7,O122=TH!$X$7),"x","")</f>
        <v/>
      </c>
      <c r="Y122" s="85" t="str">
        <f>IF(AND(OR(N122="131",O122="131"),H122='131-CT'!$H$9),"x","")</f>
        <v/>
      </c>
      <c r="Z122" s="85"/>
      <c r="AA122" s="85" t="str">
        <f>IF(AND(MONTH(E122)='IN-NX'!$J$5,'IN-NX'!$D$7=D122),"x","")</f>
        <v/>
      </c>
      <c r="AB122" s="85" t="str">
        <f>IF(AND(OR(LEFT(TH!N122,2)="15",LEFT(TH!O122,2)="15"),'152-CT'!$J$8=TH!F122),"x","")</f>
        <v/>
      </c>
      <c r="AC122" s="85" t="str">
        <f>IF(AND(OR(LEFT(TH!N122,2)="15",LEFT(TH!O122,2)="15"),TK!$E$7=TH!F122),"x","")</f>
        <v/>
      </c>
      <c r="AD122" s="85" t="str">
        <f>IF(AND(N122="1521",MONTH(C122)='BK-NL'!$M$11),"x","")</f>
        <v/>
      </c>
    </row>
    <row r="123" spans="1:30" s="348" customFormat="1" ht="15.75" customHeight="1">
      <c r="A123" s="343" t="str">
        <f>IF(B123&lt;&gt;"",IF(AND(B123='IN-TC'!$S$4,OR(TH!N123="1111",TH!O123="1111")),TH!D123,""),"")</f>
        <v/>
      </c>
      <c r="B123" s="63">
        <f t="shared" si="25"/>
        <v>2</v>
      </c>
      <c r="C123" s="64">
        <f t="shared" ref="C123:C129" si="28">E123</f>
        <v>42415</v>
      </c>
      <c r="D123" s="64" t="s">
        <v>691</v>
      </c>
      <c r="E123" s="64">
        <v>42415</v>
      </c>
      <c r="F123" s="67" t="s">
        <v>346</v>
      </c>
      <c r="G123" s="996"/>
      <c r="H123" s="74" t="s">
        <v>450</v>
      </c>
      <c r="I123" s="447">
        <v>5</v>
      </c>
      <c r="J123" s="447">
        <v>46741.2</v>
      </c>
      <c r="K123" s="438"/>
      <c r="L123" s="447"/>
      <c r="M123" s="65">
        <f t="shared" si="24"/>
        <v>233706</v>
      </c>
      <c r="N123" s="66" t="s">
        <v>283</v>
      </c>
      <c r="O123" s="66" t="s">
        <v>277</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IF(AND('341-CT'!$H$9=H123,OR(LEFT(N123,3)=$W$7,LEFT(O123,3)=$W$7)),"x","")</f>
        <v/>
      </c>
      <c r="X123" s="85" t="str">
        <f>IF(OR(TH!N123=TH!$X$7,O123=TH!$X$7),"x","")</f>
        <v/>
      </c>
      <c r="Y123" s="85" t="str">
        <f>IF(AND(OR(N123="131",O123="131"),H123='131-CT'!$H$9),"x","")</f>
        <v/>
      </c>
      <c r="Z123" s="85"/>
      <c r="AA123" s="85" t="str">
        <f>IF(AND(MONTH(E123)='IN-NX'!$J$5,'IN-NX'!$D$7=D123),"x","")</f>
        <v/>
      </c>
      <c r="AB123" s="85" t="str">
        <f>IF(AND(OR(LEFT(TH!N123,2)="15",LEFT(TH!O123,2)="15"),'152-CT'!$J$8=TH!F123),"x","")</f>
        <v/>
      </c>
      <c r="AC123" s="85" t="str">
        <f>IF(AND(OR(LEFT(TH!N123,2)="15",LEFT(TH!O123,2)="15"),TK!$E$7=TH!F123),"x","")</f>
        <v/>
      </c>
      <c r="AD123" s="85" t="str">
        <f>IF(AND(N123="1521",MONTH(C123)='BK-NL'!$M$11),"x","")</f>
        <v/>
      </c>
    </row>
    <row r="124" spans="1:30" s="348" customFormat="1" ht="15.75" customHeight="1">
      <c r="A124" s="343" t="str">
        <f>IF(B124&lt;&gt;"",IF(AND(B124='IN-TC'!$S$4,OR(TH!N124="1111",TH!O124="1111")),TH!D124,""),"")</f>
        <v/>
      </c>
      <c r="B124" s="63">
        <f t="shared" si="25"/>
        <v>2</v>
      </c>
      <c r="C124" s="64">
        <f t="shared" si="28"/>
        <v>42415</v>
      </c>
      <c r="D124" s="64" t="s">
        <v>691</v>
      </c>
      <c r="E124" s="64">
        <v>42415</v>
      </c>
      <c r="F124" s="67" t="s">
        <v>349</v>
      </c>
      <c r="G124" s="67"/>
      <c r="H124" s="74" t="s">
        <v>450</v>
      </c>
      <c r="I124" s="447">
        <v>150</v>
      </c>
      <c r="J124" s="447">
        <v>11666.673333333334</v>
      </c>
      <c r="K124" s="438"/>
      <c r="L124" s="447"/>
      <c r="M124" s="65">
        <f t="shared" si="24"/>
        <v>1750001</v>
      </c>
      <c r="N124" s="66" t="s">
        <v>283</v>
      </c>
      <c r="O124" s="66" t="s">
        <v>277</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IF(AND('341-CT'!$H$9=H124,OR(LEFT(N124,3)=$W$7,LEFT(O124,3)=$W$7)),"x","")</f>
        <v/>
      </c>
      <c r="X124" s="85" t="str">
        <f>IF(OR(TH!N124=TH!$X$7,O124=TH!$X$7),"x","")</f>
        <v/>
      </c>
      <c r="Y124" s="85" t="str">
        <f>IF(AND(OR(N124="131",O124="131"),H124='131-CT'!$H$9),"x","")</f>
        <v/>
      </c>
      <c r="Z124" s="85"/>
      <c r="AA124" s="85" t="str">
        <f>IF(AND(MONTH(E124)='IN-NX'!$J$5,'IN-NX'!$D$7=D124),"x","")</f>
        <v/>
      </c>
      <c r="AB124" s="85" t="str">
        <f>IF(AND(OR(LEFT(TH!N124,2)="15",LEFT(TH!O124,2)="15"),'152-CT'!$J$8=TH!F124),"x","")</f>
        <v/>
      </c>
      <c r="AC124" s="85" t="str">
        <f>IF(AND(OR(LEFT(TH!N124,2)="15",LEFT(TH!O124,2)="15"),TK!$E$7=TH!F124),"x","")</f>
        <v>x</v>
      </c>
      <c r="AD124" s="85" t="str">
        <f>IF(AND(N124="1521",MONTH(C124)='BK-NL'!$M$11),"x","")</f>
        <v/>
      </c>
    </row>
    <row r="125" spans="1:30" s="348" customFormat="1" ht="15.75" customHeight="1">
      <c r="A125" s="343" t="str">
        <f>IF(B125&lt;&gt;"",IF(AND(B125='IN-TC'!$S$4,OR(TH!N125="1111",TH!O125="1111")),TH!D125,""),"")</f>
        <v/>
      </c>
      <c r="B125" s="63">
        <f t="shared" si="25"/>
        <v>2</v>
      </c>
      <c r="C125" s="64">
        <f t="shared" si="28"/>
        <v>42415</v>
      </c>
      <c r="D125" s="64" t="s">
        <v>691</v>
      </c>
      <c r="E125" s="64">
        <v>42415</v>
      </c>
      <c r="F125" s="67" t="s">
        <v>225</v>
      </c>
      <c r="G125" s="67"/>
      <c r="H125" s="74" t="s">
        <v>450</v>
      </c>
      <c r="I125" s="447">
        <v>45</v>
      </c>
      <c r="J125" s="447">
        <v>21979.791919191921</v>
      </c>
      <c r="K125" s="438"/>
      <c r="L125" s="447"/>
      <c r="M125" s="65">
        <f t="shared" si="24"/>
        <v>989091</v>
      </c>
      <c r="N125" s="66" t="s">
        <v>283</v>
      </c>
      <c r="O125" s="66" t="s">
        <v>277</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IF(AND('341-CT'!$H$9=H125,OR(LEFT(N125,3)=$W$7,LEFT(O125,3)=$W$7)),"x","")</f>
        <v/>
      </c>
      <c r="X125" s="85" t="str">
        <f>IF(OR(TH!N125=TH!$X$7,O125=TH!$X$7),"x","")</f>
        <v/>
      </c>
      <c r="Y125" s="85" t="str">
        <f>IF(AND(OR(N125="131",O125="131"),H125='131-CT'!$H$9),"x","")</f>
        <v/>
      </c>
      <c r="Z125" s="85"/>
      <c r="AA125" s="85" t="str">
        <f>IF(AND(MONTH(E125)='IN-NX'!$J$5,'IN-NX'!$D$7=D125),"x","")</f>
        <v/>
      </c>
      <c r="AB125" s="85" t="str">
        <f>IF(AND(OR(LEFT(TH!N125,2)="15",LEFT(TH!O125,2)="15"),'152-CT'!$J$8=TH!F125),"x","")</f>
        <v/>
      </c>
      <c r="AC125" s="85" t="str">
        <f>IF(AND(OR(LEFT(TH!N125,2)="15",LEFT(TH!O125,2)="15"),TK!$E$7=TH!F125),"x","")</f>
        <v/>
      </c>
      <c r="AD125" s="85" t="str">
        <f>IF(AND(N125="1521",MONTH(C125)='BK-NL'!$M$11),"x","")</f>
        <v/>
      </c>
    </row>
    <row r="126" spans="1:30" s="348" customFormat="1" ht="15.75" customHeight="1">
      <c r="A126" s="343" t="str">
        <f>IF(B126&lt;&gt;"",IF(AND(B126='IN-TC'!$S$4,OR(TH!N126="1111",TH!O126="1111")),TH!D126,""),"")</f>
        <v/>
      </c>
      <c r="B126" s="63">
        <f t="shared" si="25"/>
        <v>2</v>
      </c>
      <c r="C126" s="64">
        <f t="shared" si="28"/>
        <v>42415</v>
      </c>
      <c r="D126" s="64" t="s">
        <v>691</v>
      </c>
      <c r="E126" s="64">
        <v>42415</v>
      </c>
      <c r="F126" s="67" t="s">
        <v>357</v>
      </c>
      <c r="G126" s="67"/>
      <c r="H126" s="74" t="s">
        <v>450</v>
      </c>
      <c r="I126" s="447">
        <v>540</v>
      </c>
      <c r="J126" s="447">
        <v>14900</v>
      </c>
      <c r="K126" s="438"/>
      <c r="L126" s="447"/>
      <c r="M126" s="65">
        <f t="shared" si="24"/>
        <v>8046000</v>
      </c>
      <c r="N126" s="66" t="s">
        <v>283</v>
      </c>
      <c r="O126" s="66" t="s">
        <v>277</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IF(AND('341-CT'!$H$9=H126,OR(LEFT(N126,3)=$W$7,LEFT(O126,3)=$W$7)),"x","")</f>
        <v/>
      </c>
      <c r="X126" s="85" t="str">
        <f>IF(OR(TH!N126=TH!$X$7,O126=TH!$X$7),"x","")</f>
        <v/>
      </c>
      <c r="Y126" s="85" t="str">
        <f>IF(AND(OR(N126="131",O126="131"),H126='131-CT'!$H$9),"x","")</f>
        <v/>
      </c>
      <c r="Z126" s="85"/>
      <c r="AA126" s="85" t="str">
        <f>IF(AND(MONTH(E126)='IN-NX'!$J$5,'IN-NX'!$D$7=D126),"x","")</f>
        <v/>
      </c>
      <c r="AB126" s="85" t="str">
        <f>IF(AND(OR(LEFT(TH!N126,2)="15",LEFT(TH!O126,2)="15"),'152-CT'!$J$8=TH!F126),"x","")</f>
        <v/>
      </c>
      <c r="AC126" s="85" t="str">
        <f>IF(AND(OR(LEFT(TH!N126,2)="15",LEFT(TH!O126,2)="15"),TK!$E$7=TH!F126),"x","")</f>
        <v/>
      </c>
      <c r="AD126" s="85" t="str">
        <f>IF(AND(N126="1521",MONTH(C126)='BK-NL'!$M$11),"x","")</f>
        <v/>
      </c>
    </row>
    <row r="127" spans="1:30" s="348" customFormat="1" ht="15.75" customHeight="1">
      <c r="A127" s="343" t="str">
        <f>IF(B127&lt;&gt;"",IF(AND(B127='IN-TC'!$S$4,OR(TH!N127="1111",TH!O127="1111")),TH!D127,""),"")</f>
        <v/>
      </c>
      <c r="B127" s="63">
        <f t="shared" si="25"/>
        <v>2</v>
      </c>
      <c r="C127" s="64">
        <f t="shared" si="28"/>
        <v>42425</v>
      </c>
      <c r="D127" s="64" t="s">
        <v>692</v>
      </c>
      <c r="E127" s="64">
        <v>42425</v>
      </c>
      <c r="F127" s="67" t="s">
        <v>360</v>
      </c>
      <c r="G127" s="67"/>
      <c r="H127" s="74" t="s">
        <v>450</v>
      </c>
      <c r="I127" s="447">
        <v>150</v>
      </c>
      <c r="J127" s="447">
        <v>8500</v>
      </c>
      <c r="K127" s="438"/>
      <c r="L127" s="447"/>
      <c r="M127" s="65">
        <f t="shared" si="24"/>
        <v>1275000</v>
      </c>
      <c r="N127" s="66" t="s">
        <v>283</v>
      </c>
      <c r="O127" s="66" t="s">
        <v>277</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IF(AND('341-CT'!$H$9=H127,OR(LEFT(N127,3)=$W$7,LEFT(O127,3)=$W$7)),"x","")</f>
        <v/>
      </c>
      <c r="X127" s="85" t="str">
        <f>IF(OR(TH!N127=TH!$X$7,O127=TH!$X$7),"x","")</f>
        <v/>
      </c>
      <c r="Y127" s="85" t="str">
        <f>IF(AND(OR(N127="131",O127="131"),H127='131-CT'!$H$9),"x","")</f>
        <v/>
      </c>
      <c r="Z127" s="85"/>
      <c r="AA127" s="85" t="str">
        <f>IF(AND(MONTH(E127)='IN-NX'!$J$5,'IN-NX'!$D$7=D127),"x","")</f>
        <v/>
      </c>
      <c r="AB127" s="85" t="str">
        <f>IF(AND(OR(LEFT(TH!N127,2)="15",LEFT(TH!O127,2)="15"),'152-CT'!$J$8=TH!F127),"x","")</f>
        <v/>
      </c>
      <c r="AC127" s="85" t="str">
        <f>IF(AND(OR(LEFT(TH!N127,2)="15",LEFT(TH!O127,2)="15"),TK!$E$7=TH!F127),"x","")</f>
        <v/>
      </c>
      <c r="AD127" s="85" t="str">
        <f>IF(AND(N127="1521",MONTH(C127)='BK-NL'!$M$11),"x","")</f>
        <v/>
      </c>
    </row>
    <row r="128" spans="1:30" s="348" customFormat="1" ht="15.75" customHeight="1">
      <c r="A128" s="343" t="str">
        <f>IF(B128&lt;&gt;"",IF(AND(B128='IN-TC'!$S$4,OR(TH!N128="1111",TH!O128="1111")),TH!D128,""),"")</f>
        <v/>
      </c>
      <c r="B128" s="63">
        <f t="shared" si="25"/>
        <v>2</v>
      </c>
      <c r="C128" s="64">
        <f t="shared" si="28"/>
        <v>42425</v>
      </c>
      <c r="D128" s="64" t="s">
        <v>692</v>
      </c>
      <c r="E128" s="64">
        <v>42425</v>
      </c>
      <c r="F128" s="67" t="s">
        <v>364</v>
      </c>
      <c r="G128" s="67"/>
      <c r="H128" s="74" t="s">
        <v>450</v>
      </c>
      <c r="I128" s="449">
        <v>150</v>
      </c>
      <c r="J128" s="449">
        <v>33000</v>
      </c>
      <c r="K128" s="440"/>
      <c r="L128" s="449"/>
      <c r="M128" s="65">
        <f t="shared" si="24"/>
        <v>4950000</v>
      </c>
      <c r="N128" s="66" t="s">
        <v>283</v>
      </c>
      <c r="O128" s="66" t="s">
        <v>277</v>
      </c>
      <c r="P128" s="85" t="str">
        <f>IF(AND('331-CT'!$E$7=TH!H128,OR(N128="331",O128="331")),"x","")</f>
        <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IF(AND('341-CT'!$H$9=H128,OR(LEFT(N128,3)=$W$7,LEFT(O128,3)=$W$7)),"x","")</f>
        <v/>
      </c>
      <c r="X128" s="85" t="str">
        <f>IF(OR(TH!N128=TH!$X$7,O128=TH!$X$7),"x","")</f>
        <v/>
      </c>
      <c r="Y128" s="85" t="str">
        <f>IF(AND(OR(N128="131",O128="131"),H128='131-CT'!$H$9),"x","")</f>
        <v/>
      </c>
      <c r="Z128" s="85"/>
      <c r="AA128" s="85" t="str">
        <f>IF(AND(MONTH(E128)='IN-NX'!$J$5,'IN-NX'!$D$7=D128),"x","")</f>
        <v/>
      </c>
      <c r="AB128" s="85" t="str">
        <f>IF(AND(OR(LEFT(TH!N128,2)="15",LEFT(TH!O128,2)="15"),'152-CT'!$J$8=TH!F128),"x","")</f>
        <v/>
      </c>
      <c r="AC128" s="85" t="str">
        <f>IF(AND(OR(LEFT(TH!N128,2)="15",LEFT(TH!O128,2)="15"),TK!$E$7=TH!F128),"x","")</f>
        <v/>
      </c>
      <c r="AD128" s="85" t="str">
        <f>IF(AND(N128="1521",MONTH(C128)='BK-NL'!$M$11),"x","")</f>
        <v/>
      </c>
    </row>
    <row r="129" spans="1:30" s="348" customFormat="1" ht="15.75" customHeight="1">
      <c r="A129" s="343" t="str">
        <f>IF(B129&lt;&gt;"",IF(AND(B129='IN-TC'!$S$4,OR(TH!N129="1111",TH!O129="1111")),TH!D129,""),"")</f>
        <v/>
      </c>
      <c r="B129" s="63">
        <f t="shared" si="25"/>
        <v>2</v>
      </c>
      <c r="C129" s="64">
        <f t="shared" si="28"/>
        <v>42401</v>
      </c>
      <c r="D129" s="64" t="s">
        <v>690</v>
      </c>
      <c r="E129" s="64">
        <v>42401</v>
      </c>
      <c r="F129" s="67" t="s">
        <v>382</v>
      </c>
      <c r="G129" s="67"/>
      <c r="H129" s="74" t="s">
        <v>450</v>
      </c>
      <c r="I129" s="449">
        <v>2100</v>
      </c>
      <c r="J129" s="449">
        <v>5780.8622078968574</v>
      </c>
      <c r="K129" s="440"/>
      <c r="L129" s="449"/>
      <c r="M129" s="65">
        <f t="shared" si="24"/>
        <v>12139811</v>
      </c>
      <c r="N129" s="66" t="s">
        <v>283</v>
      </c>
      <c r="O129" s="66" t="s">
        <v>277</v>
      </c>
      <c r="P129" s="85" t="str">
        <f>IF(AND('331-CT'!$E$7=TH!H129,OR(N129="331",O129="331")),"x","")</f>
        <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IF(AND('341-CT'!$H$9=H129,OR(LEFT(N129,3)=$W$7,LEFT(O129,3)=$W$7)),"x","")</f>
        <v/>
      </c>
      <c r="X129" s="85" t="str">
        <f>IF(OR(TH!N129=TH!$X$7,O129=TH!$X$7),"x","")</f>
        <v/>
      </c>
      <c r="Y129" s="85" t="str">
        <f>IF(AND(OR(N129="131",O129="131"),H129='131-CT'!$H$9),"x","")</f>
        <v/>
      </c>
      <c r="Z129" s="85"/>
      <c r="AA129" s="85" t="str">
        <f>IF(AND(MONTH(E129)='IN-NX'!$J$5,'IN-NX'!$D$7=D129),"x","")</f>
        <v/>
      </c>
      <c r="AB129" s="85" t="str">
        <f>IF(AND(OR(LEFT(TH!N129,2)="15",LEFT(TH!O129,2)="15"),'152-CT'!$J$8=TH!F129),"x","")</f>
        <v/>
      </c>
      <c r="AC129" s="85" t="str">
        <f>IF(AND(OR(LEFT(TH!N129,2)="15",LEFT(TH!O129,2)="15"),TK!$E$7=TH!F129),"x","")</f>
        <v/>
      </c>
      <c r="AD129" s="85" t="str">
        <f>IF(AND(N129="1521",MONTH(C129)='BK-NL'!$M$11),"x","")</f>
        <v/>
      </c>
    </row>
    <row r="130" spans="1:30" ht="15.75" customHeight="1">
      <c r="A130" s="343" t="str">
        <f>IF(B130&lt;&gt;"",IF(AND(B130='IN-TC'!$S$4,OR(TH!N130="1111",TH!O130="1111")),TH!D130,""),"")</f>
        <v/>
      </c>
      <c r="B130" s="63">
        <f>IF(C130&lt;&gt;"",MONTH(C130),"")</f>
        <v>3</v>
      </c>
      <c r="C130" s="320">
        <v>42431</v>
      </c>
      <c r="D130" s="320" t="s">
        <v>681</v>
      </c>
      <c r="E130" s="320">
        <v>42431</v>
      </c>
      <c r="F130" s="523" t="s">
        <v>391</v>
      </c>
      <c r="G130" s="1000" t="s">
        <v>1192</v>
      </c>
      <c r="H130" s="7" t="s">
        <v>627</v>
      </c>
      <c r="I130" s="447">
        <v>1015</v>
      </c>
      <c r="J130" s="447">
        <v>12000</v>
      </c>
      <c r="K130" s="438"/>
      <c r="L130" s="447"/>
      <c r="M130" s="65">
        <v>12180000</v>
      </c>
      <c r="N130" s="323" t="s">
        <v>277</v>
      </c>
      <c r="O130" s="323" t="s">
        <v>8</v>
      </c>
      <c r="P130" s="85" t="str">
        <f>IF(AND('331-CT'!$E$7=TH!H130,OR(N130="331",O130="331")),"x","")</f>
        <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IF(AND('341-CT'!$H$9=H130,OR(LEFT(N130,3)=$W$7,LEFT(O130,3)=$W$7)),"x","")</f>
        <v/>
      </c>
      <c r="X130" s="85" t="str">
        <f>IF(OR(TH!N130=TH!$X$7,O130=TH!$X$7),"x","")</f>
        <v/>
      </c>
      <c r="Y130" s="85" t="str">
        <f>IF(AND(OR(N130="131",O130="131"),H130='131-CT'!$H$9),"x","")</f>
        <v/>
      </c>
      <c r="Z130" s="85"/>
      <c r="AA130" s="85" t="str">
        <f>IF(AND(MONTH(E130)='IN-NX'!$J$5,'IN-NX'!$D$7=D130),"x","")</f>
        <v/>
      </c>
      <c r="AB130" s="85" t="str">
        <f>IF(AND(OR(LEFT(TH!N130,2)="15",LEFT(TH!O130,2)="15"),'152-CT'!$J$8=TH!F130),"x","")</f>
        <v/>
      </c>
      <c r="AC130" s="85" t="str">
        <f>IF(AND(OR(LEFT(TH!N130,2)="15",LEFT(TH!O130,2)="15"),TK!$E$7=TH!F130),"x","")</f>
        <v/>
      </c>
      <c r="AD130" s="85" t="str">
        <f>IF(AND(N130="1521",MONTH(C130)='BK-NL'!$M$11),"x","")</f>
        <v/>
      </c>
    </row>
    <row r="131" spans="1:30" s="354" customFormat="1" ht="15.75" customHeight="1">
      <c r="A131" s="343" t="str">
        <f>IF(B131&lt;&gt;"",IF(AND(B131='IN-TC'!$S$4,OR(TH!N131="1111",TH!O131="1111")),TH!D131,""),"")</f>
        <v/>
      </c>
      <c r="B131" s="63">
        <f>IF(C131&lt;&gt;"",MONTH(C131),"")</f>
        <v>3</v>
      </c>
      <c r="C131" s="320">
        <v>42431</v>
      </c>
      <c r="D131" s="320" t="s">
        <v>681</v>
      </c>
      <c r="E131" s="320">
        <v>42431</v>
      </c>
      <c r="F131" s="523" t="s">
        <v>393</v>
      </c>
      <c r="G131" s="1000" t="s">
        <v>1192</v>
      </c>
      <c r="H131" s="7" t="s">
        <v>627</v>
      </c>
      <c r="I131" s="447">
        <v>375</v>
      </c>
      <c r="J131" s="447">
        <v>9500</v>
      </c>
      <c r="K131" s="438"/>
      <c r="L131" s="447"/>
      <c r="M131" s="65">
        <v>3562500</v>
      </c>
      <c r="N131" s="323" t="s">
        <v>277</v>
      </c>
      <c r="O131" s="323" t="s">
        <v>8</v>
      </c>
      <c r="P131" s="85" t="str">
        <f>IF(AND('331-CT'!$E$7=TH!H131,OR(N131="331",O131="331")),"x","")</f>
        <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IF(AND('341-CT'!$H$9=H131,OR(LEFT(N131,3)=$W$7,LEFT(O131,3)=$W$7)),"x","")</f>
        <v/>
      </c>
      <c r="X131" s="85" t="str">
        <f>IF(OR(TH!N131=TH!$X$7,O131=TH!$X$7),"x","")</f>
        <v/>
      </c>
      <c r="Y131" s="85" t="str">
        <f>IF(AND(OR(N131="131",O131="131"),H131='131-CT'!$H$9),"x","")</f>
        <v/>
      </c>
      <c r="Z131" s="85"/>
      <c r="AA131" s="85" t="str">
        <f>IF(AND(MONTH(E131)='IN-NX'!$J$5,'IN-NX'!$D$7=D131),"x","")</f>
        <v/>
      </c>
      <c r="AB131" s="85" t="str">
        <f>IF(AND(OR(LEFT(TH!N131,2)="15",LEFT(TH!O131,2)="15"),'152-CT'!$J$8=TH!F131),"x","")</f>
        <v/>
      </c>
      <c r="AC131" s="85" t="str">
        <f>IF(AND(OR(LEFT(TH!N131,2)="15",LEFT(TH!O131,2)="15"),TK!$E$7=TH!F131),"x","")</f>
        <v/>
      </c>
      <c r="AD131" s="85" t="str">
        <f>IF(AND(N131="1521",MONTH(C131)='BK-NL'!$M$11),"x","")</f>
        <v/>
      </c>
    </row>
    <row r="132" spans="1:30" ht="15.75" customHeight="1">
      <c r="A132" s="343" t="str">
        <f>IF(B132&lt;&gt;"",IF(AND(B132='IN-TC'!$S$4,OR(TH!N132="1111",TH!O132="1111")),TH!D132,""),"")</f>
        <v/>
      </c>
      <c r="B132" s="63">
        <f>IF(C132&lt;&gt;"",MONTH(C132),"")</f>
        <v>3</v>
      </c>
      <c r="C132" s="320">
        <v>42431</v>
      </c>
      <c r="D132" s="320" t="s">
        <v>681</v>
      </c>
      <c r="E132" s="320">
        <v>42431</v>
      </c>
      <c r="F132" s="321" t="s">
        <v>656</v>
      </c>
      <c r="G132" s="1000" t="s">
        <v>1192</v>
      </c>
      <c r="H132" s="7" t="s">
        <v>627</v>
      </c>
      <c r="I132" s="447"/>
      <c r="J132" s="447"/>
      <c r="K132" s="438"/>
      <c r="L132" s="447"/>
      <c r="M132" s="65">
        <v>1574250</v>
      </c>
      <c r="N132" s="323" t="s">
        <v>9</v>
      </c>
      <c r="O132" s="323" t="s">
        <v>8</v>
      </c>
      <c r="P132" s="85" t="str">
        <f>IF(AND('331-CT'!$E$7=TH!H132,OR(N132="331",O132="331")),"x","")</f>
        <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IF(AND('341-CT'!$H$9=H132,OR(LEFT(N132,3)=$W$7,LEFT(O132,3)=$W$7)),"x","")</f>
        <v/>
      </c>
      <c r="X132" s="85" t="str">
        <f>IF(OR(TH!N132=TH!$X$7,O132=TH!$X$7),"x","")</f>
        <v/>
      </c>
      <c r="Y132" s="85" t="str">
        <f>IF(AND(OR(N132="131",O132="131"),H132='131-CT'!$H$9),"x","")</f>
        <v/>
      </c>
      <c r="Z132" s="85"/>
      <c r="AA132" s="85" t="str">
        <f>IF(AND(MONTH(E132)='IN-NX'!$J$5,'IN-NX'!$D$7=D132),"x","")</f>
        <v/>
      </c>
      <c r="AB132" s="85" t="str">
        <f>IF(AND(OR(LEFT(TH!N132,2)="15",LEFT(TH!O132,2)="15"),'152-CT'!$J$8=TH!F132),"x","")</f>
        <v/>
      </c>
      <c r="AC132" s="85" t="str">
        <f>IF(AND(OR(LEFT(TH!N132,2)="15",LEFT(TH!O132,2)="15"),TK!$E$7=TH!F132),"x","")</f>
        <v/>
      </c>
      <c r="AD132" s="85" t="str">
        <f>IF(AND(N132="1521",MONTH(C132)='BK-NL'!$M$11),"x","")</f>
        <v/>
      </c>
    </row>
    <row r="133" spans="1:30" ht="15.75" customHeight="1">
      <c r="A133" s="343" t="str">
        <f>IF(B133&lt;&gt;"",IF(AND(B133='IN-TC'!$S$4,OR(TH!N133="1111",TH!O133="1111")),TH!D133,""),"")</f>
        <v/>
      </c>
      <c r="B133" s="63">
        <f t="shared" ref="B133:B134" si="29">IF(C133&lt;&gt;"",MONTH(C133),"")</f>
        <v>3</v>
      </c>
      <c r="C133" s="320">
        <v>42437</v>
      </c>
      <c r="D133" s="320" t="s">
        <v>682</v>
      </c>
      <c r="E133" s="320">
        <v>42437</v>
      </c>
      <c r="F133" s="321" t="s">
        <v>349</v>
      </c>
      <c r="G133" s="1000" t="s">
        <v>662</v>
      </c>
      <c r="H133" s="7" t="s">
        <v>679</v>
      </c>
      <c r="I133" s="447">
        <v>1000</v>
      </c>
      <c r="J133" s="447">
        <v>14095.237999999999</v>
      </c>
      <c r="K133" s="438"/>
      <c r="L133" s="447"/>
      <c r="M133" s="65">
        <v>14095238</v>
      </c>
      <c r="N133" s="323" t="s">
        <v>277</v>
      </c>
      <c r="O133" s="323" t="s">
        <v>8</v>
      </c>
      <c r="P133" s="85" t="str">
        <f>IF(AND('331-CT'!$E$7=TH!H133,OR(N133="331",O133="331")),"x","")</f>
        <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IF(AND('341-CT'!$H$9=H133,OR(LEFT(N133,3)=$W$7,LEFT(O133,3)=$W$7)),"x","")</f>
        <v/>
      </c>
      <c r="X133" s="85" t="str">
        <f>IF(OR(TH!N133=TH!$X$7,O133=TH!$X$7),"x","")</f>
        <v/>
      </c>
      <c r="Y133" s="85" t="str">
        <f>IF(AND(OR(N133="131",O133="131"),H133='131-CT'!$H$9),"x","")</f>
        <v/>
      </c>
      <c r="Z133" s="85"/>
      <c r="AA133" s="85" t="str">
        <f>IF(AND(MONTH(E133)='IN-NX'!$J$5,'IN-NX'!$D$7=D133),"x","")</f>
        <v/>
      </c>
      <c r="AB133" s="85" t="str">
        <f>IF(AND(OR(LEFT(TH!N133,2)="15",LEFT(TH!O133,2)="15"),'152-CT'!$J$8=TH!F133),"x","")</f>
        <v/>
      </c>
      <c r="AC133" s="85" t="str">
        <f>IF(AND(OR(LEFT(TH!N133,2)="15",LEFT(TH!O133,2)="15"),TK!$E$7=TH!F133),"x","")</f>
        <v>x</v>
      </c>
      <c r="AD133" s="85" t="str">
        <f>IF(AND(N133="1521",MONTH(C133)='BK-NL'!$M$11),"x","")</f>
        <v/>
      </c>
    </row>
    <row r="134" spans="1:30" ht="15.75" customHeight="1">
      <c r="A134" s="343" t="str">
        <f>IF(B134&lt;&gt;"",IF(AND(B134='IN-TC'!$S$4,OR(TH!N134="1111",TH!O134="1111")),TH!D134,""),"")</f>
        <v/>
      </c>
      <c r="B134" s="63">
        <f t="shared" si="29"/>
        <v>3</v>
      </c>
      <c r="C134" s="320">
        <v>42437</v>
      </c>
      <c r="D134" s="320" t="s">
        <v>682</v>
      </c>
      <c r="E134" s="320">
        <v>42437</v>
      </c>
      <c r="F134" s="321" t="s">
        <v>653</v>
      </c>
      <c r="G134" s="1000" t="s">
        <v>662</v>
      </c>
      <c r="H134" s="7" t="s">
        <v>679</v>
      </c>
      <c r="I134" s="447"/>
      <c r="J134" s="447"/>
      <c r="K134" s="438"/>
      <c r="L134" s="447"/>
      <c r="M134" s="65">
        <v>704762</v>
      </c>
      <c r="N134" s="323" t="s">
        <v>9</v>
      </c>
      <c r="O134" s="323" t="s">
        <v>8</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IF(AND('341-CT'!$H$9=H134,OR(LEFT(N134,3)=$W$7,LEFT(O134,3)=$W$7)),"x","")</f>
        <v/>
      </c>
      <c r="X134" s="85" t="str">
        <f>IF(OR(TH!N134=TH!$X$7,O134=TH!$X$7),"x","")</f>
        <v/>
      </c>
      <c r="Y134" s="85" t="str">
        <f>IF(AND(OR(N134="131",O134="131"),H134='131-CT'!$H$9),"x","")</f>
        <v/>
      </c>
      <c r="Z134" s="85"/>
      <c r="AA134" s="85" t="str">
        <f>IF(AND(MONTH(E134)='IN-NX'!$J$5,'IN-NX'!$D$7=D134),"x","")</f>
        <v/>
      </c>
      <c r="AB134" s="85" t="str">
        <f>IF(AND(OR(LEFT(TH!N134,2)="15",LEFT(TH!O134,2)="15"),'152-CT'!$J$8=TH!F134),"x","")</f>
        <v/>
      </c>
      <c r="AC134" s="85" t="str">
        <f>IF(AND(OR(LEFT(TH!N134,2)="15",LEFT(TH!O134,2)="15"),TK!$E$7=TH!F134),"x","")</f>
        <v/>
      </c>
      <c r="AD134" s="85" t="str">
        <f>IF(AND(N134="1521",MONTH(C134)='BK-NL'!$M$11),"x","")</f>
        <v/>
      </c>
    </row>
    <row r="135" spans="1:30" ht="15.75" customHeight="1">
      <c r="A135" s="343" t="str">
        <f>IF(B135&lt;&gt;"",IF(AND(B135='IN-TC'!$S$4,OR(TH!N135="1111",TH!O135="1111")),TH!D135,""),"")</f>
        <v/>
      </c>
      <c r="B135" s="63">
        <f>IF(C135&lt;&gt;"",MONTH(C135),"")</f>
        <v>3</v>
      </c>
      <c r="C135" s="320">
        <v>42446</v>
      </c>
      <c r="D135" s="320" t="s">
        <v>683</v>
      </c>
      <c r="E135" s="320">
        <v>42446</v>
      </c>
      <c r="F135" s="321" t="s">
        <v>360</v>
      </c>
      <c r="G135" s="1000" t="s">
        <v>1153</v>
      </c>
      <c r="H135" s="7" t="s">
        <v>622</v>
      </c>
      <c r="I135" s="447">
        <v>600</v>
      </c>
      <c r="J135" s="447">
        <v>8500</v>
      </c>
      <c r="K135" s="438"/>
      <c r="L135" s="447"/>
      <c r="M135" s="65">
        <v>5100000</v>
      </c>
      <c r="N135" s="323" t="s">
        <v>277</v>
      </c>
      <c r="O135" s="323" t="s">
        <v>8</v>
      </c>
      <c r="P135" s="85" t="str">
        <f>IF(AND('331-CT'!$E$7=TH!H135,OR(N135="331",O135="331")),"x","")</f>
        <v>x</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IF(AND('341-CT'!$H$9=H135,OR(LEFT(N135,3)=$W$7,LEFT(O135,3)=$W$7)),"x","")</f>
        <v/>
      </c>
      <c r="X135" s="85" t="str">
        <f>IF(OR(TH!N135=TH!$X$7,O135=TH!$X$7),"x","")</f>
        <v/>
      </c>
      <c r="Y135" s="85" t="str">
        <f>IF(AND(OR(N135="131",O135="131"),H135='131-CT'!$H$9),"x","")</f>
        <v/>
      </c>
      <c r="Z135" s="85"/>
      <c r="AA135" s="85" t="str">
        <f>IF(AND(MONTH(E135)='IN-NX'!$J$5,'IN-NX'!$D$7=D135),"x","")</f>
        <v/>
      </c>
      <c r="AB135" s="85" t="str">
        <f>IF(AND(OR(LEFT(TH!N135,2)="15",LEFT(TH!O135,2)="15"),'152-CT'!$J$8=TH!F135),"x","")</f>
        <v/>
      </c>
      <c r="AC135" s="85" t="str">
        <f>IF(AND(OR(LEFT(TH!N135,2)="15",LEFT(TH!O135,2)="15"),TK!$E$7=TH!F135),"x","")</f>
        <v/>
      </c>
      <c r="AD135" s="85" t="str">
        <f>IF(AND(N135="1521",MONTH(C135)='BK-NL'!$M$11),"x","")</f>
        <v/>
      </c>
    </row>
    <row r="136" spans="1:30" ht="15.75" customHeight="1">
      <c r="A136" s="343" t="str">
        <f>IF(B136&lt;&gt;"",IF(AND(B136='IN-TC'!$S$4,OR(TH!N136="1111",TH!O136="1111")),TH!D136,""),"")</f>
        <v/>
      </c>
      <c r="B136" s="63">
        <f>IF(C136&lt;&gt;"",MONTH(C136),"")</f>
        <v>3</v>
      </c>
      <c r="C136" s="320">
        <v>42446</v>
      </c>
      <c r="D136" s="320" t="s">
        <v>683</v>
      </c>
      <c r="E136" s="320">
        <v>42446</v>
      </c>
      <c r="F136" s="321" t="s">
        <v>1193</v>
      </c>
      <c r="G136" s="1000" t="s">
        <v>1153</v>
      </c>
      <c r="H136" s="7" t="s">
        <v>622</v>
      </c>
      <c r="I136" s="447"/>
      <c r="J136" s="447"/>
      <c r="K136" s="438"/>
      <c r="L136" s="447"/>
      <c r="M136" s="65">
        <v>510000</v>
      </c>
      <c r="N136" s="323" t="s">
        <v>9</v>
      </c>
      <c r="O136" s="323" t="s">
        <v>8</v>
      </c>
      <c r="P136" s="85" t="str">
        <f>IF(AND('331-CT'!$E$7=TH!H136,OR(N136="331",O136="331")),"x","")</f>
        <v>x</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IF(AND('341-CT'!$H$9=H136,OR(LEFT(N136,3)=$W$7,LEFT(O136,3)=$W$7)),"x","")</f>
        <v/>
      </c>
      <c r="X136" s="85" t="str">
        <f>IF(OR(TH!N136=TH!$X$7,O136=TH!$X$7),"x","")</f>
        <v/>
      </c>
      <c r="Y136" s="85" t="str">
        <f>IF(AND(OR(N136="131",O136="131"),H136='131-CT'!$H$9),"x","")</f>
        <v/>
      </c>
      <c r="Z136" s="85"/>
      <c r="AA136" s="85" t="str">
        <f>IF(AND(MONTH(E136)='IN-NX'!$J$5,'IN-NX'!$D$7=D136),"x","")</f>
        <v/>
      </c>
      <c r="AB136" s="85" t="str">
        <f>IF(AND(OR(LEFT(TH!N136,2)="15",LEFT(TH!O136,2)="15"),'152-CT'!$J$8=TH!F136),"x","")</f>
        <v/>
      </c>
      <c r="AC136" s="85" t="str">
        <f>IF(AND(OR(LEFT(TH!N136,2)="15",LEFT(TH!O136,2)="15"),TK!$E$7=TH!F136),"x","")</f>
        <v/>
      </c>
      <c r="AD136" s="85" t="str">
        <f>IF(AND(N136="1521",MONTH(C136)='BK-NL'!$M$11),"x","")</f>
        <v/>
      </c>
    </row>
    <row r="137" spans="1:30" ht="15.75" customHeight="1">
      <c r="A137" s="343" t="str">
        <f>IF(B137&lt;&gt;"",IF(AND(B137='IN-TC'!$S$4,OR(TH!N137="1111",TH!O137="1111")),TH!D137,""),"")</f>
        <v/>
      </c>
      <c r="B137" s="63">
        <f t="shared" ref="B137:B149" si="30">IF(C137&lt;&gt;"",MONTH(C137),"")</f>
        <v>3</v>
      </c>
      <c r="C137" s="320">
        <v>42457</v>
      </c>
      <c r="D137" s="320" t="s">
        <v>684</v>
      </c>
      <c r="E137" s="320">
        <v>42457</v>
      </c>
      <c r="F137" s="321" t="s">
        <v>349</v>
      </c>
      <c r="G137" s="1000" t="s">
        <v>1369</v>
      </c>
      <c r="H137" s="7" t="s">
        <v>679</v>
      </c>
      <c r="I137" s="447">
        <v>1000</v>
      </c>
      <c r="J137" s="447">
        <v>14095.237999999999</v>
      </c>
      <c r="K137" s="438"/>
      <c r="L137" s="447"/>
      <c r="M137" s="65">
        <v>14095238</v>
      </c>
      <c r="N137" s="323" t="s">
        <v>277</v>
      </c>
      <c r="O137" s="323"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IF(AND('341-CT'!$H$9=H137,OR(LEFT(N137,3)=$W$7,LEFT(O137,3)=$W$7)),"x","")</f>
        <v/>
      </c>
      <c r="X137" s="85" t="str">
        <f>IF(OR(TH!N137=TH!$X$7,O137=TH!$X$7),"x","")</f>
        <v/>
      </c>
      <c r="Y137" s="85" t="str">
        <f>IF(AND(OR(N137="131",O137="131"),H137='131-CT'!$H$9),"x","")</f>
        <v/>
      </c>
      <c r="Z137" s="85"/>
      <c r="AA137" s="85" t="str">
        <f>IF(AND(MONTH(E137)='IN-NX'!$J$5,'IN-NX'!$D$7=D137),"x","")</f>
        <v/>
      </c>
      <c r="AB137" s="85" t="str">
        <f>IF(AND(OR(LEFT(TH!N137,2)="15",LEFT(TH!O137,2)="15"),'152-CT'!$J$8=TH!F137),"x","")</f>
        <v/>
      </c>
      <c r="AC137" s="85" t="str">
        <f>IF(AND(OR(LEFT(TH!N137,2)="15",LEFT(TH!O137,2)="15"),TK!$E$7=TH!F137),"x","")</f>
        <v>x</v>
      </c>
      <c r="AD137" s="85" t="str">
        <f>IF(AND(N137="1521",MONTH(C137)='BK-NL'!$M$11),"x","")</f>
        <v/>
      </c>
    </row>
    <row r="138" spans="1:30" ht="15.75" customHeight="1">
      <c r="A138" s="343" t="str">
        <f>IF(B138&lt;&gt;"",IF(AND(B138='IN-TC'!$S$4,OR(TH!N138="1111",TH!O138="1111")),TH!D138,""),"")</f>
        <v/>
      </c>
      <c r="B138" s="63">
        <f t="shared" si="30"/>
        <v>3</v>
      </c>
      <c r="C138" s="320">
        <v>42457</v>
      </c>
      <c r="D138" s="320" t="s">
        <v>684</v>
      </c>
      <c r="E138" s="320">
        <v>42457</v>
      </c>
      <c r="F138" s="321" t="s">
        <v>653</v>
      </c>
      <c r="G138" s="1000" t="s">
        <v>1369</v>
      </c>
      <c r="H138" s="7" t="s">
        <v>679</v>
      </c>
      <c r="I138" s="447"/>
      <c r="J138" s="447"/>
      <c r="K138" s="438"/>
      <c r="L138" s="447"/>
      <c r="M138" s="65">
        <v>704762</v>
      </c>
      <c r="N138" s="323" t="s">
        <v>9</v>
      </c>
      <c r="O138" s="323"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IF(AND('341-CT'!$H$9=H138,OR(LEFT(N138,3)=$W$7,LEFT(O138,3)=$W$7)),"x","")</f>
        <v/>
      </c>
      <c r="X138" s="85" t="str">
        <f>IF(OR(TH!N138=TH!$X$7,O138=TH!$X$7),"x","")</f>
        <v/>
      </c>
      <c r="Y138" s="85" t="str">
        <f>IF(AND(OR(N138="131",O138="131"),H138='131-CT'!$H$9),"x","")</f>
        <v/>
      </c>
      <c r="Z138" s="85"/>
      <c r="AA138" s="85" t="str">
        <f>IF(AND(MONTH(E138)='IN-NX'!$J$5,'IN-NX'!$D$7=D138),"x","")</f>
        <v/>
      </c>
      <c r="AB138" s="85" t="str">
        <f>IF(AND(OR(LEFT(TH!N138,2)="15",LEFT(TH!O138,2)="15"),'152-CT'!$J$8=TH!F138),"x","")</f>
        <v/>
      </c>
      <c r="AC138" s="85" t="str">
        <f>IF(AND(OR(LEFT(TH!N138,2)="15",LEFT(TH!O138,2)="15"),TK!$E$7=TH!F138),"x","")</f>
        <v/>
      </c>
      <c r="AD138" s="85" t="str">
        <f>IF(AND(N138="1521",MONTH(C138)='BK-NL'!$M$11),"x","")</f>
        <v/>
      </c>
    </row>
    <row r="139" spans="1:30" ht="15.75" customHeight="1">
      <c r="A139" s="343" t="str">
        <f>IF(B139&lt;&gt;"",IF(AND(B139='IN-TC'!$S$4,OR(TH!N139="1111",TH!O139="1111")),TH!D139,""),"")</f>
        <v/>
      </c>
      <c r="B139" s="63">
        <f>IF(C139&lt;&gt;"",MONTH(C139),"")</f>
        <v>3</v>
      </c>
      <c r="C139" s="64">
        <v>42459</v>
      </c>
      <c r="D139" s="320" t="s">
        <v>685</v>
      </c>
      <c r="E139" s="64">
        <f>C139</f>
        <v>42459</v>
      </c>
      <c r="F139" s="67" t="s">
        <v>225</v>
      </c>
      <c r="G139" s="996" t="s">
        <v>1373</v>
      </c>
      <c r="H139" s="7" t="s">
        <v>624</v>
      </c>
      <c r="I139" s="447">
        <v>450</v>
      </c>
      <c r="J139" s="447">
        <v>18414.14</v>
      </c>
      <c r="K139" s="438"/>
      <c r="L139" s="447"/>
      <c r="M139" s="65">
        <f t="shared" ref="M139" si="31">ROUND(I139*J139,0)</f>
        <v>8286363</v>
      </c>
      <c r="N139" s="66" t="s">
        <v>277</v>
      </c>
      <c r="O139" s="66" t="s">
        <v>8</v>
      </c>
      <c r="P139" s="85" t="str">
        <f>IF(AND('331-CT'!$E$7=TH!H139,OR(N139="331",O139="331")),"x","")</f>
        <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IF(AND('341-CT'!$H$9=H139,OR(LEFT(N139,3)=$W$7,LEFT(O139,3)=$W$7)),"x","")</f>
        <v/>
      </c>
      <c r="X139" s="85" t="str">
        <f>IF(OR(TH!N139=TH!$X$7,O139=TH!$X$7),"x","")</f>
        <v/>
      </c>
      <c r="Y139" s="85" t="str">
        <f>IF(AND(OR(N139="131",O139="131"),H139='131-CT'!$H$9),"x","")</f>
        <v/>
      </c>
      <c r="Z139" s="85"/>
      <c r="AA139" s="85" t="str">
        <f>IF(AND(MONTH(E139)='IN-NX'!$J$5,'IN-NX'!$D$7=D139),"x","")</f>
        <v/>
      </c>
      <c r="AB139" s="85" t="str">
        <f>IF(AND(OR(LEFT(TH!N139,2)="15",LEFT(TH!O139,2)="15"),'152-CT'!$J$8=TH!F139),"x","")</f>
        <v/>
      </c>
      <c r="AC139" s="85" t="str">
        <f>IF(AND(OR(LEFT(TH!N139,2)="15",LEFT(TH!O139,2)="15"),TK!$E$7=TH!F139),"x","")</f>
        <v/>
      </c>
      <c r="AD139" s="85" t="str">
        <f>IF(AND(N139="1521",MONTH(C139)='BK-NL'!$M$11),"x","")</f>
        <v/>
      </c>
    </row>
    <row r="140" spans="1:30" ht="15.75" customHeight="1">
      <c r="A140" s="343" t="str">
        <f>IF(B140&lt;&gt;"",IF(AND(B140='IN-TC'!$S$4,OR(TH!N140="1111",TH!O140="1111")),TH!D140,""),"")</f>
        <v/>
      </c>
      <c r="B140" s="63">
        <f>IF(C140&lt;&gt;"",MONTH(C140),"")</f>
        <v>3</v>
      </c>
      <c r="C140" s="64">
        <v>42459</v>
      </c>
      <c r="D140" s="320" t="s">
        <v>685</v>
      </c>
      <c r="E140" s="64">
        <f>C140</f>
        <v>42459</v>
      </c>
      <c r="F140" s="67" t="s">
        <v>1374</v>
      </c>
      <c r="G140" s="996" t="s">
        <v>1373</v>
      </c>
      <c r="H140" s="7" t="s">
        <v>624</v>
      </c>
      <c r="I140" s="447"/>
      <c r="J140" s="447"/>
      <c r="K140" s="438"/>
      <c r="L140" s="447"/>
      <c r="M140" s="65">
        <v>828636</v>
      </c>
      <c r="N140" s="66" t="s">
        <v>9</v>
      </c>
      <c r="O140" s="66" t="s">
        <v>8</v>
      </c>
      <c r="P140" s="85" t="str">
        <f>IF(AND('331-CT'!$E$7=TH!H140,OR(N140="331",O140="331")),"x","")</f>
        <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IF(AND('341-CT'!$H$9=H140,OR(LEFT(N140,3)=$W$7,LEFT(O140,3)=$W$7)),"x","")</f>
        <v/>
      </c>
      <c r="X140" s="85" t="str">
        <f>IF(OR(TH!N140=TH!$X$7,O140=TH!$X$7),"x","")</f>
        <v/>
      </c>
      <c r="Y140" s="85" t="str">
        <f>IF(AND(OR(N140="131",O140="131"),H140='131-CT'!$H$9),"x","")</f>
        <v/>
      </c>
      <c r="Z140" s="85"/>
      <c r="AA140" s="85" t="str">
        <f>IF(AND(MONTH(E140)='IN-NX'!$J$5,'IN-NX'!$D$7=D140),"x","")</f>
        <v/>
      </c>
      <c r="AB140" s="85" t="str">
        <f>IF(AND(OR(LEFT(TH!N140,2)="15",LEFT(TH!O140,2)="15"),'152-CT'!$J$8=TH!F140),"x","")</f>
        <v/>
      </c>
      <c r="AC140" s="85" t="str">
        <f>IF(AND(OR(LEFT(TH!N140,2)="15",LEFT(TH!O140,2)="15"),TK!$E$7=TH!F140),"x","")</f>
        <v/>
      </c>
      <c r="AD140" s="85" t="str">
        <f>IF(AND(N140="1521",MONTH(C140)='BK-NL'!$M$11),"x","")</f>
        <v/>
      </c>
    </row>
    <row r="141" spans="1:30" s="348" customFormat="1" ht="15.75" customHeight="1">
      <c r="A141" s="343" t="str">
        <f>IF(B141&lt;&gt;"",IF(AND(B141='IN-TC'!$S$4,OR(TH!N141="1111",TH!O141="1111")),TH!D141,""),"")</f>
        <v/>
      </c>
      <c r="B141" s="63">
        <f t="shared" si="30"/>
        <v>3</v>
      </c>
      <c r="C141" s="64">
        <v>42431</v>
      </c>
      <c r="D141" s="64" t="s">
        <v>690</v>
      </c>
      <c r="E141" s="64">
        <f>C141</f>
        <v>42431</v>
      </c>
      <c r="F141" s="67" t="s">
        <v>340</v>
      </c>
      <c r="G141" s="996"/>
      <c r="H141" s="74" t="s">
        <v>450</v>
      </c>
      <c r="I141" s="447">
        <v>50</v>
      </c>
      <c r="J141" s="447">
        <v>35444.444444444445</v>
      </c>
      <c r="K141" s="438"/>
      <c r="L141" s="447"/>
      <c r="M141" s="65">
        <f t="shared" ref="M141:M149" si="32">ROUND(I141*J141,0)</f>
        <v>1772222</v>
      </c>
      <c r="N141" s="66" t="s">
        <v>283</v>
      </c>
      <c r="O141" s="66" t="s">
        <v>277</v>
      </c>
      <c r="P141" s="85" t="str">
        <f>IF(AND('331-CT'!$E$7=TH!H141,OR(N141="331",O141="331")),"x","")</f>
        <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IF(AND('341-CT'!$H$9=H141,OR(LEFT(N141,3)=$W$7,LEFT(O141,3)=$W$7)),"x","")</f>
        <v/>
      </c>
      <c r="X141" s="85" t="str">
        <f>IF(OR(TH!N141=TH!$X$7,O141=TH!$X$7),"x","")</f>
        <v/>
      </c>
      <c r="Y141" s="85" t="str">
        <f>IF(AND(OR(N141="131",O141="131"),H141='131-CT'!$H$9),"x","")</f>
        <v/>
      </c>
      <c r="Z141" s="85"/>
      <c r="AA141" s="85" t="str">
        <f>IF(AND(MONTH(E141)='IN-NX'!$J$5,'IN-NX'!$D$7=D141),"x","")</f>
        <v/>
      </c>
      <c r="AB141" s="85" t="str">
        <f>IF(AND(OR(LEFT(TH!N141,2)="15",LEFT(TH!O141,2)="15"),'152-CT'!$J$8=TH!F141),"x","")</f>
        <v/>
      </c>
      <c r="AC141" s="85" t="str">
        <f>IF(AND(OR(LEFT(TH!N141,2)="15",LEFT(TH!O141,2)="15"),TK!$E$7=TH!F141),"x","")</f>
        <v/>
      </c>
      <c r="AD141" s="85" t="str">
        <f>IF(AND(N141="1521",MONTH(C141)='BK-NL'!$M$11),"x","")</f>
        <v/>
      </c>
    </row>
    <row r="142" spans="1:30" s="348" customFormat="1" ht="15.75" customHeight="1">
      <c r="A142" s="343" t="str">
        <f>IF(B142&lt;&gt;"",IF(AND(B142='IN-TC'!$S$4,OR(TH!N142="1111",TH!O142="1111")),TH!D142,""),"")</f>
        <v/>
      </c>
      <c r="B142" s="63">
        <f t="shared" si="30"/>
        <v>3</v>
      </c>
      <c r="C142" s="64">
        <v>42431</v>
      </c>
      <c r="D142" s="64" t="s">
        <v>690</v>
      </c>
      <c r="E142" s="64">
        <f t="shared" ref="E142:E149" si="33">C142</f>
        <v>42431</v>
      </c>
      <c r="F142" s="67" t="s">
        <v>346</v>
      </c>
      <c r="G142" s="996"/>
      <c r="H142" s="74" t="s">
        <v>450</v>
      </c>
      <c r="I142" s="447">
        <v>20</v>
      </c>
      <c r="J142" s="447">
        <v>46741.2</v>
      </c>
      <c r="K142" s="438"/>
      <c r="L142" s="447"/>
      <c r="M142" s="65">
        <f t="shared" si="32"/>
        <v>934824</v>
      </c>
      <c r="N142" s="66" t="s">
        <v>283</v>
      </c>
      <c r="O142" s="66" t="s">
        <v>277</v>
      </c>
      <c r="P142" s="85" t="str">
        <f>IF(AND('331-CT'!$E$7=TH!H142,OR(N142="331",O142="331")),"x","")</f>
        <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IF(AND('341-CT'!$H$9=H142,OR(LEFT(N142,3)=$W$7,LEFT(O142,3)=$W$7)),"x","")</f>
        <v/>
      </c>
      <c r="X142" s="85" t="str">
        <f>IF(OR(TH!N142=TH!$X$7,O142=TH!$X$7),"x","")</f>
        <v/>
      </c>
      <c r="Y142" s="85" t="str">
        <f>IF(AND(OR(N142="131",O142="131"),H142='131-CT'!$H$9),"x","")</f>
        <v/>
      </c>
      <c r="Z142" s="85"/>
      <c r="AA142" s="85" t="str">
        <f>IF(AND(MONTH(E142)='IN-NX'!$J$5,'IN-NX'!$D$7=D142),"x","")</f>
        <v/>
      </c>
      <c r="AB142" s="85" t="str">
        <f>IF(AND(OR(LEFT(TH!N142,2)="15",LEFT(TH!O142,2)="15"),'152-CT'!$J$8=TH!F142),"x","")</f>
        <v/>
      </c>
      <c r="AC142" s="85" t="str">
        <f>IF(AND(OR(LEFT(TH!N142,2)="15",LEFT(TH!O142,2)="15"),TK!$E$7=TH!F142),"x","")</f>
        <v/>
      </c>
      <c r="AD142" s="85" t="str">
        <f>IF(AND(N142="1521",MONTH(C142)='BK-NL'!$M$11),"x","")</f>
        <v/>
      </c>
    </row>
    <row r="143" spans="1:30" s="348" customFormat="1" ht="15.75" customHeight="1">
      <c r="A143" s="343" t="str">
        <f>IF(B143&lt;&gt;"",IF(AND(B143='IN-TC'!$S$4,OR(TH!N143="1111",TH!O143="1111")),TH!D143,""),"")</f>
        <v/>
      </c>
      <c r="B143" s="63">
        <f t="shared" si="30"/>
        <v>3</v>
      </c>
      <c r="C143" s="64">
        <v>42431</v>
      </c>
      <c r="D143" s="64" t="s">
        <v>690</v>
      </c>
      <c r="E143" s="64">
        <f t="shared" si="33"/>
        <v>42431</v>
      </c>
      <c r="F143" s="67" t="s">
        <v>349</v>
      </c>
      <c r="G143" s="67"/>
      <c r="H143" s="74" t="s">
        <v>450</v>
      </c>
      <c r="I143" s="447">
        <v>150</v>
      </c>
      <c r="J143" s="447">
        <v>13571.429</v>
      </c>
      <c r="K143" s="438"/>
      <c r="L143" s="447"/>
      <c r="M143" s="65">
        <f t="shared" si="32"/>
        <v>2035714</v>
      </c>
      <c r="N143" s="66" t="s">
        <v>283</v>
      </c>
      <c r="O143" s="66" t="s">
        <v>277</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IF(AND('341-CT'!$H$9=H143,OR(LEFT(N143,3)=$W$7,LEFT(O143,3)=$W$7)),"x","")</f>
        <v/>
      </c>
      <c r="X143" s="85" t="str">
        <f>IF(OR(TH!N143=TH!$X$7,O143=TH!$X$7),"x","")</f>
        <v/>
      </c>
      <c r="Y143" s="85" t="str">
        <f>IF(AND(OR(N143="131",O143="131"),H143='131-CT'!$H$9),"x","")</f>
        <v/>
      </c>
      <c r="Z143" s="85"/>
      <c r="AA143" s="85" t="str">
        <f>IF(AND(MONTH(E143)='IN-NX'!$J$5,'IN-NX'!$D$7=D143),"x","")</f>
        <v/>
      </c>
      <c r="AB143" s="85" t="str">
        <f>IF(AND(OR(LEFT(TH!N143,2)="15",LEFT(TH!O143,2)="15"),'152-CT'!$J$8=TH!F143),"x","")</f>
        <v/>
      </c>
      <c r="AC143" s="85" t="str">
        <f>IF(AND(OR(LEFT(TH!N143,2)="15",LEFT(TH!O143,2)="15"),TK!$E$7=TH!F143),"x","")</f>
        <v>x</v>
      </c>
      <c r="AD143" s="85" t="str">
        <f>IF(AND(N143="1521",MONTH(C143)='BK-NL'!$M$11),"x","")</f>
        <v/>
      </c>
    </row>
    <row r="144" spans="1:30" s="348" customFormat="1" ht="15.75" customHeight="1">
      <c r="A144" s="343" t="str">
        <f>IF(B144&lt;&gt;"",IF(AND(B144='IN-TC'!$S$4,OR(TH!N144="1111",TH!O144="1111")),TH!D144,""),"")</f>
        <v/>
      </c>
      <c r="B144" s="63">
        <f t="shared" si="30"/>
        <v>3</v>
      </c>
      <c r="C144" s="64">
        <v>42431</v>
      </c>
      <c r="D144" s="64" t="s">
        <v>690</v>
      </c>
      <c r="E144" s="64">
        <f t="shared" si="33"/>
        <v>42431</v>
      </c>
      <c r="F144" s="67" t="s">
        <v>225</v>
      </c>
      <c r="G144" s="67"/>
      <c r="H144" s="74" t="s">
        <v>450</v>
      </c>
      <c r="I144" s="447">
        <v>200</v>
      </c>
      <c r="J144" s="447">
        <v>21979.791919191921</v>
      </c>
      <c r="K144" s="438"/>
      <c r="L144" s="447"/>
      <c r="M144" s="65">
        <f t="shared" si="32"/>
        <v>4395958</v>
      </c>
      <c r="N144" s="66" t="s">
        <v>283</v>
      </c>
      <c r="O144" s="66" t="s">
        <v>277</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IF(AND('341-CT'!$H$9=H144,OR(LEFT(N144,3)=$W$7,LEFT(O144,3)=$W$7)),"x","")</f>
        <v/>
      </c>
      <c r="X144" s="85" t="str">
        <f>IF(OR(TH!N144=TH!$X$7,O144=TH!$X$7),"x","")</f>
        <v/>
      </c>
      <c r="Y144" s="85" t="str">
        <f>IF(AND(OR(N144="131",O144="131"),H144='131-CT'!$H$9),"x","")</f>
        <v/>
      </c>
      <c r="Z144" s="85"/>
      <c r="AA144" s="85" t="str">
        <f>IF(AND(MONTH(E144)='IN-NX'!$J$5,'IN-NX'!$D$7=D144),"x","")</f>
        <v/>
      </c>
      <c r="AB144" s="85" t="str">
        <f>IF(AND(OR(LEFT(TH!N144,2)="15",LEFT(TH!O144,2)="15"),'152-CT'!$J$8=TH!F144),"x","")</f>
        <v/>
      </c>
      <c r="AC144" s="85" t="str">
        <f>IF(AND(OR(LEFT(TH!N144,2)="15",LEFT(TH!O144,2)="15"),TK!$E$7=TH!F144),"x","")</f>
        <v/>
      </c>
      <c r="AD144" s="85" t="str">
        <f>IF(AND(N144="1521",MONTH(C144)='BK-NL'!$M$11),"x","")</f>
        <v/>
      </c>
    </row>
    <row r="145" spans="1:30" s="348" customFormat="1" ht="15.75" customHeight="1">
      <c r="A145" s="343" t="str">
        <f>IF(B145&lt;&gt;"",IF(AND(B145='IN-TC'!$S$4,OR(TH!N145="1111",TH!O145="1111")),TH!D145,""),"")</f>
        <v/>
      </c>
      <c r="B145" s="63">
        <f t="shared" si="30"/>
        <v>3</v>
      </c>
      <c r="C145" s="64">
        <v>42434</v>
      </c>
      <c r="D145" s="64" t="s">
        <v>691</v>
      </c>
      <c r="E145" s="64">
        <f t="shared" si="33"/>
        <v>42434</v>
      </c>
      <c r="F145" s="67" t="s">
        <v>357</v>
      </c>
      <c r="G145" s="67"/>
      <c r="H145" s="74" t="s">
        <v>450</v>
      </c>
      <c r="I145" s="447">
        <v>2160</v>
      </c>
      <c r="J145" s="447">
        <v>14900</v>
      </c>
      <c r="K145" s="438"/>
      <c r="L145" s="447"/>
      <c r="M145" s="65">
        <f t="shared" si="32"/>
        <v>32184000</v>
      </c>
      <c r="N145" s="66" t="s">
        <v>283</v>
      </c>
      <c r="O145" s="66" t="s">
        <v>277</v>
      </c>
      <c r="P145" s="85" t="str">
        <f>IF(AND('331-CT'!$E$7=TH!H145,OR(N145="331",O145="331")),"x","")</f>
        <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IF(AND('341-CT'!$H$9=H145,OR(LEFT(N145,3)=$W$7,LEFT(O145,3)=$W$7)),"x","")</f>
        <v/>
      </c>
      <c r="X145" s="85" t="str">
        <f>IF(OR(TH!N145=TH!$X$7,O145=TH!$X$7),"x","")</f>
        <v/>
      </c>
      <c r="Y145" s="85" t="str">
        <f>IF(AND(OR(N145="131",O145="131"),H145='131-CT'!$H$9),"x","")</f>
        <v/>
      </c>
      <c r="Z145" s="85"/>
      <c r="AA145" s="85" t="str">
        <f>IF(AND(MONTH(E145)='IN-NX'!$J$5,'IN-NX'!$D$7=D145),"x","")</f>
        <v/>
      </c>
      <c r="AB145" s="85" t="str">
        <f>IF(AND(OR(LEFT(TH!N145,2)="15",LEFT(TH!O145,2)="15"),'152-CT'!$J$8=TH!F145),"x","")</f>
        <v/>
      </c>
      <c r="AC145" s="85" t="str">
        <f>IF(AND(OR(LEFT(TH!N145,2)="15",LEFT(TH!O145,2)="15"),TK!$E$7=TH!F145),"x","")</f>
        <v/>
      </c>
      <c r="AD145" s="85" t="str">
        <f>IF(AND(N145="1521",MONTH(C145)='BK-NL'!$M$11),"x","")</f>
        <v/>
      </c>
    </row>
    <row r="146" spans="1:30" s="348" customFormat="1" ht="15.75" customHeight="1">
      <c r="A146" s="343" t="str">
        <f>IF(B146&lt;&gt;"",IF(AND(B146='IN-TC'!$S$4,OR(TH!N146="1111",TH!O146="1111")),TH!D146,""),"")</f>
        <v/>
      </c>
      <c r="B146" s="63">
        <f t="shared" si="30"/>
        <v>3</v>
      </c>
      <c r="C146" s="64">
        <v>42434</v>
      </c>
      <c r="D146" s="64" t="s">
        <v>691</v>
      </c>
      <c r="E146" s="64">
        <f t="shared" si="33"/>
        <v>42434</v>
      </c>
      <c r="F146" s="67" t="s">
        <v>360</v>
      </c>
      <c r="G146" s="67"/>
      <c r="H146" s="74" t="s">
        <v>450</v>
      </c>
      <c r="I146" s="447">
        <v>250</v>
      </c>
      <c r="J146" s="447">
        <v>8500</v>
      </c>
      <c r="K146" s="438"/>
      <c r="L146" s="447"/>
      <c r="M146" s="65">
        <f t="shared" si="32"/>
        <v>2125000</v>
      </c>
      <c r="N146" s="66" t="s">
        <v>283</v>
      </c>
      <c r="O146" s="66" t="s">
        <v>277</v>
      </c>
      <c r="P146" s="85" t="str">
        <f>IF(AND('331-CT'!$E$7=TH!H146,OR(N146="331",O146="331")),"x","")</f>
        <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IF(AND('341-CT'!$H$9=H146,OR(LEFT(N146,3)=$W$7,LEFT(O146,3)=$W$7)),"x","")</f>
        <v/>
      </c>
      <c r="X146" s="85" t="str">
        <f>IF(OR(TH!N146=TH!$X$7,O146=TH!$X$7),"x","")</f>
        <v/>
      </c>
      <c r="Y146" s="85" t="str">
        <f>IF(AND(OR(N146="131",O146="131"),H146='131-CT'!$H$9),"x","")</f>
        <v/>
      </c>
      <c r="Z146" s="85"/>
      <c r="AA146" s="85" t="str">
        <f>IF(AND(MONTH(E146)='IN-NX'!$J$5,'IN-NX'!$D$7=D146),"x","")</f>
        <v/>
      </c>
      <c r="AB146" s="85" t="str">
        <f>IF(AND(OR(LEFT(TH!N146,2)="15",LEFT(TH!O146,2)="15"),'152-CT'!$J$8=TH!F146),"x","")</f>
        <v/>
      </c>
      <c r="AC146" s="85" t="str">
        <f>IF(AND(OR(LEFT(TH!N146,2)="15",LEFT(TH!O146,2)="15"),TK!$E$7=TH!F146),"x","")</f>
        <v/>
      </c>
      <c r="AD146" s="85" t="str">
        <f>IF(AND(N146="1521",MONTH(C146)='BK-NL'!$M$11),"x","")</f>
        <v/>
      </c>
    </row>
    <row r="147" spans="1:30" s="348" customFormat="1" ht="15.75" customHeight="1">
      <c r="A147" s="343" t="str">
        <f>IF(B147&lt;&gt;"",IF(AND(B147='IN-TC'!$S$4,OR(TH!N147="1111",TH!O147="1111")),TH!D147,""),"")</f>
        <v/>
      </c>
      <c r="B147" s="63">
        <f t="shared" si="30"/>
        <v>3</v>
      </c>
      <c r="C147" s="64">
        <v>42434</v>
      </c>
      <c r="D147" s="64" t="s">
        <v>691</v>
      </c>
      <c r="E147" s="64">
        <f t="shared" si="33"/>
        <v>42434</v>
      </c>
      <c r="F147" s="67" t="s">
        <v>364</v>
      </c>
      <c r="G147" s="67"/>
      <c r="H147" s="74" t="s">
        <v>450</v>
      </c>
      <c r="I147" s="449">
        <v>150</v>
      </c>
      <c r="J147" s="449">
        <v>33000</v>
      </c>
      <c r="K147" s="440"/>
      <c r="L147" s="449"/>
      <c r="M147" s="65">
        <f t="shared" si="32"/>
        <v>4950000</v>
      </c>
      <c r="N147" s="66" t="s">
        <v>283</v>
      </c>
      <c r="O147" s="66" t="s">
        <v>277</v>
      </c>
      <c r="P147" s="85" t="str">
        <f>IF(AND('331-CT'!$E$7=TH!H147,OR(N147="331",O147="331")),"x","")</f>
        <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IF(AND('341-CT'!$H$9=H147,OR(LEFT(N147,3)=$W$7,LEFT(O147,3)=$W$7)),"x","")</f>
        <v/>
      </c>
      <c r="X147" s="85" t="str">
        <f>IF(OR(TH!N147=TH!$X$7,O147=TH!$X$7),"x","")</f>
        <v/>
      </c>
      <c r="Y147" s="85" t="str">
        <f>IF(AND(OR(N147="131",O147="131"),H147='131-CT'!$H$9),"x","")</f>
        <v/>
      </c>
      <c r="Z147" s="85"/>
      <c r="AA147" s="85" t="str">
        <f>IF(AND(MONTH(E147)='IN-NX'!$J$5,'IN-NX'!$D$7=D147),"x","")</f>
        <v/>
      </c>
      <c r="AB147" s="85" t="str">
        <f>IF(AND(OR(LEFT(TH!N147,2)="15",LEFT(TH!O147,2)="15"),'152-CT'!$J$8=TH!F147),"x","")</f>
        <v/>
      </c>
      <c r="AC147" s="85" t="str">
        <f>IF(AND(OR(LEFT(TH!N147,2)="15",LEFT(TH!O147,2)="15"),TK!$E$7=TH!F147),"x","")</f>
        <v/>
      </c>
      <c r="AD147" s="85" t="str">
        <f>IF(AND(N147="1521",MONTH(C147)='BK-NL'!$M$11),"x","")</f>
        <v/>
      </c>
    </row>
    <row r="148" spans="1:30" s="348" customFormat="1" ht="15.75" customHeight="1">
      <c r="A148" s="343" t="str">
        <f>IF(B148&lt;&gt;"",IF(AND(B148='IN-TC'!$S$4,OR(TH!N148="1111",TH!O148="1111")),TH!D148,""),"")</f>
        <v/>
      </c>
      <c r="B148" s="63">
        <f t="shared" ref="B148" si="34">IF(C148&lt;&gt;"",MONTH(C148),"")</f>
        <v>3</v>
      </c>
      <c r="C148" s="64">
        <v>42439</v>
      </c>
      <c r="D148" s="64" t="s">
        <v>692</v>
      </c>
      <c r="E148" s="64">
        <f t="shared" ref="E148" si="35">C148</f>
        <v>42439</v>
      </c>
      <c r="F148" s="67" t="s">
        <v>391</v>
      </c>
      <c r="G148" s="67"/>
      <c r="H148" s="74" t="s">
        <v>450</v>
      </c>
      <c r="I148" s="449">
        <v>1015</v>
      </c>
      <c r="J148" s="449">
        <v>12000</v>
      </c>
      <c r="K148" s="440"/>
      <c r="L148" s="449"/>
      <c r="M148" s="65">
        <f t="shared" ref="M148" si="36">ROUND(I148*J148,0)</f>
        <v>12180000</v>
      </c>
      <c r="N148" s="66" t="s">
        <v>283</v>
      </c>
      <c r="O148" s="66" t="s">
        <v>277</v>
      </c>
      <c r="P148" s="85" t="str">
        <f>IF(AND('331-CT'!$E$7=TH!H148,OR(N148="331",O148="331")),"x","")</f>
        <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IF(AND('341-CT'!$H$9=H148,OR(LEFT(N148,3)=$W$7,LEFT(O148,3)=$W$7)),"x","")</f>
        <v/>
      </c>
      <c r="X148" s="85" t="str">
        <f>IF(OR(TH!N148=TH!$X$7,O148=TH!$X$7),"x","")</f>
        <v/>
      </c>
      <c r="Y148" s="85" t="str">
        <f>IF(AND(OR(N148="131",O148="131"),H148='131-CT'!$H$9),"x","")</f>
        <v/>
      </c>
      <c r="Z148" s="85"/>
      <c r="AA148" s="85" t="str">
        <f>IF(AND(MONTH(E148)='IN-NX'!$J$5,'IN-NX'!$D$7=D148),"x","")</f>
        <v/>
      </c>
      <c r="AB148" s="85" t="str">
        <f>IF(AND(OR(LEFT(TH!N148,2)="15",LEFT(TH!O148,2)="15"),'152-CT'!$J$8=TH!F148),"x","")</f>
        <v/>
      </c>
      <c r="AC148" s="85" t="str">
        <f>IF(AND(OR(LEFT(TH!N148,2)="15",LEFT(TH!O148,2)="15"),TK!$E$7=TH!F148),"x","")</f>
        <v/>
      </c>
      <c r="AD148" s="85" t="str">
        <f>IF(AND(N148="1521",MONTH(C148)='BK-NL'!$M$11),"x","")</f>
        <v/>
      </c>
    </row>
    <row r="149" spans="1:30" s="348" customFormat="1" ht="15.75" customHeight="1">
      <c r="A149" s="343" t="str">
        <f>IF(B149&lt;&gt;"",IF(AND(B149='IN-TC'!$S$4,OR(TH!N149="1111",TH!O149="1111")),TH!D149,""),"")</f>
        <v/>
      </c>
      <c r="B149" s="63">
        <f t="shared" si="30"/>
        <v>3</v>
      </c>
      <c r="C149" s="64">
        <v>42439</v>
      </c>
      <c r="D149" s="64" t="s">
        <v>692</v>
      </c>
      <c r="E149" s="64">
        <f t="shared" si="33"/>
        <v>42439</v>
      </c>
      <c r="F149" s="67" t="s">
        <v>393</v>
      </c>
      <c r="G149" s="67"/>
      <c r="H149" s="74" t="s">
        <v>450</v>
      </c>
      <c r="I149" s="449">
        <v>375</v>
      </c>
      <c r="J149" s="449">
        <v>9500</v>
      </c>
      <c r="K149" s="440"/>
      <c r="L149" s="449"/>
      <c r="M149" s="65">
        <f t="shared" si="32"/>
        <v>3562500</v>
      </c>
      <c r="N149" s="66" t="s">
        <v>283</v>
      </c>
      <c r="O149" s="66" t="s">
        <v>277</v>
      </c>
      <c r="P149" s="85" t="str">
        <f>IF(AND('331-CT'!$E$7=TH!H149,OR(N149="331",O149="331")),"x","")</f>
        <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IF(AND('341-CT'!$H$9=H149,OR(LEFT(N149,3)=$W$7,LEFT(O149,3)=$W$7)),"x","")</f>
        <v/>
      </c>
      <c r="X149" s="85" t="str">
        <f>IF(OR(TH!N149=TH!$X$7,O149=TH!$X$7),"x","")</f>
        <v/>
      </c>
      <c r="Y149" s="85" t="str">
        <f>IF(AND(OR(N149="131",O149="131"),H149='131-CT'!$H$9),"x","")</f>
        <v/>
      </c>
      <c r="Z149" s="85"/>
      <c r="AA149" s="85" t="str">
        <f>IF(AND(MONTH(E149)='IN-NX'!$J$5,'IN-NX'!$D$7=D149),"x","")</f>
        <v/>
      </c>
      <c r="AB149" s="85" t="str">
        <f>IF(AND(OR(LEFT(TH!N149,2)="15",LEFT(TH!O149,2)="15"),'152-CT'!$J$8=TH!F149),"x","")</f>
        <v/>
      </c>
      <c r="AC149" s="85" t="str">
        <f>IF(AND(OR(LEFT(TH!N149,2)="15",LEFT(TH!O149,2)="15"),TK!$E$7=TH!F149),"x","")</f>
        <v/>
      </c>
      <c r="AD149" s="85" t="str">
        <f>IF(AND(N149="1521",MONTH(C149)='BK-NL'!$M$11),"x","")</f>
        <v/>
      </c>
    </row>
    <row r="150" spans="1:30" s="348" customFormat="1" ht="15.75" customHeight="1">
      <c r="A150" s="343" t="str">
        <f>IF(B150&lt;&gt;"",IF(AND(B150='IN-TC'!$S$4,OR(TH!N150="1111",TH!O150="1111")),TH!D150,""),"")</f>
        <v/>
      </c>
      <c r="B150" s="63">
        <f t="shared" ref="B150" si="37">IF(C150&lt;&gt;"",MONTH(C150),"")</f>
        <v>3</v>
      </c>
      <c r="C150" s="64">
        <v>42459</v>
      </c>
      <c r="D150" s="64" t="s">
        <v>693</v>
      </c>
      <c r="E150" s="64">
        <f t="shared" ref="E150" si="38">C150</f>
        <v>42459</v>
      </c>
      <c r="F150" s="67" t="s">
        <v>385</v>
      </c>
      <c r="G150" s="67"/>
      <c r="H150" s="74" t="s">
        <v>450</v>
      </c>
      <c r="I150" s="449">
        <v>2700</v>
      </c>
      <c r="J150" s="449">
        <v>4466.322284402353</v>
      </c>
      <c r="K150" s="440"/>
      <c r="L150" s="449"/>
      <c r="M150" s="65">
        <f t="shared" ref="M150" si="39">ROUND(I150*J150,0)</f>
        <v>12059070</v>
      </c>
      <c r="N150" s="66" t="s">
        <v>283</v>
      </c>
      <c r="O150" s="66" t="s">
        <v>277</v>
      </c>
      <c r="P150" s="85" t="str">
        <f>IF(AND('331-CT'!$E$7=TH!H150,OR(N150="331",O150="331")),"x","")</f>
        <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IF(AND('341-CT'!$H$9=H150,OR(LEFT(N150,3)=$W$7,LEFT(O150,3)=$W$7)),"x","")</f>
        <v/>
      </c>
      <c r="X150" s="85" t="str">
        <f>IF(OR(TH!N150=TH!$X$7,O150=TH!$X$7),"x","")</f>
        <v/>
      </c>
      <c r="Y150" s="85" t="str">
        <f>IF(AND(OR(N150="131",O150="131"),H150='131-CT'!$H$9),"x","")</f>
        <v/>
      </c>
      <c r="Z150" s="85"/>
      <c r="AA150" s="85" t="str">
        <f>IF(AND(MONTH(E150)='IN-NX'!$J$5,'IN-NX'!$D$7=D150),"x","")</f>
        <v/>
      </c>
      <c r="AB150" s="85" t="str">
        <f>IF(AND(OR(LEFT(TH!N150,2)="15",LEFT(TH!O150,2)="15"),'152-CT'!$J$8=TH!F150),"x","")</f>
        <v>x</v>
      </c>
      <c r="AC150" s="85" t="str">
        <f>IF(AND(OR(LEFT(TH!N150,2)="15",LEFT(TH!O150,2)="15"),TK!$E$7=TH!F150),"x","")</f>
        <v/>
      </c>
      <c r="AD150" s="85" t="str">
        <f>IF(AND(N150="1521",MONTH(C150)='BK-NL'!$M$11),"x","")</f>
        <v/>
      </c>
    </row>
    <row r="151" spans="1:30" ht="15.75" customHeight="1">
      <c r="A151" s="343" t="str">
        <f>IF(B151&lt;&gt;"",IF(AND(B151='IN-TC'!$S$4,OR(TH!N151="1111",TH!O151="1111")),TH!D151,""),"")</f>
        <v/>
      </c>
      <c r="B151" s="63">
        <f t="shared" si="25"/>
        <v>1</v>
      </c>
      <c r="C151" s="64">
        <f>E151</f>
        <v>42374</v>
      </c>
      <c r="D151" s="64" t="s">
        <v>945</v>
      </c>
      <c r="E151" s="64">
        <v>42374</v>
      </c>
      <c r="F151" s="67" t="s">
        <v>688</v>
      </c>
      <c r="G151" s="67"/>
      <c r="H151" s="75" t="s">
        <v>429</v>
      </c>
      <c r="I151" s="450">
        <v>7150</v>
      </c>
      <c r="J151" s="450">
        <v>16000</v>
      </c>
      <c r="K151" s="441"/>
      <c r="L151" s="450"/>
      <c r="M151" s="65">
        <f>ROUND(I151*J151,0)</f>
        <v>114400000</v>
      </c>
      <c r="N151" s="66" t="s">
        <v>275</v>
      </c>
      <c r="O151" s="66" t="s">
        <v>8</v>
      </c>
      <c r="P151" s="85" t="str">
        <f>IF(AND('331-CT'!$E$7=TH!H151,OR(N151="331",O151="331")),"x","")</f>
        <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IF(AND('341-CT'!$H$9=H151,OR(LEFT(N151,3)=$W$7,LEFT(O151,3)=$W$7)),"x","")</f>
        <v/>
      </c>
      <c r="X151" s="85" t="str">
        <f>IF(OR(TH!N151=TH!$X$7,O151=TH!$X$7),"x","")</f>
        <v/>
      </c>
      <c r="Y151" s="85" t="str">
        <f>IF(AND(OR(N151="131",O151="131"),H151='131-CT'!$H$9),"x","")</f>
        <v/>
      </c>
      <c r="Z151" s="85"/>
      <c r="AA151" s="85" t="str">
        <f>IF(AND(MONTH(E151)='IN-NX'!$J$5,'IN-NX'!$D$7=D151),"x","")</f>
        <v/>
      </c>
      <c r="AB151" s="85" t="str">
        <f>IF(AND(OR(LEFT(TH!N151,2)="15",LEFT(TH!O151,2)="15"),'152-CT'!$J$8=TH!F151),"x","")</f>
        <v/>
      </c>
      <c r="AC151" s="85" t="str">
        <f>IF(AND(OR(LEFT(TH!N151,2)="15",LEFT(TH!O151,2)="15"),TK!$E$7=TH!F151),"x","")</f>
        <v/>
      </c>
      <c r="AD151" s="85" t="str">
        <f>IF(AND(N151="1521",MONTH(C151)='BK-NL'!$M$11),"x","")</f>
        <v/>
      </c>
    </row>
    <row r="152" spans="1:30" ht="15.75" customHeight="1">
      <c r="A152" s="343" t="str">
        <f>IF(B152&lt;&gt;"",IF(AND(B152='IN-TC'!$S$4,OR(TH!N152="1111",TH!O152="1111")),TH!D152,""),"")</f>
        <v/>
      </c>
      <c r="B152" s="63">
        <f t="shared" si="25"/>
        <v>1</v>
      </c>
      <c r="C152" s="64">
        <f t="shared" ref="C152:C165" si="40">E152</f>
        <v>42374</v>
      </c>
      <c r="D152" s="64" t="s">
        <v>946</v>
      </c>
      <c r="E152" s="64">
        <v>42374</v>
      </c>
      <c r="F152" s="67" t="s">
        <v>688</v>
      </c>
      <c r="G152" s="67"/>
      <c r="H152" s="74" t="s">
        <v>432</v>
      </c>
      <c r="I152" s="447">
        <v>6870</v>
      </c>
      <c r="J152" s="450">
        <v>16000</v>
      </c>
      <c r="K152" s="438"/>
      <c r="L152" s="447"/>
      <c r="M152" s="65">
        <f t="shared" ref="M152:M165" si="41">ROUND(I152*J152,0)</f>
        <v>109920000</v>
      </c>
      <c r="N152" s="66" t="s">
        <v>275</v>
      </c>
      <c r="O152" s="66" t="s">
        <v>8</v>
      </c>
      <c r="P152" s="85" t="str">
        <f>IF(AND('331-CT'!$E$7=TH!H152,OR(N152="331",O152="331")),"x","")</f>
        <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IF(AND('341-CT'!$H$9=H152,OR(LEFT(N152,3)=$W$7,LEFT(O152,3)=$W$7)),"x","")</f>
        <v/>
      </c>
      <c r="X152" s="85" t="str">
        <f>IF(OR(TH!N152=TH!$X$7,O152=TH!$X$7),"x","")</f>
        <v/>
      </c>
      <c r="Y152" s="85" t="str">
        <f>IF(AND(OR(N152="131",O152="131"),H152='131-CT'!$H$9),"x","")</f>
        <v/>
      </c>
      <c r="Z152" s="85"/>
      <c r="AA152" s="85" t="str">
        <f>IF(AND(MONTH(E152)='IN-NX'!$J$5,'IN-NX'!$D$7=D152),"x","")</f>
        <v/>
      </c>
      <c r="AB152" s="85" t="str">
        <f>IF(AND(OR(LEFT(TH!N152,2)="15",LEFT(TH!O152,2)="15"),'152-CT'!$J$8=TH!F152),"x","")</f>
        <v/>
      </c>
      <c r="AC152" s="85" t="str">
        <f>IF(AND(OR(LEFT(TH!N152,2)="15",LEFT(TH!O152,2)="15"),TK!$E$7=TH!F152),"x","")</f>
        <v/>
      </c>
      <c r="AD152" s="85" t="str">
        <f>IF(AND(N152="1521",MONTH(C152)='BK-NL'!$M$11),"x","")</f>
        <v/>
      </c>
    </row>
    <row r="153" spans="1:30" ht="15.75" customHeight="1">
      <c r="A153" s="343" t="str">
        <f>IF(B153&lt;&gt;"",IF(AND(B153='IN-TC'!$S$4,OR(TH!N153="1111",TH!O153="1111")),TH!D153,""),"")</f>
        <v/>
      </c>
      <c r="B153" s="63">
        <f t="shared" si="25"/>
        <v>1</v>
      </c>
      <c r="C153" s="64">
        <f t="shared" si="40"/>
        <v>42374</v>
      </c>
      <c r="D153" s="64" t="s">
        <v>947</v>
      </c>
      <c r="E153" s="64">
        <v>42374</v>
      </c>
      <c r="F153" s="67" t="s">
        <v>688</v>
      </c>
      <c r="G153" s="67"/>
      <c r="H153" s="74" t="s">
        <v>434</v>
      </c>
      <c r="I153" s="447">
        <v>7120</v>
      </c>
      <c r="J153" s="450">
        <v>16000</v>
      </c>
      <c r="K153" s="438"/>
      <c r="L153" s="447"/>
      <c r="M153" s="65">
        <f t="shared" si="41"/>
        <v>113920000</v>
      </c>
      <c r="N153" s="66" t="s">
        <v>275</v>
      </c>
      <c r="O153" s="66"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IF(AND('341-CT'!$H$9=H153,OR(LEFT(N153,3)=$W$7,LEFT(O153,3)=$W$7)),"x","")</f>
        <v/>
      </c>
      <c r="X153" s="85" t="str">
        <f>IF(OR(TH!N153=TH!$X$7,O153=TH!$X$7),"x","")</f>
        <v/>
      </c>
      <c r="Y153" s="85" t="str">
        <f>IF(AND(OR(N153="131",O153="131"),H153='131-CT'!$H$9),"x","")</f>
        <v/>
      </c>
      <c r="Z153" s="85"/>
      <c r="AA153" s="85" t="str">
        <f>IF(AND(MONTH(E153)='IN-NX'!$J$5,'IN-NX'!$D$7=D153),"x","")</f>
        <v/>
      </c>
      <c r="AB153" s="85" t="str">
        <f>IF(AND(OR(LEFT(TH!N153,2)="15",LEFT(TH!O153,2)="15"),'152-CT'!$J$8=TH!F153),"x","")</f>
        <v/>
      </c>
      <c r="AC153" s="85" t="str">
        <f>IF(AND(OR(LEFT(TH!N153,2)="15",LEFT(TH!O153,2)="15"),TK!$E$7=TH!F153),"x","")</f>
        <v/>
      </c>
      <c r="AD153" s="85" t="str">
        <f>IF(AND(N153="1521",MONTH(C153)='BK-NL'!$M$11),"x","")</f>
        <v/>
      </c>
    </row>
    <row r="154" spans="1:30" ht="15.75" customHeight="1">
      <c r="A154" s="343" t="str">
        <f>IF(B154&lt;&gt;"",IF(AND(B154='IN-TC'!$S$4,OR(TH!N154="1111",TH!O154="1111")),TH!D154,""),"")</f>
        <v/>
      </c>
      <c r="B154" s="63">
        <f t="shared" si="25"/>
        <v>1</v>
      </c>
      <c r="C154" s="64">
        <f t="shared" si="40"/>
        <v>42380</v>
      </c>
      <c r="D154" s="64" t="s">
        <v>948</v>
      </c>
      <c r="E154" s="64">
        <v>42380</v>
      </c>
      <c r="F154" s="67" t="s">
        <v>688</v>
      </c>
      <c r="G154" s="67"/>
      <c r="H154" s="74" t="s">
        <v>432</v>
      </c>
      <c r="I154" s="447">
        <v>6854</v>
      </c>
      <c r="J154" s="450">
        <v>16000</v>
      </c>
      <c r="K154" s="438"/>
      <c r="L154" s="447"/>
      <c r="M154" s="65">
        <f t="shared" si="41"/>
        <v>109664000</v>
      </c>
      <c r="N154" s="66" t="s">
        <v>275</v>
      </c>
      <c r="O154" s="66"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IF(AND('341-CT'!$H$9=H154,OR(LEFT(N154,3)=$W$7,LEFT(O154,3)=$W$7)),"x","")</f>
        <v/>
      </c>
      <c r="X154" s="85" t="str">
        <f>IF(OR(TH!N154=TH!$X$7,O154=TH!$X$7),"x","")</f>
        <v/>
      </c>
      <c r="Y154" s="85" t="str">
        <f>IF(AND(OR(N154="131",O154="131"),H154='131-CT'!$H$9),"x","")</f>
        <v/>
      </c>
      <c r="Z154" s="85"/>
      <c r="AA154" s="85" t="str">
        <f>IF(AND(MONTH(E154)='IN-NX'!$J$5,'IN-NX'!$D$7=D154),"x","")</f>
        <v/>
      </c>
      <c r="AB154" s="85" t="str">
        <f>IF(AND(OR(LEFT(TH!N154,2)="15",LEFT(TH!O154,2)="15"),'152-CT'!$J$8=TH!F154),"x","")</f>
        <v/>
      </c>
      <c r="AC154" s="85" t="str">
        <f>IF(AND(OR(LEFT(TH!N154,2)="15",LEFT(TH!O154,2)="15"),TK!$E$7=TH!F154),"x","")</f>
        <v/>
      </c>
      <c r="AD154" s="85" t="str">
        <f>IF(AND(N154="1521",MONTH(C154)='BK-NL'!$M$11),"x","")</f>
        <v/>
      </c>
    </row>
    <row r="155" spans="1:30" ht="15.75" customHeight="1">
      <c r="A155" s="343" t="str">
        <f>IF(B155&lt;&gt;"",IF(AND(B155='IN-TC'!$S$4,OR(TH!N155="1111",TH!O155="1111")),TH!D155,""),"")</f>
        <v/>
      </c>
      <c r="B155" s="63">
        <f t="shared" si="25"/>
        <v>1</v>
      </c>
      <c r="C155" s="64">
        <f t="shared" si="40"/>
        <v>42380</v>
      </c>
      <c r="D155" s="64" t="s">
        <v>949</v>
      </c>
      <c r="E155" s="64">
        <v>42380</v>
      </c>
      <c r="F155" s="67" t="s">
        <v>688</v>
      </c>
      <c r="G155" s="67"/>
      <c r="H155" s="74" t="s">
        <v>436</v>
      </c>
      <c r="I155" s="447">
        <v>7460</v>
      </c>
      <c r="J155" s="450">
        <v>16000</v>
      </c>
      <c r="K155" s="438"/>
      <c r="L155" s="447"/>
      <c r="M155" s="65">
        <f t="shared" si="41"/>
        <v>119360000</v>
      </c>
      <c r="N155" s="66" t="s">
        <v>275</v>
      </c>
      <c r="O155" s="66" t="s">
        <v>8</v>
      </c>
      <c r="P155" s="85" t="str">
        <f>IF(AND('331-CT'!$E$7=TH!H155,OR(N155="331",O155="331")),"x","")</f>
        <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IF(AND('341-CT'!$H$9=H155,OR(LEFT(N155,3)=$W$7,LEFT(O155,3)=$W$7)),"x","")</f>
        <v/>
      </c>
      <c r="X155" s="85" t="str">
        <f>IF(OR(TH!N155=TH!$X$7,O155=TH!$X$7),"x","")</f>
        <v/>
      </c>
      <c r="Y155" s="85" t="str">
        <f>IF(AND(OR(N155="131",O155="131"),H155='131-CT'!$H$9),"x","")</f>
        <v/>
      </c>
      <c r="Z155" s="85"/>
      <c r="AA155" s="85" t="str">
        <f>IF(AND(MONTH(E155)='IN-NX'!$J$5,'IN-NX'!$D$7=D155),"x","")</f>
        <v/>
      </c>
      <c r="AB155" s="85" t="str">
        <f>IF(AND(OR(LEFT(TH!N155,2)="15",LEFT(TH!O155,2)="15"),'152-CT'!$J$8=TH!F155),"x","")</f>
        <v/>
      </c>
      <c r="AC155" s="85" t="str">
        <f>IF(AND(OR(LEFT(TH!N155,2)="15",LEFT(TH!O155,2)="15"),TK!$E$7=TH!F155),"x","")</f>
        <v/>
      </c>
      <c r="AD155" s="85" t="str">
        <f>IF(AND(N155="1521",MONTH(C155)='BK-NL'!$M$11),"x","")</f>
        <v/>
      </c>
    </row>
    <row r="156" spans="1:30" ht="15.75" customHeight="1">
      <c r="A156" s="343" t="str">
        <f>IF(B156&lt;&gt;"",IF(AND(B156='IN-TC'!$S$4,OR(TH!N156="1111",TH!O156="1111")),TH!D156,""),"")</f>
        <v/>
      </c>
      <c r="B156" s="63">
        <f t="shared" si="25"/>
        <v>1</v>
      </c>
      <c r="C156" s="64">
        <f t="shared" si="40"/>
        <v>42380</v>
      </c>
      <c r="D156" s="64" t="s">
        <v>950</v>
      </c>
      <c r="E156" s="64">
        <v>42380</v>
      </c>
      <c r="F156" s="67" t="s">
        <v>688</v>
      </c>
      <c r="G156" s="67"/>
      <c r="H156" s="74" t="s">
        <v>438</v>
      </c>
      <c r="I156" s="447">
        <v>7780</v>
      </c>
      <c r="J156" s="450">
        <v>16000</v>
      </c>
      <c r="K156" s="438"/>
      <c r="L156" s="447"/>
      <c r="M156" s="65">
        <f t="shared" si="41"/>
        <v>124480000</v>
      </c>
      <c r="N156" s="66" t="s">
        <v>275</v>
      </c>
      <c r="O156" s="66" t="s">
        <v>8</v>
      </c>
      <c r="P156" s="85" t="str">
        <f>IF(AND('331-CT'!$E$7=TH!H156,OR(N156="331",O156="331")),"x","")</f>
        <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IF(AND('341-CT'!$H$9=H156,OR(LEFT(N156,3)=$W$7,LEFT(O156,3)=$W$7)),"x","")</f>
        <v/>
      </c>
      <c r="X156" s="85" t="str">
        <f>IF(OR(TH!N156=TH!$X$7,O156=TH!$X$7),"x","")</f>
        <v/>
      </c>
      <c r="Y156" s="85" t="str">
        <f>IF(AND(OR(N156="131",O156="131"),H156='131-CT'!$H$9),"x","")</f>
        <v/>
      </c>
      <c r="Z156" s="85"/>
      <c r="AA156" s="85" t="str">
        <f>IF(AND(MONTH(E156)='IN-NX'!$J$5,'IN-NX'!$D$7=D156),"x","")</f>
        <v/>
      </c>
      <c r="AB156" s="85" t="str">
        <f>IF(AND(OR(LEFT(TH!N156,2)="15",LEFT(TH!O156,2)="15"),'152-CT'!$J$8=TH!F156),"x","")</f>
        <v/>
      </c>
      <c r="AC156" s="85" t="str">
        <f>IF(AND(OR(LEFT(TH!N156,2)="15",LEFT(TH!O156,2)="15"),TK!$E$7=TH!F156),"x","")</f>
        <v/>
      </c>
      <c r="AD156" s="85" t="str">
        <f>IF(AND(N156="1521",MONTH(C156)='BK-NL'!$M$11),"x","")</f>
        <v/>
      </c>
    </row>
    <row r="157" spans="1:30" ht="15.75" customHeight="1">
      <c r="A157" s="343" t="str">
        <f>IF(B157&lt;&gt;"",IF(AND(B157='IN-TC'!$S$4,OR(TH!N157="1111",TH!O157="1111")),TH!D157,""),"")</f>
        <v/>
      </c>
      <c r="B157" s="63">
        <f t="shared" si="25"/>
        <v>1</v>
      </c>
      <c r="C157" s="64">
        <f t="shared" si="40"/>
        <v>42384</v>
      </c>
      <c r="D157" s="64" t="s">
        <v>951</v>
      </c>
      <c r="E157" s="64">
        <v>42384</v>
      </c>
      <c r="F157" s="67" t="s">
        <v>688</v>
      </c>
      <c r="G157" s="67"/>
      <c r="H157" s="74" t="s">
        <v>439</v>
      </c>
      <c r="I157" s="447">
        <v>7013</v>
      </c>
      <c r="J157" s="450">
        <v>16000</v>
      </c>
      <c r="K157" s="438"/>
      <c r="L157" s="447"/>
      <c r="M157" s="65">
        <f t="shared" si="41"/>
        <v>112208000</v>
      </c>
      <c r="N157" s="66" t="s">
        <v>275</v>
      </c>
      <c r="O157" s="66" t="s">
        <v>8</v>
      </c>
      <c r="P157" s="85" t="str">
        <f>IF(AND('331-CT'!$E$7=TH!H157,OR(N157="331",O157="331")),"x","")</f>
        <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IF(AND('341-CT'!$H$9=H157,OR(LEFT(N157,3)=$W$7,LEFT(O157,3)=$W$7)),"x","")</f>
        <v/>
      </c>
      <c r="X157" s="85" t="str">
        <f>IF(OR(TH!N157=TH!$X$7,O157=TH!$X$7),"x","")</f>
        <v/>
      </c>
      <c r="Y157" s="85" t="str">
        <f>IF(AND(OR(N157="131",O157="131"),H157='131-CT'!$H$9),"x","")</f>
        <v/>
      </c>
      <c r="Z157" s="85"/>
      <c r="AA157" s="85" t="str">
        <f>IF(AND(MONTH(E157)='IN-NX'!$J$5,'IN-NX'!$D$7=D157),"x","")</f>
        <v/>
      </c>
      <c r="AB157" s="85" t="str">
        <f>IF(AND(OR(LEFT(TH!N157,2)="15",LEFT(TH!O157,2)="15"),'152-CT'!$J$8=TH!F157),"x","")</f>
        <v/>
      </c>
      <c r="AC157" s="85" t="str">
        <f>IF(AND(OR(LEFT(TH!N157,2)="15",LEFT(TH!O157,2)="15"),TK!$E$7=TH!F157),"x","")</f>
        <v/>
      </c>
      <c r="AD157" s="85" t="str">
        <f>IF(AND(N157="1521",MONTH(C157)='BK-NL'!$M$11),"x","")</f>
        <v/>
      </c>
    </row>
    <row r="158" spans="1:30" ht="15.75" customHeight="1">
      <c r="A158" s="343" t="str">
        <f>IF(B158&lt;&gt;"",IF(AND(B158='IN-TC'!$S$4,OR(TH!N158="1111",TH!O158="1111")),TH!D158,""),"")</f>
        <v/>
      </c>
      <c r="B158" s="63">
        <f t="shared" si="25"/>
        <v>1</v>
      </c>
      <c r="C158" s="64">
        <f t="shared" si="40"/>
        <v>42384</v>
      </c>
      <c r="D158" s="64" t="s">
        <v>952</v>
      </c>
      <c r="E158" s="64">
        <v>42384</v>
      </c>
      <c r="F158" s="67" t="s">
        <v>688</v>
      </c>
      <c r="G158" s="67"/>
      <c r="H158" s="74" t="s">
        <v>434</v>
      </c>
      <c r="I158" s="447">
        <v>7480</v>
      </c>
      <c r="J158" s="450">
        <v>16000</v>
      </c>
      <c r="K158" s="438"/>
      <c r="L158" s="447"/>
      <c r="M158" s="65">
        <f t="shared" si="41"/>
        <v>119680000</v>
      </c>
      <c r="N158" s="66" t="s">
        <v>275</v>
      </c>
      <c r="O158" s="66" t="s">
        <v>8</v>
      </c>
      <c r="P158" s="85" t="str">
        <f>IF(AND('331-CT'!$E$7=TH!H158,OR(N158="331",O158="331")),"x","")</f>
        <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IF(AND('341-CT'!$H$9=H158,OR(LEFT(N158,3)=$W$7,LEFT(O158,3)=$W$7)),"x","")</f>
        <v/>
      </c>
      <c r="X158" s="85" t="str">
        <f>IF(OR(TH!N158=TH!$X$7,O158=TH!$X$7),"x","")</f>
        <v/>
      </c>
      <c r="Y158" s="85" t="str">
        <f>IF(AND(OR(N158="131",O158="131"),H158='131-CT'!$H$9),"x","")</f>
        <v/>
      </c>
      <c r="Z158" s="85"/>
      <c r="AA158" s="85" t="str">
        <f>IF(AND(MONTH(E158)='IN-NX'!$J$5,'IN-NX'!$D$7=D158),"x","")</f>
        <v/>
      </c>
      <c r="AB158" s="85" t="str">
        <f>IF(AND(OR(LEFT(TH!N158,2)="15",LEFT(TH!O158,2)="15"),'152-CT'!$J$8=TH!F158),"x","")</f>
        <v/>
      </c>
      <c r="AC158" s="85" t="str">
        <f>IF(AND(OR(LEFT(TH!N158,2)="15",LEFT(TH!O158,2)="15"),TK!$E$7=TH!F158),"x","")</f>
        <v/>
      </c>
      <c r="AD158" s="85" t="str">
        <f>IF(AND(N158="1521",MONTH(C158)='BK-NL'!$M$11),"x","")</f>
        <v/>
      </c>
    </row>
    <row r="159" spans="1:30" ht="15.75" customHeight="1">
      <c r="A159" s="343" t="str">
        <f>IF(B159&lt;&gt;"",IF(AND(B159='IN-TC'!$S$4,OR(TH!N159="1111",TH!O159="1111")),TH!D159,""),"")</f>
        <v/>
      </c>
      <c r="B159" s="63">
        <f t="shared" si="25"/>
        <v>1</v>
      </c>
      <c r="C159" s="64">
        <f t="shared" si="40"/>
        <v>42384</v>
      </c>
      <c r="D159" s="64" t="s">
        <v>953</v>
      </c>
      <c r="E159" s="64">
        <v>42384</v>
      </c>
      <c r="F159" s="67" t="s">
        <v>688</v>
      </c>
      <c r="G159" s="67"/>
      <c r="H159" s="74" t="s">
        <v>436</v>
      </c>
      <c r="I159" s="447">
        <v>6820</v>
      </c>
      <c r="J159" s="450">
        <v>16000</v>
      </c>
      <c r="K159" s="438"/>
      <c r="L159" s="447"/>
      <c r="M159" s="65">
        <f t="shared" si="41"/>
        <v>109120000</v>
      </c>
      <c r="N159" s="66" t="s">
        <v>275</v>
      </c>
      <c r="O159" s="66" t="s">
        <v>8</v>
      </c>
      <c r="P159" s="85" t="str">
        <f>IF(AND('331-CT'!$E$7=TH!H159,OR(N159="331",O159="331")),"x","")</f>
        <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IF(AND('341-CT'!$H$9=H159,OR(LEFT(N159,3)=$W$7,LEFT(O159,3)=$W$7)),"x","")</f>
        <v/>
      </c>
      <c r="X159" s="85" t="str">
        <f>IF(OR(TH!N159=TH!$X$7,O159=TH!$X$7),"x","")</f>
        <v/>
      </c>
      <c r="Y159" s="85" t="str">
        <f>IF(AND(OR(N159="131",O159="131"),H159='131-CT'!$H$9),"x","")</f>
        <v/>
      </c>
      <c r="Z159" s="85"/>
      <c r="AA159" s="85" t="str">
        <f>IF(AND(MONTH(E159)='IN-NX'!$J$5,'IN-NX'!$D$7=D159),"x","")</f>
        <v/>
      </c>
      <c r="AB159" s="85" t="str">
        <f>IF(AND(OR(LEFT(TH!N159,2)="15",LEFT(TH!O159,2)="15"),'152-CT'!$J$8=TH!F159),"x","")</f>
        <v/>
      </c>
      <c r="AC159" s="85" t="str">
        <f>IF(AND(OR(LEFT(TH!N159,2)="15",LEFT(TH!O159,2)="15"),TK!$E$7=TH!F159),"x","")</f>
        <v/>
      </c>
      <c r="AD159" s="85" t="str">
        <f>IF(AND(N159="1521",MONTH(C159)='BK-NL'!$M$11),"x","")</f>
        <v/>
      </c>
    </row>
    <row r="160" spans="1:30" ht="15.75" customHeight="1">
      <c r="A160" s="343" t="str">
        <f>IF(B160&lt;&gt;"",IF(AND(B160='IN-TC'!$S$4,OR(TH!N160="1111",TH!O160="1111")),TH!D160,""),"")</f>
        <v/>
      </c>
      <c r="B160" s="63">
        <f t="shared" si="25"/>
        <v>1</v>
      </c>
      <c r="C160" s="64">
        <f t="shared" si="40"/>
        <v>42390</v>
      </c>
      <c r="D160" s="64" t="s">
        <v>954</v>
      </c>
      <c r="E160" s="64">
        <v>42390</v>
      </c>
      <c r="F160" s="67" t="s">
        <v>688</v>
      </c>
      <c r="G160" s="67"/>
      <c r="H160" s="74" t="s">
        <v>445</v>
      </c>
      <c r="I160" s="447">
        <v>7120</v>
      </c>
      <c r="J160" s="450">
        <v>16000</v>
      </c>
      <c r="K160" s="438"/>
      <c r="L160" s="447"/>
      <c r="M160" s="65">
        <f t="shared" si="41"/>
        <v>113920000</v>
      </c>
      <c r="N160" s="66" t="s">
        <v>275</v>
      </c>
      <c r="O160" s="66" t="s">
        <v>8</v>
      </c>
      <c r="P160" s="85" t="str">
        <f>IF(AND('331-CT'!$E$7=TH!H160,OR(N160="331",O160="331")),"x","")</f>
        <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IF(AND('341-CT'!$H$9=H160,OR(LEFT(N160,3)=$W$7,LEFT(O160,3)=$W$7)),"x","")</f>
        <v/>
      </c>
      <c r="X160" s="85" t="str">
        <f>IF(OR(TH!N160=TH!$X$7,O160=TH!$X$7),"x","")</f>
        <v/>
      </c>
      <c r="Y160" s="85" t="str">
        <f>IF(AND(OR(N160="131",O160="131"),H160='131-CT'!$H$9),"x","")</f>
        <v/>
      </c>
      <c r="Z160" s="85"/>
      <c r="AA160" s="85" t="str">
        <f>IF(AND(MONTH(E160)='IN-NX'!$J$5,'IN-NX'!$D$7=D160),"x","")</f>
        <v/>
      </c>
      <c r="AB160" s="85" t="str">
        <f>IF(AND(OR(LEFT(TH!N160,2)="15",LEFT(TH!O160,2)="15"),'152-CT'!$J$8=TH!F160),"x","")</f>
        <v/>
      </c>
      <c r="AC160" s="85" t="str">
        <f>IF(AND(OR(LEFT(TH!N160,2)="15",LEFT(TH!O160,2)="15"),TK!$E$7=TH!F160),"x","")</f>
        <v/>
      </c>
      <c r="AD160" s="85" t="str">
        <f>IF(AND(N160="1521",MONTH(C160)='BK-NL'!$M$11),"x","")</f>
        <v/>
      </c>
    </row>
    <row r="161" spans="1:30" ht="15.75" customHeight="1">
      <c r="A161" s="343" t="str">
        <f>IF(B161&lt;&gt;"",IF(AND(B161='IN-TC'!$S$4,OR(TH!N161="1111",TH!O161="1111")),TH!D161,""),"")</f>
        <v/>
      </c>
      <c r="B161" s="63">
        <f t="shared" si="25"/>
        <v>1</v>
      </c>
      <c r="C161" s="64">
        <f t="shared" si="40"/>
        <v>42390</v>
      </c>
      <c r="D161" s="64" t="s">
        <v>955</v>
      </c>
      <c r="E161" s="64">
        <v>42390</v>
      </c>
      <c r="F161" s="67" t="s">
        <v>688</v>
      </c>
      <c r="G161" s="67"/>
      <c r="H161" s="74" t="s">
        <v>447</v>
      </c>
      <c r="I161" s="447">
        <v>6433</v>
      </c>
      <c r="J161" s="450">
        <v>16000</v>
      </c>
      <c r="K161" s="438"/>
      <c r="L161" s="447"/>
      <c r="M161" s="65">
        <f t="shared" si="41"/>
        <v>102928000</v>
      </c>
      <c r="N161" s="66" t="s">
        <v>275</v>
      </c>
      <c r="O161" s="66" t="s">
        <v>8</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IF(AND('341-CT'!$H$9=H161,OR(LEFT(N161,3)=$W$7,LEFT(O161,3)=$W$7)),"x","")</f>
        <v/>
      </c>
      <c r="X161" s="85" t="str">
        <f>IF(OR(TH!N161=TH!$X$7,O161=TH!$X$7),"x","")</f>
        <v/>
      </c>
      <c r="Y161" s="85" t="str">
        <f>IF(AND(OR(N161="131",O161="131"),H161='131-CT'!$H$9),"x","")</f>
        <v/>
      </c>
      <c r="Z161" s="85"/>
      <c r="AA161" s="85" t="str">
        <f>IF(AND(MONTH(E161)='IN-NX'!$J$5,'IN-NX'!$D$7=D161),"x","")</f>
        <v/>
      </c>
      <c r="AB161" s="85" t="str">
        <f>IF(AND(OR(LEFT(TH!N161,2)="15",LEFT(TH!O161,2)="15"),'152-CT'!$J$8=TH!F161),"x","")</f>
        <v/>
      </c>
      <c r="AC161" s="85" t="str">
        <f>IF(AND(OR(LEFT(TH!N161,2)="15",LEFT(TH!O161,2)="15"),TK!$E$7=TH!F161),"x","")</f>
        <v/>
      </c>
      <c r="AD161" s="85" t="str">
        <f>IF(AND(N161="1521",MONTH(C161)='BK-NL'!$M$11),"x","")</f>
        <v/>
      </c>
    </row>
    <row r="162" spans="1:30" ht="15.75" customHeight="1">
      <c r="A162" s="343" t="str">
        <f>IF(B162&lt;&gt;"",IF(AND(B162='IN-TC'!$S$4,OR(TH!N162="1111",TH!O162="1111")),TH!D162,""),"")</f>
        <v/>
      </c>
      <c r="B162" s="63">
        <f t="shared" si="25"/>
        <v>1</v>
      </c>
      <c r="C162" s="64">
        <f t="shared" si="40"/>
        <v>42376</v>
      </c>
      <c r="D162" s="64" t="s">
        <v>697</v>
      </c>
      <c r="E162" s="64">
        <v>42376</v>
      </c>
      <c r="F162" s="67" t="s">
        <v>688</v>
      </c>
      <c r="G162" s="67"/>
      <c r="H162" s="74" t="s">
        <v>450</v>
      </c>
      <c r="I162" s="447">
        <v>21140</v>
      </c>
      <c r="J162" s="450">
        <v>16000</v>
      </c>
      <c r="K162" s="438"/>
      <c r="L162" s="447"/>
      <c r="M162" s="65">
        <f t="shared" si="41"/>
        <v>338240000</v>
      </c>
      <c r="N162" s="66" t="s">
        <v>283</v>
      </c>
      <c r="O162" s="66" t="s">
        <v>275</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IF(AND('341-CT'!$H$9=H162,OR(LEFT(N162,3)=$W$7,LEFT(O162,3)=$W$7)),"x","")</f>
        <v/>
      </c>
      <c r="X162" s="85" t="str">
        <f>IF(OR(TH!N162=TH!$X$7,O162=TH!$X$7),"x","")</f>
        <v/>
      </c>
      <c r="Y162" s="85" t="str">
        <f>IF(AND(OR(N162="131",O162="131"),H162='131-CT'!$H$9),"x","")</f>
        <v/>
      </c>
      <c r="Z162" s="85"/>
      <c r="AA162" s="85" t="str">
        <f>IF(AND(MONTH(E162)='IN-NX'!$J$5,'IN-NX'!$D$7=D162),"x","")</f>
        <v/>
      </c>
      <c r="AB162" s="85" t="str">
        <f>IF(AND(OR(LEFT(TH!N162,2)="15",LEFT(TH!O162,2)="15"),'152-CT'!$J$8=TH!F162),"x","")</f>
        <v/>
      </c>
      <c r="AC162" s="85" t="str">
        <f>IF(AND(OR(LEFT(TH!N162,2)="15",LEFT(TH!O162,2)="15"),TK!$E$7=TH!F162),"x","")</f>
        <v/>
      </c>
      <c r="AD162" s="85" t="str">
        <f>IF(AND(N162="1521",MONTH(C162)='BK-NL'!$M$11),"x","")</f>
        <v/>
      </c>
    </row>
    <row r="163" spans="1:30" ht="15.75" customHeight="1">
      <c r="A163" s="343" t="str">
        <f>IF(B163&lt;&gt;"",IF(AND(B163='IN-TC'!$S$4,OR(TH!N163="1111",TH!O163="1111")),TH!D163,""),"")</f>
        <v/>
      </c>
      <c r="B163" s="63">
        <f t="shared" si="25"/>
        <v>1</v>
      </c>
      <c r="C163" s="64">
        <f t="shared" si="40"/>
        <v>42380</v>
      </c>
      <c r="D163" s="64" t="s">
        <v>698</v>
      </c>
      <c r="E163" s="64">
        <v>42380</v>
      </c>
      <c r="F163" s="67" t="s">
        <v>688</v>
      </c>
      <c r="G163" s="67"/>
      <c r="H163" s="74" t="s">
        <v>450</v>
      </c>
      <c r="I163" s="447">
        <v>22094</v>
      </c>
      <c r="J163" s="450">
        <v>16000</v>
      </c>
      <c r="K163" s="438"/>
      <c r="L163" s="447"/>
      <c r="M163" s="65">
        <f t="shared" si="41"/>
        <v>353504000</v>
      </c>
      <c r="N163" s="66" t="s">
        <v>283</v>
      </c>
      <c r="O163" s="66" t="s">
        <v>275</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IF(AND('341-CT'!$H$9=H163,OR(LEFT(N163,3)=$W$7,LEFT(O163,3)=$W$7)),"x","")</f>
        <v/>
      </c>
      <c r="X163" s="85" t="str">
        <f>IF(OR(TH!N163=TH!$X$7,O163=TH!$X$7),"x","")</f>
        <v/>
      </c>
      <c r="Y163" s="85" t="str">
        <f>IF(AND(OR(N163="131",O163="131"),H163='131-CT'!$H$9),"x","")</f>
        <v/>
      </c>
      <c r="Z163" s="85"/>
      <c r="AA163" s="85" t="str">
        <f>IF(AND(MONTH(E163)='IN-NX'!$J$5,'IN-NX'!$D$7=D163),"x","")</f>
        <v/>
      </c>
      <c r="AB163" s="85" t="str">
        <f>IF(AND(OR(LEFT(TH!N163,2)="15",LEFT(TH!O163,2)="15"),'152-CT'!$J$8=TH!F163),"x","")</f>
        <v/>
      </c>
      <c r="AC163" s="85" t="str">
        <f>IF(AND(OR(LEFT(TH!N163,2)="15",LEFT(TH!O163,2)="15"),TK!$E$7=TH!F163),"x","")</f>
        <v/>
      </c>
      <c r="AD163" s="85" t="str">
        <f>IF(AND(N163="1521",MONTH(C163)='BK-NL'!$M$11),"x","")</f>
        <v/>
      </c>
    </row>
    <row r="164" spans="1:30" ht="15.75" customHeight="1">
      <c r="A164" s="343" t="str">
        <f>IF(B164&lt;&gt;"",IF(AND(B164='IN-TC'!$S$4,OR(TH!N164="1111",TH!O164="1111")),TH!D164,""),"")</f>
        <v/>
      </c>
      <c r="B164" s="63">
        <f t="shared" si="25"/>
        <v>1</v>
      </c>
      <c r="C164" s="64">
        <f t="shared" si="40"/>
        <v>42384</v>
      </c>
      <c r="D164" s="64" t="s">
        <v>700</v>
      </c>
      <c r="E164" s="64">
        <v>42384</v>
      </c>
      <c r="F164" s="67" t="s">
        <v>688</v>
      </c>
      <c r="G164" s="67"/>
      <c r="H164" s="74" t="s">
        <v>450</v>
      </c>
      <c r="I164" s="449">
        <v>21313</v>
      </c>
      <c r="J164" s="450">
        <v>16000</v>
      </c>
      <c r="K164" s="440"/>
      <c r="L164" s="449"/>
      <c r="M164" s="65">
        <f t="shared" si="41"/>
        <v>341008000</v>
      </c>
      <c r="N164" s="66" t="s">
        <v>283</v>
      </c>
      <c r="O164" s="66" t="s">
        <v>275</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IF(AND('341-CT'!$H$9=H164,OR(LEFT(N164,3)=$W$7,LEFT(O164,3)=$W$7)),"x","")</f>
        <v/>
      </c>
      <c r="X164" s="85" t="str">
        <f>IF(OR(TH!N164=TH!$X$7,O164=TH!$X$7),"x","")</f>
        <v/>
      </c>
      <c r="Y164" s="85" t="str">
        <f>IF(AND(OR(N164="131",O164="131"),H164='131-CT'!$H$9),"x","")</f>
        <v/>
      </c>
      <c r="Z164" s="85"/>
      <c r="AA164" s="85" t="str">
        <f>IF(AND(MONTH(E164)='IN-NX'!$J$5,'IN-NX'!$D$7=D164),"x","")</f>
        <v/>
      </c>
      <c r="AB164" s="85" t="str">
        <f>IF(AND(OR(LEFT(TH!N164,2)="15",LEFT(TH!O164,2)="15"),'152-CT'!$J$8=TH!F164),"x","")</f>
        <v/>
      </c>
      <c r="AC164" s="85" t="str">
        <f>IF(AND(OR(LEFT(TH!N164,2)="15",LEFT(TH!O164,2)="15"),TK!$E$7=TH!F164),"x","")</f>
        <v/>
      </c>
      <c r="AD164" s="85" t="str">
        <f>IF(AND(N164="1521",MONTH(C164)='BK-NL'!$M$11),"x","")</f>
        <v/>
      </c>
    </row>
    <row r="165" spans="1:30" ht="15.75" customHeight="1">
      <c r="A165" s="343" t="str">
        <f>IF(B165&lt;&gt;"",IF(AND(B165='IN-TC'!$S$4,OR(TH!N165="1111",TH!O165="1111")),TH!D165,""),"")</f>
        <v/>
      </c>
      <c r="B165" s="63">
        <f t="shared" si="25"/>
        <v>1</v>
      </c>
      <c r="C165" s="64">
        <f t="shared" si="40"/>
        <v>42388</v>
      </c>
      <c r="D165" s="64" t="s">
        <v>957</v>
      </c>
      <c r="E165" s="64">
        <v>42388</v>
      </c>
      <c r="F165" s="67" t="s">
        <v>688</v>
      </c>
      <c r="G165" s="67"/>
      <c r="H165" s="74" t="s">
        <v>450</v>
      </c>
      <c r="I165" s="447">
        <v>13553</v>
      </c>
      <c r="J165" s="450">
        <v>16000</v>
      </c>
      <c r="K165" s="438"/>
      <c r="L165" s="447"/>
      <c r="M165" s="65">
        <f t="shared" si="41"/>
        <v>216848000</v>
      </c>
      <c r="N165" s="66" t="s">
        <v>283</v>
      </c>
      <c r="O165" s="66" t="s">
        <v>275</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IF(AND('341-CT'!$H$9=H165,OR(LEFT(N165,3)=$W$7,LEFT(O165,3)=$W$7)),"x","")</f>
        <v/>
      </c>
      <c r="X165" s="85" t="str">
        <f>IF(OR(TH!N165=TH!$X$7,O165=TH!$X$7),"x","")</f>
        <v/>
      </c>
      <c r="Y165" s="85" t="str">
        <f>IF(AND(OR(N165="131",O165="131"),H165='131-CT'!$H$9),"x","")</f>
        <v/>
      </c>
      <c r="Z165" s="85"/>
      <c r="AA165" s="85" t="str">
        <f>IF(AND(MONTH(E165)='IN-NX'!$J$5,'IN-NX'!$D$7=D165),"x","")</f>
        <v/>
      </c>
      <c r="AB165" s="85" t="str">
        <f>IF(AND(OR(LEFT(TH!N165,2)="15",LEFT(TH!O165,2)="15"),'152-CT'!$J$8=TH!F165),"x","")</f>
        <v/>
      </c>
      <c r="AC165" s="85" t="str">
        <f>IF(AND(OR(LEFT(TH!N165,2)="15",LEFT(TH!O165,2)="15"),TK!$E$7=TH!F165),"x","")</f>
        <v/>
      </c>
      <c r="AD165" s="85" t="str">
        <f>IF(AND(N165="1521",MONTH(C165)='BK-NL'!$M$11),"x","")</f>
        <v/>
      </c>
    </row>
    <row r="166" spans="1:30" s="348" customFormat="1" ht="15.75" customHeight="1">
      <c r="A166" s="343" t="str">
        <f>IF(B166&lt;&gt;"",IF(AND(B166='IN-TC'!$S$4,OR(TH!N166="1111",TH!O166="1111")),TH!D166,""),"")</f>
        <v/>
      </c>
      <c r="B166" s="63">
        <f t="shared" si="25"/>
        <v>1</v>
      </c>
      <c r="C166" s="64">
        <f t="shared" si="23"/>
        <v>42371</v>
      </c>
      <c r="D166" s="64" t="s">
        <v>689</v>
      </c>
      <c r="E166" s="64">
        <v>42371</v>
      </c>
      <c r="F166" s="67" t="s">
        <v>687</v>
      </c>
      <c r="G166" s="67"/>
      <c r="H166" s="74" t="s">
        <v>450</v>
      </c>
      <c r="I166" s="449">
        <v>38400</v>
      </c>
      <c r="J166" s="449">
        <v>18500</v>
      </c>
      <c r="K166" s="440"/>
      <c r="L166" s="449"/>
      <c r="M166" s="65">
        <f t="shared" si="24"/>
        <v>710400000</v>
      </c>
      <c r="N166" s="66" t="s">
        <v>283</v>
      </c>
      <c r="O166" s="66" t="s">
        <v>275</v>
      </c>
      <c r="P166" s="85" t="str">
        <f>IF(AND('331-CT'!$E$7=TH!H166,OR(N166="331",O166="331")),"x","")</f>
        <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IF(AND('341-CT'!$H$9=H166,OR(LEFT(N166,3)=$W$7,LEFT(O166,3)=$W$7)),"x","")</f>
        <v/>
      </c>
      <c r="X166" s="85" t="str">
        <f>IF(OR(TH!N166=TH!$X$7,O166=TH!$X$7),"x","")</f>
        <v/>
      </c>
      <c r="Y166" s="85" t="str">
        <f>IF(AND(OR(N166="131",O166="131"),H166='131-CT'!$H$9),"x","")</f>
        <v/>
      </c>
      <c r="Z166" s="85"/>
      <c r="AA166" s="85" t="str">
        <f>IF(AND(MONTH(E166)='IN-NX'!$J$5,'IN-NX'!$D$7=D166),"x","")</f>
        <v/>
      </c>
      <c r="AB166" s="85" t="str">
        <f>IF(AND(OR(LEFT(TH!N166,2)="15",LEFT(TH!O166,2)="15"),'152-CT'!$J$8=TH!F166),"x","")</f>
        <v/>
      </c>
      <c r="AC166" s="85" t="str">
        <f>IF(AND(OR(LEFT(TH!N166,2)="15",LEFT(TH!O166,2)="15"),TK!$E$7=TH!F166),"x","")</f>
        <v/>
      </c>
      <c r="AD166" s="85" t="str">
        <f>IF(AND(N166="1521",MONTH(C166)='BK-NL'!$M$11),"x","")</f>
        <v/>
      </c>
    </row>
    <row r="167" spans="1:30" s="348" customFormat="1" ht="15.75" customHeight="1">
      <c r="A167" s="343" t="str">
        <f>IF(B167&lt;&gt;"",IF(AND(B167='IN-TC'!$S$4,OR(TH!N167="1111",TH!O167="1111")),TH!D167,""),"")</f>
        <v/>
      </c>
      <c r="B167" s="63">
        <f t="shared" si="25"/>
        <v>1</v>
      </c>
      <c r="C167" s="64">
        <f t="shared" si="23"/>
        <v>42374</v>
      </c>
      <c r="D167" s="64" t="s">
        <v>696</v>
      </c>
      <c r="E167" s="64">
        <v>42374</v>
      </c>
      <c r="F167" s="67" t="s">
        <v>688</v>
      </c>
      <c r="G167" s="67"/>
      <c r="H167" s="74" t="s">
        <v>450</v>
      </c>
      <c r="I167" s="449">
        <v>26500</v>
      </c>
      <c r="J167" s="449">
        <v>14500</v>
      </c>
      <c r="K167" s="440"/>
      <c r="L167" s="449"/>
      <c r="M167" s="65">
        <f t="shared" si="24"/>
        <v>384250000</v>
      </c>
      <c r="N167" s="66" t="s">
        <v>283</v>
      </c>
      <c r="O167" s="66" t="s">
        <v>275</v>
      </c>
      <c r="P167" s="85" t="str">
        <f>IF(AND('331-CT'!$E$7=TH!H167,OR(N167="331",O167="331")),"x","")</f>
        <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IF(AND('341-CT'!$H$9=H167,OR(LEFT(N167,3)=$W$7,LEFT(O167,3)=$W$7)),"x","")</f>
        <v/>
      </c>
      <c r="X167" s="85" t="str">
        <f>IF(OR(TH!N167=TH!$X$7,O167=TH!$X$7),"x","")</f>
        <v/>
      </c>
      <c r="Y167" s="85" t="str">
        <f>IF(AND(OR(N167="131",O167="131"),H167='131-CT'!$H$9),"x","")</f>
        <v/>
      </c>
      <c r="Z167" s="85"/>
      <c r="AA167" s="85" t="str">
        <f>IF(AND(MONTH(E167)='IN-NX'!$J$5,'IN-NX'!$D$7=D167),"x","")</f>
        <v/>
      </c>
      <c r="AB167" s="85" t="str">
        <f>IF(AND(OR(LEFT(TH!N167,2)="15",LEFT(TH!O167,2)="15"),'152-CT'!$J$8=TH!F167),"x","")</f>
        <v/>
      </c>
      <c r="AC167" s="85" t="str">
        <f>IF(AND(OR(LEFT(TH!N167,2)="15",LEFT(TH!O167,2)="15"),TK!$E$7=TH!F167),"x","")</f>
        <v/>
      </c>
      <c r="AD167" s="85" t="str">
        <f>IF(AND(N167="1521",MONTH(C167)='BK-NL'!$M$11),"x","")</f>
        <v/>
      </c>
    </row>
    <row r="168" spans="1:30" s="348" customFormat="1" ht="15.75" customHeight="1">
      <c r="A168" s="343" t="str">
        <f>IF(B168&lt;&gt;"",IF(AND(B168='IN-TC'!$S$4,OR(TH!N168="1111",TH!O168="1111")),TH!D168,""),"")</f>
        <v/>
      </c>
      <c r="B168" s="63">
        <f t="shared" si="25"/>
        <v>1</v>
      </c>
      <c r="C168" s="64">
        <f t="shared" si="23"/>
        <v>42382</v>
      </c>
      <c r="D168" s="64" t="s">
        <v>699</v>
      </c>
      <c r="E168" s="64">
        <v>42382</v>
      </c>
      <c r="F168" s="67" t="s">
        <v>688</v>
      </c>
      <c r="G168" s="67"/>
      <c r="H168" s="74" t="s">
        <v>450</v>
      </c>
      <c r="I168" s="449">
        <v>26500</v>
      </c>
      <c r="J168" s="449">
        <v>14500</v>
      </c>
      <c r="K168" s="440"/>
      <c r="L168" s="449"/>
      <c r="M168" s="65">
        <f t="shared" si="24"/>
        <v>384250000</v>
      </c>
      <c r="N168" s="66" t="s">
        <v>283</v>
      </c>
      <c r="O168" s="66" t="s">
        <v>275</v>
      </c>
      <c r="P168" s="85" t="str">
        <f>IF(AND('331-CT'!$E$7=TH!H168,OR(N168="331",O168="331")),"x","")</f>
        <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IF(AND('341-CT'!$H$9=H168,OR(LEFT(N168,3)=$W$7,LEFT(O168,3)=$W$7)),"x","")</f>
        <v/>
      </c>
      <c r="X168" s="85" t="str">
        <f>IF(OR(TH!N168=TH!$X$7,O168=TH!$X$7),"x","")</f>
        <v/>
      </c>
      <c r="Y168" s="85" t="str">
        <f>IF(AND(OR(N168="131",O168="131"),H168='131-CT'!$H$9),"x","")</f>
        <v/>
      </c>
      <c r="Z168" s="85"/>
      <c r="AA168" s="85" t="str">
        <f>IF(AND(MONTH(E168)='IN-NX'!$J$5,'IN-NX'!$D$7=D168),"x","")</f>
        <v/>
      </c>
      <c r="AB168" s="85" t="str">
        <f>IF(AND(OR(LEFT(TH!N168,2)="15",LEFT(TH!O168,2)="15"),'152-CT'!$J$8=TH!F168),"x","")</f>
        <v/>
      </c>
      <c r="AC168" s="85" t="str">
        <f>IF(AND(OR(LEFT(TH!N168,2)="15",LEFT(TH!O168,2)="15"),TK!$E$7=TH!F168),"x","")</f>
        <v/>
      </c>
      <c r="AD168" s="85" t="str">
        <f>IF(AND(N168="1521",MONTH(C168)='BK-NL'!$M$11),"x","")</f>
        <v/>
      </c>
    </row>
    <row r="169" spans="1:30" s="348" customFormat="1" ht="15.75" customHeight="1">
      <c r="A169" s="343" t="str">
        <f>IF(B169&lt;&gt;"",IF(AND(B169='IN-TC'!$S$4,OR(TH!N169="1111",TH!O169="1111")),TH!D169,""),"")</f>
        <v/>
      </c>
      <c r="B169" s="63">
        <f t="shared" si="25"/>
        <v>1</v>
      </c>
      <c r="C169" s="64">
        <f t="shared" si="23"/>
        <v>42386</v>
      </c>
      <c r="D169" s="64" t="s">
        <v>956</v>
      </c>
      <c r="E169" s="64">
        <v>42386</v>
      </c>
      <c r="F169" s="67" t="s">
        <v>688</v>
      </c>
      <c r="G169" s="996"/>
      <c r="H169" s="74" t="s">
        <v>450</v>
      </c>
      <c r="I169" s="449">
        <v>26500</v>
      </c>
      <c r="J169" s="449">
        <v>14500</v>
      </c>
      <c r="K169" s="440"/>
      <c r="L169" s="449"/>
      <c r="M169" s="65">
        <f t="shared" si="24"/>
        <v>384250000</v>
      </c>
      <c r="N169" s="66" t="s">
        <v>283</v>
      </c>
      <c r="O169" s="66" t="s">
        <v>275</v>
      </c>
      <c r="P169" s="85" t="str">
        <f>IF(AND('331-CT'!$E$7=TH!H169,OR(N169="331",O169="331")),"x","")</f>
        <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IF(AND('341-CT'!$H$9=H169,OR(LEFT(N169,3)=$W$7,LEFT(O169,3)=$W$7)),"x","")</f>
        <v/>
      </c>
      <c r="X169" s="85" t="str">
        <f>IF(OR(TH!N169=TH!$X$7,O169=TH!$X$7),"x","")</f>
        <v/>
      </c>
      <c r="Y169" s="85" t="str">
        <f>IF(AND(OR(N169="131",O169="131"),H169='131-CT'!$H$9),"x","")</f>
        <v/>
      </c>
      <c r="Z169" s="85"/>
      <c r="AA169" s="85" t="str">
        <f>IF(AND(MONTH(E169)='IN-NX'!$J$5,'IN-NX'!$D$7=D169),"x","")</f>
        <v/>
      </c>
      <c r="AB169" s="85" t="str">
        <f>IF(AND(OR(LEFT(TH!N169,2)="15",LEFT(TH!O169,2)="15"),'152-CT'!$J$8=TH!F169),"x","")</f>
        <v/>
      </c>
      <c r="AC169" s="85" t="str">
        <f>IF(AND(OR(LEFT(TH!N169,2)="15",LEFT(TH!O169,2)="15"),TK!$E$7=TH!F169),"x","")</f>
        <v/>
      </c>
      <c r="AD169" s="85" t="str">
        <f>IF(AND(N169="1521",MONTH(C169)='BK-NL'!$M$11),"x","")</f>
        <v/>
      </c>
    </row>
    <row r="170" spans="1:30" s="348" customFormat="1" ht="15.75" customHeight="1">
      <c r="A170" s="343" t="str">
        <f>IF(B170&lt;&gt;"",IF(AND(B170='IN-TC'!$S$4,OR(TH!N170="1111",TH!O170="1111")),TH!D170,""),"")</f>
        <v/>
      </c>
      <c r="B170" s="63">
        <f t="shared" si="25"/>
        <v>1</v>
      </c>
      <c r="C170" s="64">
        <f t="shared" si="23"/>
        <v>42390</v>
      </c>
      <c r="D170" s="64" t="s">
        <v>958</v>
      </c>
      <c r="E170" s="64">
        <v>42390</v>
      </c>
      <c r="F170" s="67" t="s">
        <v>688</v>
      </c>
      <c r="G170" s="67"/>
      <c r="H170" s="74" t="s">
        <v>450</v>
      </c>
      <c r="I170" s="447">
        <v>26500</v>
      </c>
      <c r="J170" s="447">
        <v>14500</v>
      </c>
      <c r="K170" s="438"/>
      <c r="L170" s="447"/>
      <c r="M170" s="65">
        <f t="shared" si="24"/>
        <v>384250000</v>
      </c>
      <c r="N170" s="66" t="s">
        <v>283</v>
      </c>
      <c r="O170" s="66" t="s">
        <v>275</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IF(AND('341-CT'!$H$9=H170,OR(LEFT(N170,3)=$W$7,LEFT(O170,3)=$W$7)),"x","")</f>
        <v/>
      </c>
      <c r="X170" s="85" t="str">
        <f>IF(OR(TH!N170=TH!$X$7,O170=TH!$X$7),"x","")</f>
        <v/>
      </c>
      <c r="Y170" s="85" t="str">
        <f>IF(AND(OR(N170="131",O170="131"),H170='131-CT'!$H$9),"x","")</f>
        <v/>
      </c>
      <c r="Z170" s="85"/>
      <c r="AA170" s="85" t="str">
        <f>IF(AND(MONTH(E170)='IN-NX'!$J$5,'IN-NX'!$D$7=D170),"x","")</f>
        <v/>
      </c>
      <c r="AB170" s="85" t="str">
        <f>IF(AND(OR(LEFT(TH!N170,2)="15",LEFT(TH!O170,2)="15"),'152-CT'!$J$8=TH!F170),"x","")</f>
        <v/>
      </c>
      <c r="AC170" s="85" t="str">
        <f>IF(AND(OR(LEFT(TH!N170,2)="15",LEFT(TH!O170,2)="15"),TK!$E$7=TH!F170),"x","")</f>
        <v/>
      </c>
      <c r="AD170" s="85" t="str">
        <f>IF(AND(N170="1521",MONTH(C170)='BK-NL'!$M$11),"x","")</f>
        <v/>
      </c>
    </row>
    <row r="171" spans="1:30" s="348" customFormat="1" ht="15.75" customHeight="1">
      <c r="A171" s="343" t="str">
        <f>IF(B171&lt;&gt;"",IF(AND(B171='IN-TC'!$S$4,OR(TH!N171="1111",TH!O171="1111")),TH!D171,""),"")</f>
        <v/>
      </c>
      <c r="B171" s="63">
        <f t="shared" si="25"/>
        <v>1</v>
      </c>
      <c r="C171" s="64">
        <f t="shared" si="23"/>
        <v>42394</v>
      </c>
      <c r="D171" s="64" t="s">
        <v>959</v>
      </c>
      <c r="E171" s="64">
        <v>42394</v>
      </c>
      <c r="F171" s="67" t="s">
        <v>688</v>
      </c>
      <c r="G171" s="67"/>
      <c r="H171" s="74" t="s">
        <v>450</v>
      </c>
      <c r="I171" s="447">
        <v>26000</v>
      </c>
      <c r="J171" s="447">
        <v>14500</v>
      </c>
      <c r="K171" s="438"/>
      <c r="L171" s="447"/>
      <c r="M171" s="65">
        <f t="shared" si="24"/>
        <v>377000000</v>
      </c>
      <c r="N171" s="66" t="s">
        <v>283</v>
      </c>
      <c r="O171" s="66" t="s">
        <v>275</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IF(AND('341-CT'!$H$9=H171,OR(LEFT(N171,3)=$W$7,LEFT(O171,3)=$W$7)),"x","")</f>
        <v/>
      </c>
      <c r="X171" s="85" t="str">
        <f>IF(OR(TH!N171=TH!$X$7,O171=TH!$X$7),"x","")</f>
        <v/>
      </c>
      <c r="Y171" s="85" t="str">
        <f>IF(AND(OR(N171="131",O171="131"),H171='131-CT'!$H$9),"x","")</f>
        <v/>
      </c>
      <c r="Z171" s="85"/>
      <c r="AA171" s="85" t="str">
        <f>IF(AND(MONTH(E171)='IN-NX'!$J$5,'IN-NX'!$D$7=D171),"x","")</f>
        <v/>
      </c>
      <c r="AB171" s="85" t="str">
        <f>IF(AND(OR(LEFT(TH!N171,2)="15",LEFT(TH!O171,2)="15"),'152-CT'!$J$8=TH!F171),"x","")</f>
        <v/>
      </c>
      <c r="AC171" s="85" t="str">
        <f>IF(AND(OR(LEFT(TH!N171,2)="15",LEFT(TH!O171,2)="15"),TK!$E$7=TH!F171),"x","")</f>
        <v/>
      </c>
      <c r="AD171" s="85" t="str">
        <f>IF(AND(N171="1521",MONTH(C171)='BK-NL'!$M$11),"x","")</f>
        <v/>
      </c>
    </row>
    <row r="172" spans="1:30" ht="15.75" customHeight="1">
      <c r="A172" s="343" t="str">
        <f>IF(B172&lt;&gt;"",IF(AND(B172='IN-TC'!$S$4,OR(TH!N172="1111",TH!O172="1111")),TH!D172,""),"")</f>
        <v/>
      </c>
      <c r="B172" s="63">
        <f t="shared" si="25"/>
        <v>1</v>
      </c>
      <c r="C172" s="64">
        <f>E172</f>
        <v>42392</v>
      </c>
      <c r="D172" s="64" t="s">
        <v>961</v>
      </c>
      <c r="E172" s="64">
        <v>42392</v>
      </c>
      <c r="F172" s="67" t="s">
        <v>688</v>
      </c>
      <c r="G172" s="67"/>
      <c r="H172" s="75" t="s">
        <v>429</v>
      </c>
      <c r="I172" s="450">
        <v>7580</v>
      </c>
      <c r="J172" s="450">
        <v>13200</v>
      </c>
      <c r="K172" s="441"/>
      <c r="L172" s="450"/>
      <c r="M172" s="65">
        <f>ROUND(I172*J172,0)</f>
        <v>100056000</v>
      </c>
      <c r="N172" s="66" t="s">
        <v>275</v>
      </c>
      <c r="O172" s="66" t="s">
        <v>8</v>
      </c>
      <c r="P172" s="85" t="str">
        <f>IF(AND('331-CT'!$E$7=TH!H172,OR(N172="331",O172="331")),"x","")</f>
        <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IF(AND('341-CT'!$H$9=H172,OR(LEFT(N172,3)=$W$7,LEFT(O172,3)=$W$7)),"x","")</f>
        <v/>
      </c>
      <c r="X172" s="85" t="str">
        <f>IF(OR(TH!N172=TH!$X$7,O172=TH!$X$7),"x","")</f>
        <v/>
      </c>
      <c r="Y172" s="85" t="str">
        <f>IF(AND(OR(N172="131",O172="131"),H172='131-CT'!$H$9),"x","")</f>
        <v/>
      </c>
      <c r="Z172" s="85"/>
      <c r="AA172" s="85" t="str">
        <f>IF(AND(MONTH(E172)='IN-NX'!$J$5,'IN-NX'!$D$7=D172),"x","")</f>
        <v/>
      </c>
      <c r="AB172" s="85" t="str">
        <f>IF(AND(OR(LEFT(TH!N172,2)="15",LEFT(TH!O172,2)="15"),'152-CT'!$J$8=TH!F172),"x","")</f>
        <v/>
      </c>
      <c r="AC172" s="85" t="str">
        <f>IF(AND(OR(LEFT(TH!N172,2)="15",LEFT(TH!O172,2)="15"),TK!$E$7=TH!F172),"x","")</f>
        <v/>
      </c>
      <c r="AD172" s="85" t="str">
        <f>IF(AND(N172="1521",MONTH(C172)='BK-NL'!$M$11),"x","")</f>
        <v/>
      </c>
    </row>
    <row r="173" spans="1:30" ht="15.75" customHeight="1">
      <c r="A173" s="343" t="str">
        <f>IF(B173&lt;&gt;"",IF(AND(B173='IN-TC'!$S$4,OR(TH!N173="1111",TH!O173="1111")),TH!D173,""),"")</f>
        <v/>
      </c>
      <c r="B173" s="63">
        <f t="shared" si="25"/>
        <v>1</v>
      </c>
      <c r="C173" s="64">
        <f t="shared" ref="C173:C186" si="42">E173</f>
        <v>42392</v>
      </c>
      <c r="D173" s="64" t="s">
        <v>962</v>
      </c>
      <c r="E173" s="64">
        <v>42392</v>
      </c>
      <c r="F173" s="67" t="s">
        <v>688</v>
      </c>
      <c r="G173" s="67"/>
      <c r="H173" s="74" t="s">
        <v>432</v>
      </c>
      <c r="I173" s="447">
        <v>7840</v>
      </c>
      <c r="J173" s="450">
        <v>13200</v>
      </c>
      <c r="K173" s="438"/>
      <c r="L173" s="447"/>
      <c r="M173" s="65">
        <f t="shared" ref="M173:M193" si="43">ROUND(I173*J173,0)</f>
        <v>103488000</v>
      </c>
      <c r="N173" s="66" t="s">
        <v>275</v>
      </c>
      <c r="O173" s="66" t="s">
        <v>8</v>
      </c>
      <c r="P173" s="85" t="str">
        <f>IF(AND('331-CT'!$E$7=TH!H173,OR(N173="331",O173="331")),"x","")</f>
        <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IF(AND('341-CT'!$H$9=H173,OR(LEFT(N173,3)=$W$7,LEFT(O173,3)=$W$7)),"x","")</f>
        <v/>
      </c>
      <c r="X173" s="85" t="str">
        <f>IF(OR(TH!N173=TH!$X$7,O173=TH!$X$7),"x","")</f>
        <v/>
      </c>
      <c r="Y173" s="85" t="str">
        <f>IF(AND(OR(N173="131",O173="131"),H173='131-CT'!$H$9),"x","")</f>
        <v/>
      </c>
      <c r="Z173" s="85"/>
      <c r="AA173" s="85" t="str">
        <f>IF(AND(MONTH(E173)='IN-NX'!$J$5,'IN-NX'!$D$7=D173),"x","")</f>
        <v/>
      </c>
      <c r="AB173" s="85" t="str">
        <f>IF(AND(OR(LEFT(TH!N173,2)="15",LEFT(TH!O173,2)="15"),'152-CT'!$J$8=TH!F173),"x","")</f>
        <v/>
      </c>
      <c r="AC173" s="85" t="str">
        <f>IF(AND(OR(LEFT(TH!N173,2)="15",LEFT(TH!O173,2)="15"),TK!$E$7=TH!F173),"x","")</f>
        <v/>
      </c>
      <c r="AD173" s="85" t="str">
        <f>IF(AND(N173="1521",MONTH(C173)='BK-NL'!$M$11),"x","")</f>
        <v/>
      </c>
    </row>
    <row r="174" spans="1:30" ht="15.75" customHeight="1">
      <c r="A174" s="343" t="str">
        <f>IF(B174&lt;&gt;"",IF(AND(B174='IN-TC'!$S$4,OR(TH!N174="1111",TH!O174="1111")),TH!D174,""),"")</f>
        <v/>
      </c>
      <c r="B174" s="63">
        <f t="shared" si="25"/>
        <v>1</v>
      </c>
      <c r="C174" s="64">
        <f t="shared" si="42"/>
        <v>42392</v>
      </c>
      <c r="D174" s="64" t="s">
        <v>963</v>
      </c>
      <c r="E174" s="64">
        <v>42392</v>
      </c>
      <c r="F174" s="67" t="s">
        <v>688</v>
      </c>
      <c r="G174" s="67"/>
      <c r="H174" s="74" t="s">
        <v>434</v>
      </c>
      <c r="I174" s="447">
        <v>7460</v>
      </c>
      <c r="J174" s="450">
        <v>13200</v>
      </c>
      <c r="K174" s="438"/>
      <c r="L174" s="447"/>
      <c r="M174" s="65">
        <f t="shared" si="43"/>
        <v>98472000</v>
      </c>
      <c r="N174" s="66" t="s">
        <v>275</v>
      </c>
      <c r="O174" s="66" t="s">
        <v>8</v>
      </c>
      <c r="P174" s="85" t="str">
        <f>IF(AND('331-CT'!$E$7=TH!H174,OR(N174="331",O174="331")),"x","")</f>
        <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IF(AND('341-CT'!$H$9=H174,OR(LEFT(N174,3)=$W$7,LEFT(O174,3)=$W$7)),"x","")</f>
        <v/>
      </c>
      <c r="X174" s="85" t="str">
        <f>IF(OR(TH!N174=TH!$X$7,O174=TH!$X$7),"x","")</f>
        <v/>
      </c>
      <c r="Y174" s="85" t="str">
        <f>IF(AND(OR(N174="131",O174="131"),H174='131-CT'!$H$9),"x","")</f>
        <v/>
      </c>
      <c r="Z174" s="85"/>
      <c r="AA174" s="85" t="str">
        <f>IF(AND(MONTH(E174)='IN-NX'!$J$5,'IN-NX'!$D$7=D174),"x","")</f>
        <v/>
      </c>
      <c r="AB174" s="85" t="str">
        <f>IF(AND(OR(LEFT(TH!N174,2)="15",LEFT(TH!O174,2)="15"),'152-CT'!$J$8=TH!F174),"x","")</f>
        <v/>
      </c>
      <c r="AC174" s="85" t="str">
        <f>IF(AND(OR(LEFT(TH!N174,2)="15",LEFT(TH!O174,2)="15"),TK!$E$7=TH!F174),"x","")</f>
        <v/>
      </c>
      <c r="AD174" s="85" t="str">
        <f>IF(AND(N174="1521",MONTH(C174)='BK-NL'!$M$11),"x","")</f>
        <v/>
      </c>
    </row>
    <row r="175" spans="1:30" ht="15.75" customHeight="1">
      <c r="A175" s="343" t="str">
        <f>IF(B175&lt;&gt;"",IF(AND(B175='IN-TC'!$S$4,OR(TH!N175="1111",TH!O175="1111")),TH!D175,""),"")</f>
        <v/>
      </c>
      <c r="B175" s="63">
        <f t="shared" si="25"/>
        <v>1</v>
      </c>
      <c r="C175" s="64">
        <f t="shared" si="42"/>
        <v>42392</v>
      </c>
      <c r="D175" s="64" t="s">
        <v>964</v>
      </c>
      <c r="E175" s="64">
        <v>42392</v>
      </c>
      <c r="F175" s="67" t="s">
        <v>688</v>
      </c>
      <c r="G175" s="67"/>
      <c r="H175" s="74" t="s">
        <v>445</v>
      </c>
      <c r="I175" s="447">
        <v>7740</v>
      </c>
      <c r="J175" s="450">
        <v>13200</v>
      </c>
      <c r="K175" s="438"/>
      <c r="L175" s="447"/>
      <c r="M175" s="65">
        <f t="shared" si="43"/>
        <v>102168000</v>
      </c>
      <c r="N175" s="66" t="s">
        <v>275</v>
      </c>
      <c r="O175" s="66" t="s">
        <v>8</v>
      </c>
      <c r="P175" s="85" t="str">
        <f>IF(AND('331-CT'!$E$7=TH!H175,OR(N175="331",O175="331")),"x","")</f>
        <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IF(AND('341-CT'!$H$9=H175,OR(LEFT(N175,3)=$W$7,LEFT(O175,3)=$W$7)),"x","")</f>
        <v/>
      </c>
      <c r="X175" s="85" t="str">
        <f>IF(OR(TH!N175=TH!$X$7,O175=TH!$X$7),"x","")</f>
        <v/>
      </c>
      <c r="Y175" s="85" t="str">
        <f>IF(AND(OR(N175="131",O175="131"),H175='131-CT'!$H$9),"x","")</f>
        <v/>
      </c>
      <c r="Z175" s="85"/>
      <c r="AA175" s="85" t="str">
        <f>IF(AND(MONTH(E175)='IN-NX'!$J$5,'IN-NX'!$D$7=D175),"x","")</f>
        <v/>
      </c>
      <c r="AB175" s="85" t="str">
        <f>IF(AND(OR(LEFT(TH!N175,2)="15",LEFT(TH!O175,2)="15"),'152-CT'!$J$8=TH!F175),"x","")</f>
        <v/>
      </c>
      <c r="AC175" s="85" t="str">
        <f>IF(AND(OR(LEFT(TH!N175,2)="15",LEFT(TH!O175,2)="15"),TK!$E$7=TH!F175),"x","")</f>
        <v/>
      </c>
      <c r="AD175" s="85" t="str">
        <f>IF(AND(N175="1521",MONTH(C175)='BK-NL'!$M$11),"x","")</f>
        <v/>
      </c>
    </row>
    <row r="176" spans="1:30" ht="15.75" customHeight="1">
      <c r="A176" s="343" t="str">
        <f>IF(B176&lt;&gt;"",IF(AND(B176='IN-TC'!$S$4,OR(TH!N176="1111",TH!O176="1111")),TH!D176,""),"")</f>
        <v/>
      </c>
      <c r="B176" s="63">
        <f t="shared" si="25"/>
        <v>1</v>
      </c>
      <c r="C176" s="64">
        <f t="shared" si="42"/>
        <v>42396</v>
      </c>
      <c r="D176" s="64" t="s">
        <v>965</v>
      </c>
      <c r="E176" s="64">
        <v>42396</v>
      </c>
      <c r="F176" s="67" t="s">
        <v>688</v>
      </c>
      <c r="G176" s="67"/>
      <c r="H176" s="74" t="s">
        <v>436</v>
      </c>
      <c r="I176" s="447">
        <v>7456</v>
      </c>
      <c r="J176" s="450">
        <v>13200</v>
      </c>
      <c r="K176" s="438"/>
      <c r="L176" s="447"/>
      <c r="M176" s="65">
        <f t="shared" si="43"/>
        <v>98419200</v>
      </c>
      <c r="N176" s="66" t="s">
        <v>275</v>
      </c>
      <c r="O176" s="66" t="s">
        <v>8</v>
      </c>
      <c r="P176" s="85" t="str">
        <f>IF(AND('331-CT'!$E$7=TH!H176,OR(N176="331",O176="331")),"x","")</f>
        <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IF(AND('341-CT'!$H$9=H176,OR(LEFT(N176,3)=$W$7,LEFT(O176,3)=$W$7)),"x","")</f>
        <v/>
      </c>
      <c r="X176" s="85" t="str">
        <f>IF(OR(TH!N176=TH!$X$7,O176=TH!$X$7),"x","")</f>
        <v/>
      </c>
      <c r="Y176" s="85" t="str">
        <f>IF(AND(OR(N176="131",O176="131"),H176='131-CT'!$H$9),"x","")</f>
        <v/>
      </c>
      <c r="Z176" s="85"/>
      <c r="AA176" s="85" t="str">
        <f>IF(AND(MONTH(E176)='IN-NX'!$J$5,'IN-NX'!$D$7=D176),"x","")</f>
        <v/>
      </c>
      <c r="AB176" s="85" t="str">
        <f>IF(AND(OR(LEFT(TH!N176,2)="15",LEFT(TH!O176,2)="15"),'152-CT'!$J$8=TH!F176),"x","")</f>
        <v/>
      </c>
      <c r="AC176" s="85" t="str">
        <f>IF(AND(OR(LEFT(TH!N176,2)="15",LEFT(TH!O176,2)="15"),TK!$E$7=TH!F176),"x","")</f>
        <v/>
      </c>
      <c r="AD176" s="85" t="str">
        <f>IF(AND(N176="1521",MONTH(C176)='BK-NL'!$M$11),"x","")</f>
        <v/>
      </c>
    </row>
    <row r="177" spans="1:30" ht="15.75" customHeight="1">
      <c r="A177" s="343" t="str">
        <f>IF(B177&lt;&gt;"",IF(AND(B177='IN-TC'!$S$4,OR(TH!N177="1111",TH!O177="1111")),TH!D177,""),"")</f>
        <v/>
      </c>
      <c r="B177" s="63">
        <f t="shared" si="25"/>
        <v>1</v>
      </c>
      <c r="C177" s="64">
        <f t="shared" si="42"/>
        <v>42396</v>
      </c>
      <c r="D177" s="64" t="s">
        <v>966</v>
      </c>
      <c r="E177" s="64">
        <v>42396</v>
      </c>
      <c r="F177" s="67" t="s">
        <v>688</v>
      </c>
      <c r="G177" s="67"/>
      <c r="H177" s="74" t="s">
        <v>438</v>
      </c>
      <c r="I177" s="447">
        <v>7016</v>
      </c>
      <c r="J177" s="450">
        <v>13200</v>
      </c>
      <c r="K177" s="438"/>
      <c r="L177" s="447"/>
      <c r="M177" s="65">
        <f t="shared" si="43"/>
        <v>92611200</v>
      </c>
      <c r="N177" s="66" t="s">
        <v>275</v>
      </c>
      <c r="O177" s="66" t="s">
        <v>8</v>
      </c>
      <c r="P177" s="85" t="str">
        <f>IF(AND('331-CT'!$E$7=TH!H177,OR(N177="331",O177="331")),"x","")</f>
        <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IF(AND('341-CT'!$H$9=H177,OR(LEFT(N177,3)=$W$7,LEFT(O177,3)=$W$7)),"x","")</f>
        <v/>
      </c>
      <c r="X177" s="85" t="str">
        <f>IF(OR(TH!N177=TH!$X$7,O177=TH!$X$7),"x","")</f>
        <v/>
      </c>
      <c r="Y177" s="85" t="str">
        <f>IF(AND(OR(N177="131",O177="131"),H177='131-CT'!$H$9),"x","")</f>
        <v/>
      </c>
      <c r="Z177" s="85"/>
      <c r="AA177" s="85" t="str">
        <f>IF(AND(MONTH(E177)='IN-NX'!$J$5,'IN-NX'!$D$7=D177),"x","")</f>
        <v/>
      </c>
      <c r="AB177" s="85" t="str">
        <f>IF(AND(OR(LEFT(TH!N177,2)="15",LEFT(TH!O177,2)="15"),'152-CT'!$J$8=TH!F177),"x","")</f>
        <v/>
      </c>
      <c r="AC177" s="85" t="str">
        <f>IF(AND(OR(LEFT(TH!N177,2)="15",LEFT(TH!O177,2)="15"),TK!$E$7=TH!F177),"x","")</f>
        <v/>
      </c>
      <c r="AD177" s="85" t="str">
        <f>IF(AND(N177="1521",MONTH(C177)='BK-NL'!$M$11),"x","")</f>
        <v/>
      </c>
    </row>
    <row r="178" spans="1:30" ht="15.75" customHeight="1">
      <c r="A178" s="343" t="str">
        <f>IF(B178&lt;&gt;"",IF(AND(B178='IN-TC'!$S$4,OR(TH!N178="1111",TH!O178="1111")),TH!D178,""),"")</f>
        <v/>
      </c>
      <c r="B178" s="63">
        <f t="shared" si="25"/>
        <v>1</v>
      </c>
      <c r="C178" s="64">
        <f t="shared" si="42"/>
        <v>42396</v>
      </c>
      <c r="D178" s="64" t="s">
        <v>967</v>
      </c>
      <c r="E178" s="64">
        <v>42396</v>
      </c>
      <c r="F178" s="67" t="s">
        <v>688</v>
      </c>
      <c r="G178" s="67"/>
      <c r="H178" s="74" t="s">
        <v>439</v>
      </c>
      <c r="I178" s="447">
        <v>6980</v>
      </c>
      <c r="J178" s="450">
        <v>13200</v>
      </c>
      <c r="K178" s="438"/>
      <c r="L178" s="447"/>
      <c r="M178" s="65">
        <f t="shared" si="43"/>
        <v>92136000</v>
      </c>
      <c r="N178" s="66" t="s">
        <v>275</v>
      </c>
      <c r="O178" s="66" t="s">
        <v>8</v>
      </c>
      <c r="P178" s="85" t="str">
        <f>IF(AND('331-CT'!$E$7=TH!H178,OR(N178="331",O178="331")),"x","")</f>
        <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IF(AND('341-CT'!$H$9=H178,OR(LEFT(N178,3)=$W$7,LEFT(O178,3)=$W$7)),"x","")</f>
        <v/>
      </c>
      <c r="X178" s="85" t="str">
        <f>IF(OR(TH!N178=TH!$X$7,O178=TH!$X$7),"x","")</f>
        <v/>
      </c>
      <c r="Y178" s="85" t="str">
        <f>IF(AND(OR(N178="131",O178="131"),H178='131-CT'!$H$9),"x","")</f>
        <v/>
      </c>
      <c r="Z178" s="85"/>
      <c r="AA178" s="85" t="str">
        <f>IF(AND(MONTH(E178)='IN-NX'!$J$5,'IN-NX'!$D$7=D178),"x","")</f>
        <v/>
      </c>
      <c r="AB178" s="85" t="str">
        <f>IF(AND(OR(LEFT(TH!N178,2)="15",LEFT(TH!O178,2)="15"),'152-CT'!$J$8=TH!F178),"x","")</f>
        <v/>
      </c>
      <c r="AC178" s="85" t="str">
        <f>IF(AND(OR(LEFT(TH!N178,2)="15",LEFT(TH!O178,2)="15"),TK!$E$7=TH!F178),"x","")</f>
        <v/>
      </c>
      <c r="AD178" s="85" t="str">
        <f>IF(AND(N178="1521",MONTH(C178)='BK-NL'!$M$11),"x","")</f>
        <v/>
      </c>
    </row>
    <row r="179" spans="1:30" ht="15.75" customHeight="1">
      <c r="A179" s="343" t="str">
        <f>IF(B179&lt;&gt;"",IF(AND(B179='IN-TC'!$S$4,OR(TH!N179="1111",TH!O179="1111")),TH!D179,""),"")</f>
        <v/>
      </c>
      <c r="B179" s="63">
        <f t="shared" si="25"/>
        <v>1</v>
      </c>
      <c r="C179" s="64">
        <f t="shared" si="42"/>
        <v>42396</v>
      </c>
      <c r="D179" s="64" t="s">
        <v>968</v>
      </c>
      <c r="E179" s="64">
        <v>42396</v>
      </c>
      <c r="F179" s="67" t="s">
        <v>688</v>
      </c>
      <c r="G179" s="67"/>
      <c r="H179" s="74" t="s">
        <v>434</v>
      </c>
      <c r="I179" s="447">
        <v>7125</v>
      </c>
      <c r="J179" s="450">
        <v>13200</v>
      </c>
      <c r="K179" s="438"/>
      <c r="L179" s="447"/>
      <c r="M179" s="65">
        <f t="shared" si="43"/>
        <v>94050000</v>
      </c>
      <c r="N179" s="66" t="s">
        <v>275</v>
      </c>
      <c r="O179" s="66" t="s">
        <v>8</v>
      </c>
      <c r="P179" s="85" t="str">
        <f>IF(AND('331-CT'!$E$7=TH!H179,OR(N179="331",O179="331")),"x","")</f>
        <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IF(AND('341-CT'!$H$9=H179,OR(LEFT(N179,3)=$W$7,LEFT(O179,3)=$W$7)),"x","")</f>
        <v/>
      </c>
      <c r="X179" s="85" t="str">
        <f>IF(OR(TH!N179=TH!$X$7,O179=TH!$X$7),"x","")</f>
        <v/>
      </c>
      <c r="Y179" s="85" t="str">
        <f>IF(AND(OR(N179="131",O179="131"),H179='131-CT'!$H$9),"x","")</f>
        <v/>
      </c>
      <c r="Z179" s="85"/>
      <c r="AA179" s="85" t="str">
        <f>IF(AND(MONTH(E179)='IN-NX'!$J$5,'IN-NX'!$D$7=D179),"x","")</f>
        <v/>
      </c>
      <c r="AB179" s="85" t="str">
        <f>IF(AND(OR(LEFT(TH!N179,2)="15",LEFT(TH!O179,2)="15"),'152-CT'!$J$8=TH!F179),"x","")</f>
        <v/>
      </c>
      <c r="AC179" s="85" t="str">
        <f>IF(AND(OR(LEFT(TH!N179,2)="15",LEFT(TH!O179,2)="15"),TK!$E$7=TH!F179),"x","")</f>
        <v/>
      </c>
      <c r="AD179" s="85" t="str">
        <f>IF(AND(N179="1521",MONTH(C179)='BK-NL'!$M$11),"x","")</f>
        <v/>
      </c>
    </row>
    <row r="180" spans="1:30" ht="15.75" customHeight="1">
      <c r="A180" s="343" t="str">
        <f>IF(B180&lt;&gt;"",IF(AND(B180='IN-TC'!$S$4,OR(TH!N180="1111",TH!O180="1111")),TH!D180,""),"")</f>
        <v/>
      </c>
      <c r="B180" s="63">
        <f t="shared" si="25"/>
        <v>1</v>
      </c>
      <c r="C180" s="64">
        <f t="shared" si="42"/>
        <v>42400</v>
      </c>
      <c r="D180" s="64" t="s">
        <v>969</v>
      </c>
      <c r="E180" s="64">
        <v>42400</v>
      </c>
      <c r="F180" s="67" t="s">
        <v>688</v>
      </c>
      <c r="G180" s="67"/>
      <c r="H180" s="74" t="s">
        <v>432</v>
      </c>
      <c r="I180" s="447">
        <v>7041</v>
      </c>
      <c r="J180" s="450">
        <v>13200</v>
      </c>
      <c r="K180" s="438"/>
      <c r="L180" s="447"/>
      <c r="M180" s="65">
        <f t="shared" si="43"/>
        <v>92941200</v>
      </c>
      <c r="N180" s="66" t="s">
        <v>275</v>
      </c>
      <c r="O180" s="66" t="s">
        <v>8</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IF(AND('341-CT'!$H$9=H180,OR(LEFT(N180,3)=$W$7,LEFT(O180,3)=$W$7)),"x","")</f>
        <v/>
      </c>
      <c r="X180" s="85" t="str">
        <f>IF(OR(TH!N180=TH!$X$7,O180=TH!$X$7),"x","")</f>
        <v/>
      </c>
      <c r="Y180" s="85" t="str">
        <f>IF(AND(OR(N180="131",O180="131"),H180='131-CT'!$H$9),"x","")</f>
        <v/>
      </c>
      <c r="Z180" s="85"/>
      <c r="AA180" s="85" t="str">
        <f>IF(AND(MONTH(E180)='IN-NX'!$J$5,'IN-NX'!$D$7=D180),"x","")</f>
        <v/>
      </c>
      <c r="AB180" s="85" t="str">
        <f>IF(AND(OR(LEFT(TH!N180,2)="15",LEFT(TH!O180,2)="15"),'152-CT'!$J$8=TH!F180),"x","")</f>
        <v/>
      </c>
      <c r="AC180" s="85" t="str">
        <f>IF(AND(OR(LEFT(TH!N180,2)="15",LEFT(TH!O180,2)="15"),TK!$E$7=TH!F180),"x","")</f>
        <v/>
      </c>
      <c r="AD180" s="85" t="str">
        <f>IF(AND(N180="1521",MONTH(C180)='BK-NL'!$M$11),"x","")</f>
        <v/>
      </c>
    </row>
    <row r="181" spans="1:30" ht="15.75" customHeight="1">
      <c r="A181" s="343" t="str">
        <f>IF(B181&lt;&gt;"",IF(AND(B181='IN-TC'!$S$4,OR(TH!N181="1111",TH!O181="1111")),TH!D181,""),"")</f>
        <v/>
      </c>
      <c r="B181" s="63">
        <f t="shared" si="25"/>
        <v>1</v>
      </c>
      <c r="C181" s="64">
        <f t="shared" si="42"/>
        <v>42400</v>
      </c>
      <c r="D181" s="64" t="s">
        <v>970</v>
      </c>
      <c r="E181" s="64">
        <v>42400</v>
      </c>
      <c r="F181" s="67" t="s">
        <v>688</v>
      </c>
      <c r="G181" s="67"/>
      <c r="H181" s="74" t="s">
        <v>434</v>
      </c>
      <c r="I181" s="447">
        <v>7046</v>
      </c>
      <c r="J181" s="450">
        <v>13200</v>
      </c>
      <c r="K181" s="438"/>
      <c r="L181" s="447"/>
      <c r="M181" s="65">
        <f t="shared" si="43"/>
        <v>93007200</v>
      </c>
      <c r="N181" s="66" t="s">
        <v>275</v>
      </c>
      <c r="O181" s="66" t="s">
        <v>8</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IF(AND('341-CT'!$H$9=H181,OR(LEFT(N181,3)=$W$7,LEFT(O181,3)=$W$7)),"x","")</f>
        <v/>
      </c>
      <c r="X181" s="85" t="str">
        <f>IF(OR(TH!N181=TH!$X$7,O181=TH!$X$7),"x","")</f>
        <v/>
      </c>
      <c r="Y181" s="85" t="str">
        <f>IF(AND(OR(N181="131",O181="131"),H181='131-CT'!$H$9),"x","")</f>
        <v/>
      </c>
      <c r="Z181" s="85"/>
      <c r="AA181" s="85" t="str">
        <f>IF(AND(MONTH(E181)='IN-NX'!$J$5,'IN-NX'!$D$7=D181),"x","")</f>
        <v/>
      </c>
      <c r="AB181" s="85" t="str">
        <f>IF(AND(OR(LEFT(TH!N181,2)="15",LEFT(TH!O181,2)="15"),'152-CT'!$J$8=TH!F181),"x","")</f>
        <v/>
      </c>
      <c r="AC181" s="85" t="str">
        <f>IF(AND(OR(LEFT(TH!N181,2)="15",LEFT(TH!O181,2)="15"),TK!$E$7=TH!F181),"x","")</f>
        <v/>
      </c>
      <c r="AD181" s="85" t="str">
        <f>IF(AND(N181="1521",MONTH(C181)='BK-NL'!$M$11),"x","")</f>
        <v/>
      </c>
    </row>
    <row r="182" spans="1:30" ht="15.75" customHeight="1">
      <c r="A182" s="343" t="str">
        <f>IF(B182&lt;&gt;"",IF(AND(B182='IN-TC'!$S$4,OR(TH!N182="1111",TH!O182="1111")),TH!D182,""),"")</f>
        <v/>
      </c>
      <c r="B182" s="63">
        <f t="shared" si="25"/>
        <v>1</v>
      </c>
      <c r="C182" s="64">
        <f t="shared" ref="C182" si="44">E182</f>
        <v>42400</v>
      </c>
      <c r="D182" s="64" t="s">
        <v>971</v>
      </c>
      <c r="E182" s="64">
        <v>42400</v>
      </c>
      <c r="F182" s="67" t="s">
        <v>688</v>
      </c>
      <c r="G182" s="67"/>
      <c r="H182" s="74" t="s">
        <v>439</v>
      </c>
      <c r="I182" s="447">
        <v>7049</v>
      </c>
      <c r="J182" s="450">
        <v>13200</v>
      </c>
      <c r="K182" s="438"/>
      <c r="L182" s="447"/>
      <c r="M182" s="65">
        <f t="shared" ref="M182" si="45">ROUND(I182*J182,0)</f>
        <v>93046800</v>
      </c>
      <c r="N182" s="66" t="s">
        <v>275</v>
      </c>
      <c r="O182" s="66" t="s">
        <v>8</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IF(AND('341-CT'!$H$9=H182,OR(LEFT(N182,3)=$W$7,LEFT(O182,3)=$W$7)),"x","")</f>
        <v/>
      </c>
      <c r="X182" s="85" t="str">
        <f>IF(OR(TH!N182=TH!$X$7,O182=TH!$X$7),"x","")</f>
        <v/>
      </c>
      <c r="Y182" s="85" t="str">
        <f>IF(AND(OR(N182="131",O182="131"),H182='131-CT'!$H$9),"x","")</f>
        <v/>
      </c>
      <c r="Z182" s="85"/>
      <c r="AA182" s="85" t="str">
        <f>IF(AND(MONTH(E182)='IN-NX'!$J$5,'IN-NX'!$D$7=D182),"x","")</f>
        <v/>
      </c>
      <c r="AB182" s="85" t="str">
        <f>IF(AND(OR(LEFT(TH!N182,2)="15",LEFT(TH!O182,2)="15"),'152-CT'!$J$8=TH!F182),"x","")</f>
        <v/>
      </c>
      <c r="AC182" s="85" t="str">
        <f>IF(AND(OR(LEFT(TH!N182,2)="15",LEFT(TH!O182,2)="15"),TK!$E$7=TH!F182),"x","")</f>
        <v/>
      </c>
      <c r="AD182" s="85" t="str">
        <f>IF(AND(N182="1521",MONTH(C182)='BK-NL'!$M$11),"x","")</f>
        <v/>
      </c>
    </row>
    <row r="183" spans="1:30" ht="15.75" customHeight="1">
      <c r="A183" s="343" t="str">
        <f>IF(B183&lt;&gt;"",IF(AND(B183='IN-TC'!$S$4,OR(TH!N183="1111",TH!O183="1111")),TH!D183,""),"")</f>
        <v/>
      </c>
      <c r="B183" s="63">
        <f t="shared" si="25"/>
        <v>1</v>
      </c>
      <c r="C183" s="64">
        <f t="shared" si="42"/>
        <v>42400</v>
      </c>
      <c r="D183" s="64" t="s">
        <v>972</v>
      </c>
      <c r="E183" s="64">
        <v>42400</v>
      </c>
      <c r="F183" s="67" t="s">
        <v>688</v>
      </c>
      <c r="G183" s="67"/>
      <c r="H183" s="74" t="s">
        <v>443</v>
      </c>
      <c r="I183" s="447">
        <v>7667</v>
      </c>
      <c r="J183" s="450">
        <v>13200</v>
      </c>
      <c r="K183" s="438"/>
      <c r="L183" s="447"/>
      <c r="M183" s="65">
        <f t="shared" si="43"/>
        <v>101204400</v>
      </c>
      <c r="N183" s="66" t="s">
        <v>275</v>
      </c>
      <c r="O183" s="66" t="s">
        <v>8</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IF(AND('341-CT'!$H$9=H183,OR(LEFT(N183,3)=$W$7,LEFT(O183,3)=$W$7)),"x","")</f>
        <v/>
      </c>
      <c r="X183" s="85" t="str">
        <f>IF(OR(TH!N183=TH!$X$7,O183=TH!$X$7),"x","")</f>
        <v/>
      </c>
      <c r="Y183" s="85" t="str">
        <f>IF(AND(OR(N183="131",O183="131"),H183='131-CT'!$H$9),"x","")</f>
        <v/>
      </c>
      <c r="Z183" s="85"/>
      <c r="AA183" s="85" t="str">
        <f>IF(AND(MONTH(E183)='IN-NX'!$J$5,'IN-NX'!$D$7=D183),"x","")</f>
        <v/>
      </c>
      <c r="AB183" s="85" t="str">
        <f>IF(AND(OR(LEFT(TH!N183,2)="15",LEFT(TH!O183,2)="15"),'152-CT'!$J$8=TH!F183),"x","")</f>
        <v/>
      </c>
      <c r="AC183" s="85" t="str">
        <f>IF(AND(OR(LEFT(TH!N183,2)="15",LEFT(TH!O183,2)="15"),TK!$E$7=TH!F183),"x","")</f>
        <v/>
      </c>
      <c r="AD183" s="85" t="str">
        <f>IF(AND(N183="1521",MONTH(C183)='BK-NL'!$M$11),"x","")</f>
        <v/>
      </c>
    </row>
    <row r="184" spans="1:30" s="348" customFormat="1" ht="15.75" customHeight="1">
      <c r="A184" s="343" t="str">
        <f>IF(B184&lt;&gt;"",IF(AND(B184='IN-TC'!$S$4,OR(TH!N184="1111",TH!O184="1111")),TH!D184,""),"")</f>
        <v/>
      </c>
      <c r="B184" s="63">
        <f t="shared" si="25"/>
        <v>2</v>
      </c>
      <c r="C184" s="64">
        <f t="shared" si="42"/>
        <v>42415</v>
      </c>
      <c r="D184" s="64" t="s">
        <v>689</v>
      </c>
      <c r="E184" s="64">
        <v>42415</v>
      </c>
      <c r="F184" s="67" t="s">
        <v>688</v>
      </c>
      <c r="G184" s="67"/>
      <c r="H184" s="74" t="s">
        <v>450</v>
      </c>
      <c r="I184" s="449">
        <v>30620</v>
      </c>
      <c r="J184" s="450">
        <v>13200</v>
      </c>
      <c r="K184" s="440"/>
      <c r="L184" s="449"/>
      <c r="M184" s="65">
        <f t="shared" si="43"/>
        <v>404184000</v>
      </c>
      <c r="N184" s="66" t="s">
        <v>283</v>
      </c>
      <c r="O184" s="66" t="s">
        <v>275</v>
      </c>
      <c r="P184" s="85" t="str">
        <f>IF(AND('331-CT'!$E$7=TH!H184,OR(N184="331",O184="331")),"x","")</f>
        <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IF(AND('341-CT'!$H$9=H184,OR(LEFT(N184,3)=$W$7,LEFT(O184,3)=$W$7)),"x","")</f>
        <v/>
      </c>
      <c r="X184" s="85" t="str">
        <f>IF(OR(TH!N184=TH!$X$7,O184=TH!$X$7),"x","")</f>
        <v/>
      </c>
      <c r="Y184" s="85" t="str">
        <f>IF(AND(OR(N184="131",O184="131"),H184='131-CT'!$H$9),"x","")</f>
        <v/>
      </c>
      <c r="Z184" s="85"/>
      <c r="AA184" s="85" t="str">
        <f>IF(AND(MONTH(E184)='IN-NX'!$J$5,'IN-NX'!$D$7=D184),"x","")</f>
        <v/>
      </c>
      <c r="AB184" s="85" t="str">
        <f>IF(AND(OR(LEFT(TH!N184,2)="15",LEFT(TH!O184,2)="15"),'152-CT'!$J$8=TH!F184),"x","")</f>
        <v/>
      </c>
      <c r="AC184" s="85" t="str">
        <f>IF(AND(OR(LEFT(TH!N184,2)="15",LEFT(TH!O184,2)="15"),TK!$E$7=TH!F184),"x","")</f>
        <v/>
      </c>
      <c r="AD184" s="85" t="str">
        <f>IF(AND(N184="1521",MONTH(C184)='BK-NL'!$M$11),"x","")</f>
        <v/>
      </c>
    </row>
    <row r="185" spans="1:30" s="348" customFormat="1" ht="15.75" customHeight="1">
      <c r="A185" s="343" t="str">
        <f>IF(B185&lt;&gt;"",IF(AND(B185='IN-TC'!$S$4,OR(TH!N185="1111",TH!O185="1111")),TH!D185,""),"")</f>
        <v/>
      </c>
      <c r="B185" s="63">
        <f t="shared" si="25"/>
        <v>2</v>
      </c>
      <c r="C185" s="64">
        <f t="shared" si="42"/>
        <v>42418</v>
      </c>
      <c r="D185" s="64" t="s">
        <v>696</v>
      </c>
      <c r="E185" s="64">
        <v>42418</v>
      </c>
      <c r="F185" s="67" t="s">
        <v>688</v>
      </c>
      <c r="G185" s="996"/>
      <c r="H185" s="74" t="s">
        <v>450</v>
      </c>
      <c r="I185" s="449">
        <v>28577</v>
      </c>
      <c r="J185" s="450">
        <v>13200</v>
      </c>
      <c r="K185" s="440"/>
      <c r="L185" s="449"/>
      <c r="M185" s="65">
        <f t="shared" si="43"/>
        <v>377216400</v>
      </c>
      <c r="N185" s="66" t="s">
        <v>283</v>
      </c>
      <c r="O185" s="66" t="s">
        <v>275</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IF(AND('341-CT'!$H$9=H185,OR(LEFT(N185,3)=$W$7,LEFT(O185,3)=$W$7)),"x","")</f>
        <v/>
      </c>
      <c r="X185" s="85" t="str">
        <f>IF(OR(TH!N185=TH!$X$7,O185=TH!$X$7),"x","")</f>
        <v/>
      </c>
      <c r="Y185" s="85" t="str">
        <f>IF(AND(OR(N185="131",O185="131"),H185='131-CT'!$H$9),"x","")</f>
        <v/>
      </c>
      <c r="Z185" s="85"/>
      <c r="AA185" s="85" t="str">
        <f>IF(AND(MONTH(E185)='IN-NX'!$J$5,'IN-NX'!$D$7=D185),"x","")</f>
        <v/>
      </c>
      <c r="AB185" s="85" t="str">
        <f>IF(AND(OR(LEFT(TH!N185,2)="15",LEFT(TH!O185,2)="15"),'152-CT'!$J$8=TH!F185),"x","")</f>
        <v/>
      </c>
      <c r="AC185" s="85" t="str">
        <f>IF(AND(OR(LEFT(TH!N185,2)="15",LEFT(TH!O185,2)="15"),TK!$E$7=TH!F185),"x","")</f>
        <v/>
      </c>
      <c r="AD185" s="85" t="str">
        <f>IF(AND(N185="1521",MONTH(C185)='BK-NL'!$M$11),"x","")</f>
        <v/>
      </c>
    </row>
    <row r="186" spans="1:30" s="348" customFormat="1" ht="15.75" customHeight="1">
      <c r="A186" s="343" t="str">
        <f>IF(B186&lt;&gt;"",IF(AND(B186='IN-TC'!$S$4,OR(TH!N186="1111",TH!O186="1111")),TH!D186,""),"")</f>
        <v/>
      </c>
      <c r="B186" s="63">
        <f t="shared" si="25"/>
        <v>2</v>
      </c>
      <c r="C186" s="64">
        <f t="shared" si="42"/>
        <v>42423</v>
      </c>
      <c r="D186" s="64" t="s">
        <v>697</v>
      </c>
      <c r="E186" s="64">
        <v>42423</v>
      </c>
      <c r="F186" s="67" t="s">
        <v>688</v>
      </c>
      <c r="G186" s="67"/>
      <c r="H186" s="74" t="s">
        <v>450</v>
      </c>
      <c r="I186" s="447">
        <v>28803</v>
      </c>
      <c r="J186" s="450">
        <v>13200</v>
      </c>
      <c r="K186" s="438"/>
      <c r="L186" s="447"/>
      <c r="M186" s="65">
        <f t="shared" si="43"/>
        <v>380199600</v>
      </c>
      <c r="N186" s="66" t="s">
        <v>283</v>
      </c>
      <c r="O186" s="66" t="s">
        <v>275</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IF(AND('341-CT'!$H$9=H186,OR(LEFT(N186,3)=$W$7,LEFT(O186,3)=$W$7)),"x","")</f>
        <v/>
      </c>
      <c r="X186" s="85" t="str">
        <f>IF(OR(TH!N186=TH!$X$7,O186=TH!$X$7),"x","")</f>
        <v/>
      </c>
      <c r="Y186" s="85" t="str">
        <f>IF(AND(OR(N186="131",O186="131"),H186='131-CT'!$H$9),"x","")</f>
        <v/>
      </c>
      <c r="Z186" s="85"/>
      <c r="AA186" s="85" t="str">
        <f>IF(AND(MONTH(E186)='IN-NX'!$J$5,'IN-NX'!$D$7=D186),"x","")</f>
        <v/>
      </c>
      <c r="AB186" s="85" t="str">
        <f>IF(AND(OR(LEFT(TH!N186,2)="15",LEFT(TH!O186,2)="15"),'152-CT'!$J$8=TH!F186),"x","")</f>
        <v/>
      </c>
      <c r="AC186" s="85" t="str">
        <f>IF(AND(OR(LEFT(TH!N186,2)="15",LEFT(TH!O186,2)="15"),TK!$E$7=TH!F186),"x","")</f>
        <v/>
      </c>
      <c r="AD186" s="85" t="str">
        <f>IF(AND(N186="1521",MONTH(C186)='BK-NL'!$M$11),"x","")</f>
        <v/>
      </c>
    </row>
    <row r="187" spans="1:30" ht="15.75" customHeight="1">
      <c r="A187" s="343" t="str">
        <f>IF(B187&lt;&gt;"",IF(AND(B187='IN-TC'!$S$4,OR(TH!N187="1111",TH!O187="1111")),TH!D187,""),"")</f>
        <v/>
      </c>
      <c r="B187" s="63">
        <f t="shared" ref="B187:B193" si="46">IF(C187&lt;&gt;"",MONTH(C187),"")</f>
        <v>2</v>
      </c>
      <c r="C187" s="64">
        <f>E187</f>
        <v>42417</v>
      </c>
      <c r="D187" s="64" t="s">
        <v>961</v>
      </c>
      <c r="E187" s="64">
        <v>42417</v>
      </c>
      <c r="F187" s="67" t="s">
        <v>688</v>
      </c>
      <c r="G187" s="67"/>
      <c r="H187" s="75" t="s">
        <v>429</v>
      </c>
      <c r="I187" s="450">
        <v>7043</v>
      </c>
      <c r="J187" s="450">
        <v>13200</v>
      </c>
      <c r="K187" s="441"/>
      <c r="L187" s="450"/>
      <c r="M187" s="65">
        <f t="shared" si="43"/>
        <v>92967600</v>
      </c>
      <c r="N187" s="66" t="s">
        <v>275</v>
      </c>
      <c r="O187" s="66" t="s">
        <v>8</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IF(AND('341-CT'!$H$9=H187,OR(LEFT(N187,3)=$W$7,LEFT(O187,3)=$W$7)),"x","")</f>
        <v/>
      </c>
      <c r="X187" s="85" t="str">
        <f>IF(OR(TH!N187=TH!$X$7,O187=TH!$X$7),"x","")</f>
        <v/>
      </c>
      <c r="Y187" s="85" t="str">
        <f>IF(AND(OR(N187="131",O187="131"),H187='131-CT'!$H$9),"x","")</f>
        <v/>
      </c>
      <c r="Z187" s="85"/>
      <c r="AA187" s="85" t="str">
        <f>IF(AND(MONTH(E187)='IN-NX'!$J$5,'IN-NX'!$D$7=D187),"x","")</f>
        <v/>
      </c>
      <c r="AB187" s="85" t="str">
        <f>IF(AND(OR(LEFT(TH!N187,2)="15",LEFT(TH!O187,2)="15"),'152-CT'!$J$8=TH!F187),"x","")</f>
        <v/>
      </c>
      <c r="AC187" s="85" t="str">
        <f>IF(AND(OR(LEFT(TH!N187,2)="15",LEFT(TH!O187,2)="15"),TK!$E$7=TH!F187),"x","")</f>
        <v/>
      </c>
      <c r="AD187" s="85" t="str">
        <f>IF(AND(N187="1521",MONTH(C187)='BK-NL'!$M$11),"x","")</f>
        <v>x</v>
      </c>
    </row>
    <row r="188" spans="1:30" ht="15.75" customHeight="1">
      <c r="A188" s="343" t="str">
        <f>IF(B188&lt;&gt;"",IF(AND(B188='IN-TC'!$S$4,OR(TH!N188="1111",TH!O188="1111")),TH!D188,""),"")</f>
        <v/>
      </c>
      <c r="B188" s="63">
        <f t="shared" si="46"/>
        <v>2</v>
      </c>
      <c r="C188" s="64">
        <f t="shared" ref="C188:C193" si="47">E188</f>
        <v>42417</v>
      </c>
      <c r="D188" s="64" t="s">
        <v>962</v>
      </c>
      <c r="E188" s="64">
        <v>42417</v>
      </c>
      <c r="F188" s="67" t="s">
        <v>688</v>
      </c>
      <c r="G188" s="67"/>
      <c r="H188" s="74" t="s">
        <v>436</v>
      </c>
      <c r="I188" s="447">
        <v>7150</v>
      </c>
      <c r="J188" s="450">
        <v>13200</v>
      </c>
      <c r="K188" s="438"/>
      <c r="L188" s="447"/>
      <c r="M188" s="65">
        <f t="shared" si="43"/>
        <v>94380000</v>
      </c>
      <c r="N188" s="66" t="s">
        <v>275</v>
      </c>
      <c r="O188" s="66" t="s">
        <v>8</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IF(AND('341-CT'!$H$9=H188,OR(LEFT(N188,3)=$W$7,LEFT(O188,3)=$W$7)),"x","")</f>
        <v/>
      </c>
      <c r="X188" s="85" t="str">
        <f>IF(OR(TH!N188=TH!$X$7,O188=TH!$X$7),"x","")</f>
        <v/>
      </c>
      <c r="Y188" s="85" t="str">
        <f>IF(AND(OR(N188="131",O188="131"),H188='131-CT'!$H$9),"x","")</f>
        <v/>
      </c>
      <c r="Z188" s="85"/>
      <c r="AA188" s="85" t="str">
        <f>IF(AND(MONTH(E188)='IN-NX'!$J$5,'IN-NX'!$D$7=D188),"x","")</f>
        <v/>
      </c>
      <c r="AB188" s="85" t="str">
        <f>IF(AND(OR(LEFT(TH!N188,2)="15",LEFT(TH!O188,2)="15"),'152-CT'!$J$8=TH!F188),"x","")</f>
        <v/>
      </c>
      <c r="AC188" s="85" t="str">
        <f>IF(AND(OR(LEFT(TH!N188,2)="15",LEFT(TH!O188,2)="15"),TK!$E$7=TH!F188),"x","")</f>
        <v/>
      </c>
      <c r="AD188" s="85" t="str">
        <f>IF(AND(N188="1521",MONTH(C188)='BK-NL'!$M$11),"x","")</f>
        <v>x</v>
      </c>
    </row>
    <row r="189" spans="1:30" ht="15.75" customHeight="1">
      <c r="A189" s="343" t="str">
        <f>IF(B189&lt;&gt;"",IF(AND(B189='IN-TC'!$S$4,OR(TH!N189="1111",TH!O189="1111")),TH!D189,""),"")</f>
        <v/>
      </c>
      <c r="B189" s="63">
        <f t="shared" si="46"/>
        <v>2</v>
      </c>
      <c r="C189" s="64">
        <f t="shared" si="47"/>
        <v>42417</v>
      </c>
      <c r="D189" s="64" t="s">
        <v>963</v>
      </c>
      <c r="E189" s="64">
        <v>42417</v>
      </c>
      <c r="F189" s="67" t="s">
        <v>688</v>
      </c>
      <c r="G189" s="67"/>
      <c r="H189" s="74" t="s">
        <v>438</v>
      </c>
      <c r="I189" s="447">
        <v>6970</v>
      </c>
      <c r="J189" s="450">
        <v>13200</v>
      </c>
      <c r="K189" s="438"/>
      <c r="L189" s="447"/>
      <c r="M189" s="65">
        <f t="shared" si="43"/>
        <v>92004000</v>
      </c>
      <c r="N189" s="66" t="s">
        <v>275</v>
      </c>
      <c r="O189" s="66" t="s">
        <v>8</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IF(AND('341-CT'!$H$9=H189,OR(LEFT(N189,3)=$W$7,LEFT(O189,3)=$W$7)),"x","")</f>
        <v/>
      </c>
      <c r="X189" s="85" t="str">
        <f>IF(OR(TH!N189=TH!$X$7,O189=TH!$X$7),"x","")</f>
        <v/>
      </c>
      <c r="Y189" s="85" t="str">
        <f>IF(AND(OR(N189="131",O189="131"),H189='131-CT'!$H$9),"x","")</f>
        <v/>
      </c>
      <c r="Z189" s="85"/>
      <c r="AA189" s="85" t="str">
        <f>IF(AND(MONTH(E189)='IN-NX'!$J$5,'IN-NX'!$D$7=D189),"x","")</f>
        <v/>
      </c>
      <c r="AB189" s="85" t="str">
        <f>IF(AND(OR(LEFT(TH!N189,2)="15",LEFT(TH!O189,2)="15"),'152-CT'!$J$8=TH!F189),"x","")</f>
        <v/>
      </c>
      <c r="AC189" s="85" t="str">
        <f>IF(AND(OR(LEFT(TH!N189,2)="15",LEFT(TH!O189,2)="15"),TK!$E$7=TH!F189),"x","")</f>
        <v/>
      </c>
      <c r="AD189" s="85" t="str">
        <f>IF(AND(N189="1521",MONTH(C189)='BK-NL'!$M$11),"x","")</f>
        <v>x</v>
      </c>
    </row>
    <row r="190" spans="1:30" ht="15.75" customHeight="1">
      <c r="A190" s="343" t="str">
        <f>IF(B190&lt;&gt;"",IF(AND(B190='IN-TC'!$S$4,OR(TH!N190="1111",TH!O190="1111")),TH!D190,""),"")</f>
        <v/>
      </c>
      <c r="B190" s="63">
        <f t="shared" si="46"/>
        <v>2</v>
      </c>
      <c r="C190" s="64">
        <f t="shared" si="47"/>
        <v>42417</v>
      </c>
      <c r="D190" s="64" t="s">
        <v>964</v>
      </c>
      <c r="E190" s="64">
        <v>42417</v>
      </c>
      <c r="F190" s="67" t="s">
        <v>688</v>
      </c>
      <c r="G190" s="67"/>
      <c r="H190" s="74" t="s">
        <v>445</v>
      </c>
      <c r="I190" s="447">
        <v>7450</v>
      </c>
      <c r="J190" s="450">
        <v>13200</v>
      </c>
      <c r="K190" s="438"/>
      <c r="L190" s="447"/>
      <c r="M190" s="65">
        <f t="shared" si="43"/>
        <v>98340000</v>
      </c>
      <c r="N190" s="66" t="s">
        <v>275</v>
      </c>
      <c r="O190" s="66" t="s">
        <v>8</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IF(AND('341-CT'!$H$9=H190,OR(LEFT(N190,3)=$W$7,LEFT(O190,3)=$W$7)),"x","")</f>
        <v/>
      </c>
      <c r="X190" s="85" t="str">
        <f>IF(OR(TH!N190=TH!$X$7,O190=TH!$X$7),"x","")</f>
        <v/>
      </c>
      <c r="Y190" s="85" t="str">
        <f>IF(AND(OR(N190="131",O190="131"),H190='131-CT'!$H$9),"x","")</f>
        <v/>
      </c>
      <c r="Z190" s="85"/>
      <c r="AA190" s="85" t="str">
        <f>IF(AND(MONTH(E190)='IN-NX'!$J$5,'IN-NX'!$D$7=D190),"x","")</f>
        <v/>
      </c>
      <c r="AB190" s="85" t="str">
        <f>IF(AND(OR(LEFT(TH!N190,2)="15",LEFT(TH!O190,2)="15"),'152-CT'!$J$8=TH!F190),"x","")</f>
        <v/>
      </c>
      <c r="AC190" s="85" t="str">
        <f>IF(AND(OR(LEFT(TH!N190,2)="15",LEFT(TH!O190,2)="15"),TK!$E$7=TH!F190),"x","")</f>
        <v/>
      </c>
      <c r="AD190" s="85" t="str">
        <f>IF(AND(N190="1521",MONTH(C190)='BK-NL'!$M$11),"x","")</f>
        <v>x</v>
      </c>
    </row>
    <row r="191" spans="1:30" ht="15.75" customHeight="1">
      <c r="A191" s="343" t="str">
        <f>IF(B191&lt;&gt;"",IF(AND(B191='IN-TC'!$S$4,OR(TH!N191="1111",TH!O191="1111")),TH!D191,""),"")</f>
        <v/>
      </c>
      <c r="B191" s="63">
        <f t="shared" si="46"/>
        <v>2</v>
      </c>
      <c r="C191" s="64">
        <f t="shared" si="47"/>
        <v>42424</v>
      </c>
      <c r="D191" s="64" t="s">
        <v>965</v>
      </c>
      <c r="E191" s="64">
        <v>42424</v>
      </c>
      <c r="F191" s="67" t="s">
        <v>688</v>
      </c>
      <c r="G191" s="67"/>
      <c r="H191" s="74" t="s">
        <v>436</v>
      </c>
      <c r="I191" s="447">
        <v>7460</v>
      </c>
      <c r="J191" s="450">
        <v>13200</v>
      </c>
      <c r="K191" s="438"/>
      <c r="L191" s="447"/>
      <c r="M191" s="65">
        <f t="shared" si="43"/>
        <v>98472000</v>
      </c>
      <c r="N191" s="66" t="s">
        <v>275</v>
      </c>
      <c r="O191" s="66" t="s">
        <v>8</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IF(AND('341-CT'!$H$9=H191,OR(LEFT(N191,3)=$W$7,LEFT(O191,3)=$W$7)),"x","")</f>
        <v/>
      </c>
      <c r="X191" s="85" t="str">
        <f>IF(OR(TH!N191=TH!$X$7,O191=TH!$X$7),"x","")</f>
        <v/>
      </c>
      <c r="Y191" s="85" t="str">
        <f>IF(AND(OR(N191="131",O191="131"),H191='131-CT'!$H$9),"x","")</f>
        <v/>
      </c>
      <c r="Z191" s="85"/>
      <c r="AA191" s="85" t="str">
        <f>IF(AND(MONTH(E191)='IN-NX'!$J$5,'IN-NX'!$D$7=D191),"x","")</f>
        <v/>
      </c>
      <c r="AB191" s="85" t="str">
        <f>IF(AND(OR(LEFT(TH!N191,2)="15",LEFT(TH!O191,2)="15"),'152-CT'!$J$8=TH!F191),"x","")</f>
        <v/>
      </c>
      <c r="AC191" s="85" t="str">
        <f>IF(AND(OR(LEFT(TH!N191,2)="15",LEFT(TH!O191,2)="15"),TK!$E$7=TH!F191),"x","")</f>
        <v/>
      </c>
      <c r="AD191" s="85" t="str">
        <f>IF(AND(N191="1521",MONTH(C191)='BK-NL'!$M$11),"x","")</f>
        <v>x</v>
      </c>
    </row>
    <row r="192" spans="1:30" ht="15.75" customHeight="1">
      <c r="A192" s="343" t="str">
        <f>IF(B192&lt;&gt;"",IF(AND(B192='IN-TC'!$S$4,OR(TH!N192="1111",TH!O192="1111")),TH!D192,""),"")</f>
        <v/>
      </c>
      <c r="B192" s="63">
        <f t="shared" si="46"/>
        <v>2</v>
      </c>
      <c r="C192" s="64">
        <f t="shared" si="47"/>
        <v>42424</v>
      </c>
      <c r="D192" s="64" t="s">
        <v>966</v>
      </c>
      <c r="E192" s="64">
        <v>42424</v>
      </c>
      <c r="F192" s="67" t="s">
        <v>688</v>
      </c>
      <c r="G192" s="67"/>
      <c r="H192" s="74" t="s">
        <v>438</v>
      </c>
      <c r="I192" s="447">
        <v>7328</v>
      </c>
      <c r="J192" s="450">
        <v>13200</v>
      </c>
      <c r="K192" s="438"/>
      <c r="L192" s="447"/>
      <c r="M192" s="65">
        <f t="shared" si="43"/>
        <v>96729600</v>
      </c>
      <c r="N192" s="66" t="s">
        <v>275</v>
      </c>
      <c r="O192" s="66" t="s">
        <v>8</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IF(AND('341-CT'!$H$9=H192,OR(LEFT(N192,3)=$W$7,LEFT(O192,3)=$W$7)),"x","")</f>
        <v/>
      </c>
      <c r="X192" s="85" t="str">
        <f>IF(OR(TH!N192=TH!$X$7,O192=TH!$X$7),"x","")</f>
        <v/>
      </c>
      <c r="Y192" s="85" t="str">
        <f>IF(AND(OR(N192="131",O192="131"),H192='131-CT'!$H$9),"x","")</f>
        <v/>
      </c>
      <c r="Z192" s="85"/>
      <c r="AA192" s="85" t="str">
        <f>IF(AND(MONTH(E192)='IN-NX'!$J$5,'IN-NX'!$D$7=D192),"x","")</f>
        <v/>
      </c>
      <c r="AB192" s="85" t="str">
        <f>IF(AND(OR(LEFT(TH!N192,2)="15",LEFT(TH!O192,2)="15"),'152-CT'!$J$8=TH!F192),"x","")</f>
        <v/>
      </c>
      <c r="AC192" s="85" t="str">
        <f>IF(AND(OR(LEFT(TH!N192,2)="15",LEFT(TH!O192,2)="15"),TK!$E$7=TH!F192),"x","")</f>
        <v/>
      </c>
      <c r="AD192" s="85" t="str">
        <f>IF(AND(N192="1521",MONTH(C192)='BK-NL'!$M$11),"x","")</f>
        <v>x</v>
      </c>
    </row>
    <row r="193" spans="1:30" ht="15.75" customHeight="1">
      <c r="A193" s="343" t="str">
        <f>IF(B193&lt;&gt;"",IF(AND(B193='IN-TC'!$S$4,OR(TH!N193="1111",TH!O193="1111")),TH!D193,""),"")</f>
        <v/>
      </c>
      <c r="B193" s="63">
        <f t="shared" si="46"/>
        <v>2</v>
      </c>
      <c r="C193" s="64">
        <f t="shared" si="47"/>
        <v>42424</v>
      </c>
      <c r="D193" s="64" t="s">
        <v>967</v>
      </c>
      <c r="E193" s="64">
        <v>42424</v>
      </c>
      <c r="F193" s="67" t="s">
        <v>688</v>
      </c>
      <c r="G193" s="67"/>
      <c r="H193" s="74" t="s">
        <v>439</v>
      </c>
      <c r="I193" s="447">
        <f>7046-947</f>
        <v>6099</v>
      </c>
      <c r="J193" s="450">
        <v>13200</v>
      </c>
      <c r="K193" s="438"/>
      <c r="L193" s="447"/>
      <c r="M193" s="65">
        <f t="shared" si="43"/>
        <v>80506800</v>
      </c>
      <c r="N193" s="66" t="s">
        <v>275</v>
      </c>
      <c r="O193" s="66" t="s">
        <v>8</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IF(AND('341-CT'!$H$9=H193,OR(LEFT(N193,3)=$W$7,LEFT(O193,3)=$W$7)),"x","")</f>
        <v/>
      </c>
      <c r="X193" s="85" t="str">
        <f>IF(OR(TH!N193=TH!$X$7,O193=TH!$X$7),"x","")</f>
        <v/>
      </c>
      <c r="Y193" s="85" t="str">
        <f>IF(AND(OR(N193="131",O193="131"),H193='131-CT'!$H$9),"x","")</f>
        <v/>
      </c>
      <c r="Z193" s="85"/>
      <c r="AA193" s="85" t="str">
        <f>IF(AND(MONTH(E193)='IN-NX'!$J$5,'IN-NX'!$D$7=D193),"x","")</f>
        <v/>
      </c>
      <c r="AB193" s="85" t="str">
        <f>IF(AND(OR(LEFT(TH!N193,2)="15",LEFT(TH!O193,2)="15"),'152-CT'!$J$8=TH!F193),"x","")</f>
        <v/>
      </c>
      <c r="AC193" s="85" t="str">
        <f>IF(AND(OR(LEFT(TH!N193,2)="15",LEFT(TH!O193,2)="15"),TK!$E$7=TH!F193),"x","")</f>
        <v/>
      </c>
      <c r="AD193" s="85" t="str">
        <f>IF(AND(N193="1521",MONTH(C193)='BK-NL'!$M$11),"x","")</f>
        <v>x</v>
      </c>
    </row>
    <row r="194" spans="1:30" s="348" customFormat="1" ht="15.75" customHeight="1">
      <c r="A194" s="343" t="str">
        <f>IF(B194&lt;&gt;"",IF(AND(B194='IN-TC'!$S$4,OR(TH!N194="1111",TH!O194="1111")),TH!D194,""),"")</f>
        <v/>
      </c>
      <c r="B194" s="63">
        <f t="shared" ref="B194:B202" si="48">IF(C194&lt;&gt;"",MONTH(C194),"")</f>
        <v>3</v>
      </c>
      <c r="C194" s="64">
        <f t="shared" ref="C194:C202" si="49">E194</f>
        <v>42430</v>
      </c>
      <c r="D194" s="64" t="s">
        <v>689</v>
      </c>
      <c r="E194" s="64">
        <v>42430</v>
      </c>
      <c r="F194" s="67" t="s">
        <v>688</v>
      </c>
      <c r="G194" s="67"/>
      <c r="H194" s="74" t="s">
        <v>450</v>
      </c>
      <c r="I194" s="449">
        <v>28613</v>
      </c>
      <c r="J194" s="450">
        <v>13200</v>
      </c>
      <c r="K194" s="440"/>
      <c r="L194" s="449"/>
      <c r="M194" s="65">
        <f t="shared" ref="M194:M202" si="50">ROUND(I194*J194,0)</f>
        <v>377691600</v>
      </c>
      <c r="N194" s="66" t="s">
        <v>283</v>
      </c>
      <c r="O194" s="66" t="s">
        <v>275</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IF(AND('341-CT'!$H$9=H194,OR(LEFT(N194,3)=$W$7,LEFT(O194,3)=$W$7)),"x","")</f>
        <v/>
      </c>
      <c r="X194" s="85" t="str">
        <f>IF(OR(TH!N194=TH!$X$7,O194=TH!$X$7),"x","")</f>
        <v/>
      </c>
      <c r="Y194" s="85" t="str">
        <f>IF(AND(OR(N194="131",O194="131"),H194='131-CT'!$H$9),"x","")</f>
        <v/>
      </c>
      <c r="Z194" s="85"/>
      <c r="AA194" s="85" t="str">
        <f>IF(AND(MONTH(E194)='IN-NX'!$J$5,'IN-NX'!$D$7=D194),"x","")</f>
        <v/>
      </c>
      <c r="AB194" s="85" t="str">
        <f>IF(AND(OR(LEFT(TH!N194,2)="15",LEFT(TH!O194,2)="15"),'152-CT'!$J$8=TH!F194),"x","")</f>
        <v/>
      </c>
      <c r="AC194" s="85" t="str">
        <f>IF(AND(OR(LEFT(TH!N194,2)="15",LEFT(TH!O194,2)="15"),TK!$E$7=TH!F194),"x","")</f>
        <v/>
      </c>
      <c r="AD194" s="85" t="str">
        <f>IF(AND(N194="1521",MONTH(C194)='BK-NL'!$M$11),"x","")</f>
        <v/>
      </c>
    </row>
    <row r="195" spans="1:30" s="348" customFormat="1" ht="15.75" customHeight="1">
      <c r="A195" s="343" t="str">
        <f>IF(B195&lt;&gt;"",IF(AND(B195='IN-TC'!$S$4,OR(TH!N195="1111",TH!O195="1111")),TH!D195,""),"")</f>
        <v/>
      </c>
      <c r="B195" s="63">
        <f t="shared" si="48"/>
        <v>3</v>
      </c>
      <c r="C195" s="64">
        <f t="shared" si="49"/>
        <v>42436</v>
      </c>
      <c r="D195" s="64" t="s">
        <v>696</v>
      </c>
      <c r="E195" s="64">
        <v>42436</v>
      </c>
      <c r="F195" s="67" t="s">
        <v>688</v>
      </c>
      <c r="G195" s="996"/>
      <c r="H195" s="74" t="s">
        <v>450</v>
      </c>
      <c r="I195" s="449">
        <v>20887</v>
      </c>
      <c r="J195" s="450">
        <v>13200</v>
      </c>
      <c r="K195" s="440"/>
      <c r="L195" s="449"/>
      <c r="M195" s="65">
        <f t="shared" si="50"/>
        <v>275708400</v>
      </c>
      <c r="N195" s="66" t="s">
        <v>283</v>
      </c>
      <c r="O195" s="66" t="s">
        <v>275</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IF(AND('341-CT'!$H$9=H195,OR(LEFT(N195,3)=$W$7,LEFT(O195,3)=$W$7)),"x","")</f>
        <v/>
      </c>
      <c r="X195" s="85" t="str">
        <f>IF(OR(TH!N195=TH!$X$7,O195=TH!$X$7),"x","")</f>
        <v/>
      </c>
      <c r="Y195" s="85" t="str">
        <f>IF(AND(OR(N195="131",O195="131"),H195='131-CT'!$H$9),"x","")</f>
        <v/>
      </c>
      <c r="Z195" s="85"/>
      <c r="AA195" s="85" t="str">
        <f>IF(AND(MONTH(E195)='IN-NX'!$J$5,'IN-NX'!$D$7=D195),"x","")</f>
        <v/>
      </c>
      <c r="AB195" s="85" t="str">
        <f>IF(AND(OR(LEFT(TH!N195,2)="15",LEFT(TH!O195,2)="15"),'152-CT'!$J$8=TH!F195),"x","")</f>
        <v/>
      </c>
      <c r="AC195" s="85" t="str">
        <f>IF(AND(OR(LEFT(TH!N195,2)="15",LEFT(TH!O195,2)="15"),TK!$E$7=TH!F195),"x","")</f>
        <v/>
      </c>
      <c r="AD195" s="85" t="str">
        <f>IF(AND(N195="1521",MONTH(C195)='BK-NL'!$M$11),"x","")</f>
        <v/>
      </c>
    </row>
    <row r="196" spans="1:30" s="348" customFormat="1" ht="15.75" customHeight="1">
      <c r="A196" s="343" t="str">
        <f>IF(B196&lt;&gt;"",IF(AND(B196='IN-TC'!$S$4,OR(TH!N196="1111",TH!O196="1111")),TH!D196,""),"")</f>
        <v/>
      </c>
      <c r="B196" s="63">
        <f t="shared" si="48"/>
        <v>3</v>
      </c>
      <c r="C196" s="64">
        <f t="shared" si="49"/>
        <v>42437</v>
      </c>
      <c r="D196" s="64" t="s">
        <v>945</v>
      </c>
      <c r="E196" s="64">
        <v>42437</v>
      </c>
      <c r="F196" s="67" t="s">
        <v>687</v>
      </c>
      <c r="G196" s="67"/>
      <c r="H196" s="74" t="s">
        <v>365</v>
      </c>
      <c r="I196" s="447">
        <v>4502</v>
      </c>
      <c r="J196" s="450">
        <v>18500</v>
      </c>
      <c r="K196" s="438"/>
      <c r="L196" s="447"/>
      <c r="M196" s="65">
        <f t="shared" si="50"/>
        <v>83287000</v>
      </c>
      <c r="N196" s="66" t="s">
        <v>275</v>
      </c>
      <c r="O196" s="66" t="s">
        <v>8</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IF(AND('341-CT'!$H$9=H196,OR(LEFT(N196,3)=$W$7,LEFT(O196,3)=$W$7)),"x","")</f>
        <v/>
      </c>
      <c r="X196" s="85" t="str">
        <f>IF(OR(TH!N196=TH!$X$7,O196=TH!$X$7),"x","")</f>
        <v/>
      </c>
      <c r="Y196" s="85" t="str">
        <f>IF(AND(OR(N196="131",O196="131"),H196='131-CT'!$H$9),"x","")</f>
        <v/>
      </c>
      <c r="Z196" s="85"/>
      <c r="AA196" s="85" t="str">
        <f>IF(AND(MONTH(E196)='IN-NX'!$J$5,'IN-NX'!$D$7=D196),"x","")</f>
        <v/>
      </c>
      <c r="AB196" s="85" t="str">
        <f>IF(AND(OR(LEFT(TH!N196,2)="15",LEFT(TH!O196,2)="15"),'152-CT'!$J$8=TH!F196),"x","")</f>
        <v/>
      </c>
      <c r="AC196" s="85" t="str">
        <f>IF(AND(OR(LEFT(TH!N196,2)="15",LEFT(TH!O196,2)="15"),TK!$E$7=TH!F196),"x","")</f>
        <v/>
      </c>
      <c r="AD196" s="85" t="str">
        <f>IF(AND(N196="1521",MONTH(C196)='BK-NL'!$M$11),"x","")</f>
        <v/>
      </c>
    </row>
    <row r="197" spans="1:30" ht="15.75" customHeight="1">
      <c r="A197" s="343" t="str">
        <f>IF(B197&lt;&gt;"",IF(AND(B197='IN-TC'!$S$4,OR(TH!N197="1111",TH!O197="1111")),TH!D197,""),"")</f>
        <v/>
      </c>
      <c r="B197" s="63">
        <f t="shared" si="48"/>
        <v>3</v>
      </c>
      <c r="C197" s="64">
        <f t="shared" si="49"/>
        <v>42437</v>
      </c>
      <c r="D197" s="64" t="s">
        <v>946</v>
      </c>
      <c r="E197" s="64">
        <v>42437</v>
      </c>
      <c r="F197" s="67" t="s">
        <v>687</v>
      </c>
      <c r="G197" s="67"/>
      <c r="H197" s="75" t="s">
        <v>347</v>
      </c>
      <c r="I197" s="450">
        <v>5630</v>
      </c>
      <c r="J197" s="450">
        <v>18500</v>
      </c>
      <c r="K197" s="441"/>
      <c r="L197" s="450"/>
      <c r="M197" s="65">
        <f t="shared" si="50"/>
        <v>104155000</v>
      </c>
      <c r="N197" s="66" t="s">
        <v>275</v>
      </c>
      <c r="O197" s="66" t="s">
        <v>8</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IF(AND('341-CT'!$H$9=H197,OR(LEFT(N197,3)=$W$7,LEFT(O197,3)=$W$7)),"x","")</f>
        <v/>
      </c>
      <c r="X197" s="85" t="str">
        <f>IF(OR(TH!N197=TH!$X$7,O197=TH!$X$7),"x","")</f>
        <v/>
      </c>
      <c r="Y197" s="85" t="str">
        <f>IF(AND(OR(N197="131",O197="131"),H197='131-CT'!$H$9),"x","")</f>
        <v/>
      </c>
      <c r="Z197" s="85"/>
      <c r="AA197" s="85" t="str">
        <f>IF(AND(MONTH(E197)='IN-NX'!$J$5,'IN-NX'!$D$7=D197),"x","")</f>
        <v/>
      </c>
      <c r="AB197" s="85" t="str">
        <f>IF(AND(OR(LEFT(TH!N197,2)="15",LEFT(TH!O197,2)="15"),'152-CT'!$J$8=TH!F197),"x","")</f>
        <v/>
      </c>
      <c r="AC197" s="85" t="str">
        <f>IF(AND(OR(LEFT(TH!N197,2)="15",LEFT(TH!O197,2)="15"),TK!$E$7=TH!F197),"x","")</f>
        <v/>
      </c>
      <c r="AD197" s="85" t="str">
        <f>IF(AND(N197="1521",MONTH(C197)='BK-NL'!$M$11),"x","")</f>
        <v/>
      </c>
    </row>
    <row r="198" spans="1:30" ht="15.75" customHeight="1">
      <c r="A198" s="343" t="str">
        <f>IF(B198&lt;&gt;"",IF(AND(B198='IN-TC'!$S$4,OR(TH!N198="1111",TH!O198="1111")),TH!D198,""),"")</f>
        <v/>
      </c>
      <c r="B198" s="63">
        <f t="shared" si="48"/>
        <v>3</v>
      </c>
      <c r="C198" s="64">
        <f t="shared" si="49"/>
        <v>42437</v>
      </c>
      <c r="D198" s="64" t="s">
        <v>947</v>
      </c>
      <c r="E198" s="64">
        <v>42437</v>
      </c>
      <c r="F198" s="67" t="s">
        <v>687</v>
      </c>
      <c r="G198" s="67"/>
      <c r="H198" s="74" t="s">
        <v>350</v>
      </c>
      <c r="I198" s="447">
        <v>5480</v>
      </c>
      <c r="J198" s="450">
        <v>18500</v>
      </c>
      <c r="K198" s="438"/>
      <c r="L198" s="447"/>
      <c r="M198" s="65">
        <f t="shared" si="50"/>
        <v>101380000</v>
      </c>
      <c r="N198" s="66" t="s">
        <v>275</v>
      </c>
      <c r="O198" s="66" t="s">
        <v>8</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IF(AND('341-CT'!$H$9=H198,OR(LEFT(N198,3)=$W$7,LEFT(O198,3)=$W$7)),"x","")</f>
        <v/>
      </c>
      <c r="X198" s="85" t="str">
        <f>IF(OR(TH!N198=TH!$X$7,O198=TH!$X$7),"x","")</f>
        <v/>
      </c>
      <c r="Y198" s="85" t="str">
        <f>IF(AND(OR(N198="131",O198="131"),H198='131-CT'!$H$9),"x","")</f>
        <v/>
      </c>
      <c r="Z198" s="85"/>
      <c r="AA198" s="85" t="str">
        <f>IF(AND(MONTH(E198)='IN-NX'!$J$5,'IN-NX'!$D$7=D198),"x","")</f>
        <v/>
      </c>
      <c r="AB198" s="85" t="str">
        <f>IF(AND(OR(LEFT(TH!N198,2)="15",LEFT(TH!O198,2)="15"),'152-CT'!$J$8=TH!F198),"x","")</f>
        <v/>
      </c>
      <c r="AC198" s="85" t="str">
        <f>IF(AND(OR(LEFT(TH!N198,2)="15",LEFT(TH!O198,2)="15"),TK!$E$7=TH!F198),"x","")</f>
        <v/>
      </c>
      <c r="AD198" s="85" t="str">
        <f>IF(AND(N198="1521",MONTH(C198)='BK-NL'!$M$11),"x","")</f>
        <v/>
      </c>
    </row>
    <row r="199" spans="1:30" ht="15.75" customHeight="1">
      <c r="A199" s="343" t="str">
        <f>IF(B199&lt;&gt;"",IF(AND(B199='IN-TC'!$S$4,OR(TH!N199="1111",TH!O199="1111")),TH!D199,""),"")</f>
        <v/>
      </c>
      <c r="B199" s="63">
        <f t="shared" si="48"/>
        <v>3</v>
      </c>
      <c r="C199" s="64">
        <f t="shared" si="49"/>
        <v>42437</v>
      </c>
      <c r="D199" s="64" t="s">
        <v>948</v>
      </c>
      <c r="E199" s="64">
        <v>42437</v>
      </c>
      <c r="F199" s="67" t="s">
        <v>687</v>
      </c>
      <c r="G199" s="67"/>
      <c r="H199" s="74" t="s">
        <v>362</v>
      </c>
      <c r="I199" s="447">
        <v>4460</v>
      </c>
      <c r="J199" s="450">
        <v>18500</v>
      </c>
      <c r="K199" s="438"/>
      <c r="L199" s="447"/>
      <c r="M199" s="65">
        <f t="shared" si="50"/>
        <v>82510000</v>
      </c>
      <c r="N199" s="66" t="s">
        <v>275</v>
      </c>
      <c r="O199" s="66" t="s">
        <v>8</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IF(AND('341-CT'!$H$9=H199,OR(LEFT(N199,3)=$W$7,LEFT(O199,3)=$W$7)),"x","")</f>
        <v/>
      </c>
      <c r="X199" s="85" t="str">
        <f>IF(OR(TH!N199=TH!$X$7,O199=TH!$X$7),"x","")</f>
        <v/>
      </c>
      <c r="Y199" s="85" t="str">
        <f>IF(AND(OR(N199="131",O199="131"),H199='131-CT'!$H$9),"x","")</f>
        <v/>
      </c>
      <c r="Z199" s="85"/>
      <c r="AA199" s="85" t="str">
        <f>IF(AND(MONTH(E199)='IN-NX'!$J$5,'IN-NX'!$D$7=D199),"x","")</f>
        <v/>
      </c>
      <c r="AB199" s="85" t="str">
        <f>IF(AND(OR(LEFT(TH!N199,2)="15",LEFT(TH!O199,2)="15"),'152-CT'!$J$8=TH!F199),"x","")</f>
        <v/>
      </c>
      <c r="AC199" s="85" t="str">
        <f>IF(AND(OR(LEFT(TH!N199,2)="15",LEFT(TH!O199,2)="15"),TK!$E$7=TH!F199),"x","")</f>
        <v/>
      </c>
      <c r="AD199" s="85" t="str">
        <f>IF(AND(N199="1521",MONTH(C199)='BK-NL'!$M$11),"x","")</f>
        <v/>
      </c>
    </row>
    <row r="200" spans="1:30" ht="15.75" customHeight="1">
      <c r="A200" s="343" t="str">
        <f>IF(B200&lt;&gt;"",IF(AND(B200='IN-TC'!$S$4,OR(TH!N200="1111",TH!O200="1111")),TH!D200,""),"")</f>
        <v/>
      </c>
      <c r="B200" s="63">
        <f t="shared" si="48"/>
        <v>3</v>
      </c>
      <c r="C200" s="64">
        <f t="shared" si="49"/>
        <v>42448</v>
      </c>
      <c r="D200" s="64" t="s">
        <v>949</v>
      </c>
      <c r="E200" s="64">
        <v>42448</v>
      </c>
      <c r="F200" s="67" t="s">
        <v>687</v>
      </c>
      <c r="G200" s="67"/>
      <c r="H200" s="74" t="s">
        <v>365</v>
      </c>
      <c r="I200" s="447">
        <v>4780</v>
      </c>
      <c r="J200" s="450">
        <v>18500</v>
      </c>
      <c r="K200" s="438"/>
      <c r="L200" s="447"/>
      <c r="M200" s="65">
        <f t="shared" si="50"/>
        <v>88430000</v>
      </c>
      <c r="N200" s="66" t="s">
        <v>275</v>
      </c>
      <c r="O200" s="66" t="s">
        <v>8</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IF(AND('341-CT'!$H$9=H200,OR(LEFT(N200,3)=$W$7,LEFT(O200,3)=$W$7)),"x","")</f>
        <v/>
      </c>
      <c r="X200" s="85" t="str">
        <f>IF(OR(TH!N200=TH!$X$7,O200=TH!$X$7),"x","")</f>
        <v/>
      </c>
      <c r="Y200" s="85" t="str">
        <f>IF(AND(OR(N200="131",O200="131"),H200='131-CT'!$H$9),"x","")</f>
        <v/>
      </c>
      <c r="Z200" s="85"/>
      <c r="AA200" s="85" t="str">
        <f>IF(AND(MONTH(E200)='IN-NX'!$J$5,'IN-NX'!$D$7=D200),"x","")</f>
        <v/>
      </c>
      <c r="AB200" s="85" t="str">
        <f>IF(AND(OR(LEFT(TH!N200,2)="15",LEFT(TH!O200,2)="15"),'152-CT'!$J$8=TH!F200),"x","")</f>
        <v/>
      </c>
      <c r="AC200" s="85" t="str">
        <f>IF(AND(OR(LEFT(TH!N200,2)="15",LEFT(TH!O200,2)="15"),TK!$E$7=TH!F200),"x","")</f>
        <v/>
      </c>
      <c r="AD200" s="85" t="str">
        <f>IF(AND(N200="1521",MONTH(C200)='BK-NL'!$M$11),"x","")</f>
        <v/>
      </c>
    </row>
    <row r="201" spans="1:30" ht="15.75" customHeight="1">
      <c r="A201" s="343" t="str">
        <f>IF(B201&lt;&gt;"",IF(AND(B201='IN-TC'!$S$4,OR(TH!N201="1111",TH!O201="1111")),TH!D201,""),"")</f>
        <v/>
      </c>
      <c r="B201" s="63">
        <f t="shared" si="48"/>
        <v>3</v>
      </c>
      <c r="C201" s="64">
        <f t="shared" si="49"/>
        <v>42448</v>
      </c>
      <c r="D201" s="64" t="s">
        <v>950</v>
      </c>
      <c r="E201" s="64">
        <v>42448</v>
      </c>
      <c r="F201" s="67" t="s">
        <v>687</v>
      </c>
      <c r="G201" s="67"/>
      <c r="H201" s="74" t="s">
        <v>368</v>
      </c>
      <c r="I201" s="447">
        <v>3940</v>
      </c>
      <c r="J201" s="450">
        <v>18500</v>
      </c>
      <c r="K201" s="438"/>
      <c r="L201" s="447"/>
      <c r="M201" s="65">
        <f t="shared" si="50"/>
        <v>72890000</v>
      </c>
      <c r="N201" s="66" t="s">
        <v>275</v>
      </c>
      <c r="O201" s="66" t="s">
        <v>8</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IF(AND('341-CT'!$H$9=H201,OR(LEFT(N201,3)=$W$7,LEFT(O201,3)=$W$7)),"x","")</f>
        <v/>
      </c>
      <c r="X201" s="85" t="str">
        <f>IF(OR(TH!N201=TH!$X$7,O201=TH!$X$7),"x","")</f>
        <v/>
      </c>
      <c r="Y201" s="85" t="str">
        <f>IF(AND(OR(N201="131",O201="131"),H201='131-CT'!$H$9),"x","")</f>
        <v/>
      </c>
      <c r="Z201" s="85"/>
      <c r="AA201" s="85" t="str">
        <f>IF(AND(MONTH(E201)='IN-NX'!$J$5,'IN-NX'!$D$7=D201),"x","")</f>
        <v/>
      </c>
      <c r="AB201" s="85" t="str">
        <f>IF(AND(OR(LEFT(TH!N201,2)="15",LEFT(TH!O201,2)="15"),'152-CT'!$J$8=TH!F201),"x","")</f>
        <v/>
      </c>
      <c r="AC201" s="85" t="str">
        <f>IF(AND(OR(LEFT(TH!N201,2)="15",LEFT(TH!O201,2)="15"),TK!$E$7=TH!F201),"x","")</f>
        <v/>
      </c>
      <c r="AD201" s="85" t="str">
        <f>IF(AND(N201="1521",MONTH(C201)='BK-NL'!$M$11),"x","")</f>
        <v/>
      </c>
    </row>
    <row r="202" spans="1:30" ht="15.75" customHeight="1">
      <c r="A202" s="343" t="str">
        <f>IF(B202&lt;&gt;"",IF(AND(B202='IN-TC'!$S$4,OR(TH!N202="1111",TH!O202="1111")),TH!D202,""),"")</f>
        <v/>
      </c>
      <c r="B202" s="63">
        <f t="shared" si="48"/>
        <v>3</v>
      </c>
      <c r="C202" s="64">
        <f t="shared" si="49"/>
        <v>42448</v>
      </c>
      <c r="D202" s="64" t="s">
        <v>951</v>
      </c>
      <c r="E202" s="64">
        <v>42448</v>
      </c>
      <c r="F202" s="67" t="s">
        <v>687</v>
      </c>
      <c r="G202" s="67"/>
      <c r="H202" s="74" t="s">
        <v>362</v>
      </c>
      <c r="I202" s="447">
        <v>3208</v>
      </c>
      <c r="J202" s="450">
        <v>18500</v>
      </c>
      <c r="K202" s="438"/>
      <c r="L202" s="447"/>
      <c r="M202" s="65">
        <f t="shared" si="50"/>
        <v>59348000</v>
      </c>
      <c r="N202" s="66" t="s">
        <v>275</v>
      </c>
      <c r="O202" s="66" t="s">
        <v>8</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IF(AND('341-CT'!$H$9=H202,OR(LEFT(N202,3)=$W$7,LEFT(O202,3)=$W$7)),"x","")</f>
        <v/>
      </c>
      <c r="X202" s="85" t="str">
        <f>IF(OR(TH!N202=TH!$X$7,O202=TH!$X$7),"x","")</f>
        <v/>
      </c>
      <c r="Y202" s="85" t="str">
        <f>IF(AND(OR(N202="131",O202="131"),H202='131-CT'!$H$9),"x","")</f>
        <v/>
      </c>
      <c r="Z202" s="85"/>
      <c r="AA202" s="85" t="str">
        <f>IF(AND(MONTH(E202)='IN-NX'!$J$5,'IN-NX'!$D$7=D202),"x","")</f>
        <v/>
      </c>
      <c r="AB202" s="85" t="str">
        <f>IF(AND(OR(LEFT(TH!N202,2)="15",LEFT(TH!O202,2)="15"),'152-CT'!$J$8=TH!F202),"x","")</f>
        <v/>
      </c>
      <c r="AC202" s="85" t="str">
        <f>IF(AND(OR(LEFT(TH!N202,2)="15",LEFT(TH!O202,2)="15"),TK!$E$7=TH!F202),"x","")</f>
        <v/>
      </c>
      <c r="AD202" s="85" t="str">
        <f>IF(AND(N202="1521",MONTH(C202)='BK-NL'!$M$11),"x","")</f>
        <v/>
      </c>
    </row>
    <row r="203" spans="1:30" s="348" customFormat="1" ht="15.75" customHeight="1">
      <c r="A203" s="343" t="str">
        <f>IF(B203&lt;&gt;"",IF(AND(B203='IN-TC'!$S$4,OR(TH!N203="1111",TH!O203="1111")),TH!D203,""),"")</f>
        <v/>
      </c>
      <c r="B203" s="63">
        <f t="shared" ref="B203:B266" si="51">IF(C203&lt;&gt;"",MONTH(C203),"")</f>
        <v>3</v>
      </c>
      <c r="C203" s="64">
        <f>E203</f>
        <v>42446</v>
      </c>
      <c r="D203" s="64" t="s">
        <v>697</v>
      </c>
      <c r="E203" s="64">
        <v>42446</v>
      </c>
      <c r="F203" s="67" t="s">
        <v>687</v>
      </c>
      <c r="G203" s="67"/>
      <c r="H203" s="74" t="s">
        <v>450</v>
      </c>
      <c r="I203" s="449">
        <v>18132</v>
      </c>
      <c r="J203" s="450">
        <v>18500</v>
      </c>
      <c r="K203" s="440"/>
      <c r="L203" s="449"/>
      <c r="M203" s="65">
        <f>ROUND(I203*J203,0)</f>
        <v>335442000</v>
      </c>
      <c r="N203" s="66" t="s">
        <v>283</v>
      </c>
      <c r="O203" s="66" t="s">
        <v>275</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IF(AND('341-CT'!$H$9=H203,OR(LEFT(N203,3)=$W$7,LEFT(O203,3)=$W$7)),"x","")</f>
        <v/>
      </c>
      <c r="X203" s="85" t="str">
        <f>IF(OR(TH!N203=TH!$X$7,O203=TH!$X$7),"x","")</f>
        <v/>
      </c>
      <c r="Y203" s="85" t="str">
        <f>IF(AND(OR(N203="131",O203="131"),H203='131-CT'!$H$9),"x","")</f>
        <v/>
      </c>
      <c r="Z203" s="85"/>
      <c r="AA203" s="85" t="str">
        <f>IF(AND(MONTH(E203)='IN-NX'!$J$5,'IN-NX'!$D$7=D203),"x","")</f>
        <v/>
      </c>
      <c r="AB203" s="85" t="str">
        <f>IF(AND(OR(LEFT(TH!N203,2)="15",LEFT(TH!O203,2)="15"),'152-CT'!$J$8=TH!F203),"x","")</f>
        <v/>
      </c>
      <c r="AC203" s="85" t="str">
        <f>IF(AND(OR(LEFT(TH!N203,2)="15",LEFT(TH!O203,2)="15"),TK!$E$7=TH!F203),"x","")</f>
        <v/>
      </c>
      <c r="AD203" s="85" t="str">
        <f>IF(AND(N203="1521",MONTH(C203)='BK-NL'!$M$11),"x","")</f>
        <v/>
      </c>
    </row>
    <row r="204" spans="1:30" s="348" customFormat="1" ht="15.75" customHeight="1">
      <c r="A204" s="343" t="str">
        <f>IF(B204&lt;&gt;"",IF(AND(B204='IN-TC'!$S$4,OR(TH!N204="1111",TH!O204="1111")),TH!D204,""),"")</f>
        <v/>
      </c>
      <c r="B204" s="63">
        <f t="shared" si="51"/>
        <v>3</v>
      </c>
      <c r="C204" s="64">
        <f>E204</f>
        <v>42454</v>
      </c>
      <c r="D204" s="64" t="s">
        <v>698</v>
      </c>
      <c r="E204" s="64">
        <v>42454</v>
      </c>
      <c r="F204" s="67" t="s">
        <v>687</v>
      </c>
      <c r="G204" s="67"/>
      <c r="H204" s="74" t="s">
        <v>450</v>
      </c>
      <c r="I204" s="447">
        <v>21868</v>
      </c>
      <c r="J204" s="450">
        <v>18500</v>
      </c>
      <c r="K204" s="438"/>
      <c r="L204" s="447"/>
      <c r="M204" s="65">
        <f>ROUND(I204*J204,0)</f>
        <v>404558000</v>
      </c>
      <c r="N204" s="66" t="s">
        <v>283</v>
      </c>
      <c r="O204" s="66" t="s">
        <v>275</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IF(AND('341-CT'!$H$9=H204,OR(LEFT(N204,3)=$W$7,LEFT(O204,3)=$W$7)),"x","")</f>
        <v/>
      </c>
      <c r="X204" s="85" t="str">
        <f>IF(OR(TH!N204=TH!$X$7,O204=TH!$X$7),"x","")</f>
        <v/>
      </c>
      <c r="Y204" s="85" t="str">
        <f>IF(AND(OR(N204="131",O204="131"),H204='131-CT'!$H$9),"x","")</f>
        <v/>
      </c>
      <c r="Z204" s="85"/>
      <c r="AA204" s="85" t="str">
        <f>IF(AND(MONTH(E204)='IN-NX'!$J$5,'IN-NX'!$D$7=D204),"x","")</f>
        <v/>
      </c>
      <c r="AB204" s="85" t="str">
        <f>IF(AND(OR(LEFT(TH!N204,2)="15",LEFT(TH!O204,2)="15"),'152-CT'!$J$8=TH!F204),"x","")</f>
        <v/>
      </c>
      <c r="AC204" s="85" t="str">
        <f>IF(AND(OR(LEFT(TH!N204,2)="15",LEFT(TH!O204,2)="15"),TK!$E$7=TH!F204),"x","")</f>
        <v/>
      </c>
      <c r="AD204" s="85" t="str">
        <f>IF(AND(N204="1521",MONTH(C204)='BK-NL'!$M$11),"x","")</f>
        <v/>
      </c>
    </row>
    <row r="205" spans="1:30" s="1174" customFormat="1" ht="15.75" customHeight="1">
      <c r="A205" s="343" t="str">
        <f>IF(B205&lt;&gt;"",IF(AND(B205='IN-TC'!$S$4,OR(TH!N205="1111",TH!O205="1111")),TH!D205,""),"")</f>
        <v/>
      </c>
      <c r="B205" s="63">
        <f t="shared" si="51"/>
        <v>1</v>
      </c>
      <c r="C205" s="64">
        <v>42371</v>
      </c>
      <c r="D205" s="64" t="s">
        <v>879</v>
      </c>
      <c r="E205" s="64">
        <v>42368</v>
      </c>
      <c r="F205" s="67" t="s">
        <v>775</v>
      </c>
      <c r="G205" s="996" t="s">
        <v>810</v>
      </c>
      <c r="H205" s="74" t="s">
        <v>811</v>
      </c>
      <c r="I205" s="447"/>
      <c r="J205" s="447"/>
      <c r="K205" s="438"/>
      <c r="L205" s="447"/>
      <c r="M205" s="65">
        <v>4399997</v>
      </c>
      <c r="N205" s="66" t="s">
        <v>101</v>
      </c>
      <c r="O205" s="66" t="s">
        <v>63</v>
      </c>
      <c r="P205" s="85" t="str">
        <f>IF(AND('331-CT'!$E$7=TH!H205,OR(N205="331",O205="331")),"x","")</f>
        <v/>
      </c>
      <c r="Q205" s="85" t="str">
        <f>IF(AND(B205='111'!$L$11,OR($N205=$Q$7,$O205=$Q$7)),"x","")</f>
        <v>x</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IF(AND('341-CT'!$H$9=H205,OR(LEFT(N205,3)=$W$7,LEFT(O205,3)=$W$7)),"x","")</f>
        <v/>
      </c>
      <c r="X205" s="85" t="str">
        <f>IF(OR(TH!N205=TH!$X$7,O205=TH!$X$7),"x","")</f>
        <v/>
      </c>
      <c r="Y205" s="85" t="str">
        <f>IF(AND(OR(N205="131",O205="131"),H205='131-CT'!$H$9),"x","")</f>
        <v/>
      </c>
      <c r="Z205" s="85"/>
      <c r="AA205" s="85" t="str">
        <f>IF(AND(MONTH(E205)='IN-NX'!$J$5,'IN-NX'!$D$7=D205),"x","")</f>
        <v/>
      </c>
      <c r="AB205" s="85" t="str">
        <f>IF(AND(OR(LEFT(TH!N205,2)="15",LEFT(TH!O205,2)="15"),'152-CT'!$J$8=TH!F205),"x","")</f>
        <v/>
      </c>
      <c r="AC205" s="85" t="str">
        <f>IF(AND(OR(LEFT(TH!N205,2)="15",LEFT(TH!O205,2)="15"),TK!$E$7=TH!F205),"x","")</f>
        <v/>
      </c>
      <c r="AD205" s="85" t="str">
        <f>IF(AND(N205="1521",MONTH(C205)='BK-NL'!$M$11),"x","")</f>
        <v/>
      </c>
    </row>
    <row r="206" spans="1:30" s="1174" customFormat="1" ht="15.75" customHeight="1">
      <c r="A206" s="343" t="str">
        <f>IF(B206&lt;&gt;"",IF(AND(B206='IN-TC'!$S$4,OR(TH!N206="1111",TH!O206="1111")),TH!D206,""),"")</f>
        <v/>
      </c>
      <c r="B206" s="63">
        <f t="shared" si="51"/>
        <v>1</v>
      </c>
      <c r="C206" s="64">
        <v>42371</v>
      </c>
      <c r="D206" s="64" t="s">
        <v>879</v>
      </c>
      <c r="E206" s="64">
        <v>42368</v>
      </c>
      <c r="F206" s="67" t="s">
        <v>776</v>
      </c>
      <c r="G206" s="996" t="s">
        <v>810</v>
      </c>
      <c r="H206" s="74" t="s">
        <v>811</v>
      </c>
      <c r="I206" s="447"/>
      <c r="J206" s="447"/>
      <c r="K206" s="438"/>
      <c r="L206" s="447"/>
      <c r="M206" s="65">
        <v>440003</v>
      </c>
      <c r="N206" s="66" t="s">
        <v>9</v>
      </c>
      <c r="O206" s="66" t="s">
        <v>63</v>
      </c>
      <c r="P206" s="85" t="str">
        <f>IF(AND('331-CT'!$E$7=TH!H206,OR(N206="331",O206="331")),"x","")</f>
        <v/>
      </c>
      <c r="Q206" s="85" t="str">
        <f>IF(AND(B206='111'!$L$11,OR($N206=$Q$7,$O206=$Q$7)),"x","")</f>
        <v>x</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IF(AND('341-CT'!$H$9=H206,OR(LEFT(N206,3)=$W$7,LEFT(O206,3)=$W$7)),"x","")</f>
        <v/>
      </c>
      <c r="X206" s="85" t="str">
        <f>IF(OR(TH!N206=TH!$X$7,O206=TH!$X$7),"x","")</f>
        <v/>
      </c>
      <c r="Y206" s="85" t="str">
        <f>IF(AND(OR(N206="131",O206="131"),H206='131-CT'!$H$9),"x","")</f>
        <v/>
      </c>
      <c r="Z206" s="85"/>
      <c r="AA206" s="85" t="str">
        <f>IF(AND(MONTH(E206)='IN-NX'!$J$5,'IN-NX'!$D$7=D206),"x","")</f>
        <v/>
      </c>
      <c r="AB206" s="85" t="str">
        <f>IF(AND(OR(LEFT(TH!N206,2)="15",LEFT(TH!O206,2)="15"),'152-CT'!$J$8=TH!F206),"x","")</f>
        <v/>
      </c>
      <c r="AC206" s="85" t="str">
        <f>IF(AND(OR(LEFT(TH!N206,2)="15",LEFT(TH!O206,2)="15"),TK!$E$7=TH!F206),"x","")</f>
        <v/>
      </c>
      <c r="AD206" s="85" t="str">
        <f>IF(AND(N206="1521",MONTH(C206)='BK-NL'!$M$11),"x","")</f>
        <v/>
      </c>
    </row>
    <row r="207" spans="1:30" s="1174" customFormat="1" ht="15.75" customHeight="1">
      <c r="A207" s="343" t="str">
        <f>IF(B207&lt;&gt;"",IF(AND(B207='IN-TC'!$S$4,OR(TH!N207="1111",TH!O207="1111")),TH!D207,""),"")</f>
        <v/>
      </c>
      <c r="B207" s="63">
        <f t="shared" si="51"/>
        <v>1</v>
      </c>
      <c r="C207" s="64">
        <v>42371</v>
      </c>
      <c r="D207" s="64" t="s">
        <v>880</v>
      </c>
      <c r="E207" s="64">
        <v>42369</v>
      </c>
      <c r="F207" s="67" t="s">
        <v>777</v>
      </c>
      <c r="G207" s="67" t="s">
        <v>812</v>
      </c>
      <c r="H207" s="351" t="s">
        <v>813</v>
      </c>
      <c r="I207" s="449"/>
      <c r="J207" s="449"/>
      <c r="K207" s="440"/>
      <c r="L207" s="449"/>
      <c r="M207" s="65">
        <v>47150</v>
      </c>
      <c r="N207" s="66" t="s">
        <v>101</v>
      </c>
      <c r="O207" s="66" t="s">
        <v>63</v>
      </c>
      <c r="P207" s="85" t="str">
        <f>IF(AND('331-CT'!$E$7=TH!H207,OR(N207="331",O207="331")),"x","")</f>
        <v/>
      </c>
      <c r="Q207" s="85" t="str">
        <f>IF(AND(B207='111'!$L$11,OR($N207=$Q$7,$O207=$Q$7)),"x","")</f>
        <v>x</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IF(AND('341-CT'!$H$9=H207,OR(LEFT(N207,3)=$W$7,LEFT(O207,3)=$W$7)),"x","")</f>
        <v/>
      </c>
      <c r="X207" s="85" t="str">
        <f>IF(OR(TH!N207=TH!$X$7,O207=TH!$X$7),"x","")</f>
        <v/>
      </c>
      <c r="Y207" s="85" t="str">
        <f>IF(AND(OR(N207="131",O207="131"),H207='131-CT'!$H$9),"x","")</f>
        <v/>
      </c>
      <c r="Z207" s="85"/>
      <c r="AA207" s="85" t="str">
        <f>IF(AND(MONTH(E207)='IN-NX'!$J$5,'IN-NX'!$D$7=D207),"x","")</f>
        <v/>
      </c>
      <c r="AB207" s="85" t="str">
        <f>IF(AND(OR(LEFT(TH!N207,2)="15",LEFT(TH!O207,2)="15"),'152-CT'!$J$8=TH!F207),"x","")</f>
        <v/>
      </c>
      <c r="AC207" s="85" t="str">
        <f>IF(AND(OR(LEFT(TH!N207,2)="15",LEFT(TH!O207,2)="15"),TK!$E$7=TH!F207),"x","")</f>
        <v/>
      </c>
      <c r="AD207" s="85" t="str">
        <f>IF(AND(N207="1521",MONTH(C207)='BK-NL'!$M$11),"x","")</f>
        <v/>
      </c>
    </row>
    <row r="208" spans="1:30" s="1174" customFormat="1" ht="15.75" customHeight="1">
      <c r="A208" s="343" t="str">
        <f>IF(B208&lt;&gt;"",IF(AND(B208='IN-TC'!$S$4,OR(TH!N208="1111",TH!O208="1111")),TH!D208,""),"")</f>
        <v/>
      </c>
      <c r="B208" s="63">
        <f t="shared" si="51"/>
        <v>1</v>
      </c>
      <c r="C208" s="64">
        <v>42371</v>
      </c>
      <c r="D208" s="64" t="s">
        <v>880</v>
      </c>
      <c r="E208" s="64">
        <v>42369</v>
      </c>
      <c r="F208" s="67" t="s">
        <v>778</v>
      </c>
      <c r="G208" s="67" t="s">
        <v>812</v>
      </c>
      <c r="H208" s="74" t="s">
        <v>813</v>
      </c>
      <c r="I208" s="447"/>
      <c r="J208" s="447"/>
      <c r="K208" s="438"/>
      <c r="L208" s="447"/>
      <c r="M208" s="65">
        <v>4715</v>
      </c>
      <c r="N208" s="66" t="s">
        <v>9</v>
      </c>
      <c r="O208" s="66" t="s">
        <v>63</v>
      </c>
      <c r="P208" s="85" t="str">
        <f>IF(AND('331-CT'!$E$7=TH!H208,OR(N208="331",O208="331")),"x","")</f>
        <v/>
      </c>
      <c r="Q208" s="85" t="str">
        <f>IF(AND(B208='111'!$L$11,OR($N208=$Q$7,$O208=$Q$7)),"x","")</f>
        <v>x</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IF(AND('341-CT'!$H$9=H208,OR(LEFT(N208,3)=$W$7,LEFT(O208,3)=$W$7)),"x","")</f>
        <v/>
      </c>
      <c r="X208" s="85" t="str">
        <f>IF(OR(TH!N208=TH!$X$7,O208=TH!$X$7),"x","")</f>
        <v/>
      </c>
      <c r="Y208" s="85" t="str">
        <f>IF(AND(OR(N208="131",O208="131"),H208='131-CT'!$H$9),"x","")</f>
        <v/>
      </c>
      <c r="Z208" s="85"/>
      <c r="AA208" s="85" t="str">
        <f>IF(AND(MONTH(E208)='IN-NX'!$J$5,'IN-NX'!$D$7=D208),"x","")</f>
        <v/>
      </c>
      <c r="AB208" s="85" t="str">
        <f>IF(AND(OR(LEFT(TH!N208,2)="15",LEFT(TH!O208,2)="15"),'152-CT'!$J$8=TH!F208),"x","")</f>
        <v/>
      </c>
      <c r="AC208" s="85" t="str">
        <f>IF(AND(OR(LEFT(TH!N208,2)="15",LEFT(TH!O208,2)="15"),TK!$E$7=TH!F208),"x","")</f>
        <v/>
      </c>
      <c r="AD208" s="85" t="str">
        <f>IF(AND(N208="1521",MONTH(C208)='BK-NL'!$M$11),"x","")</f>
        <v/>
      </c>
    </row>
    <row r="209" spans="1:30" s="1174" customFormat="1" ht="15.75" customHeight="1">
      <c r="A209" s="343" t="str">
        <f>IF(B209&lt;&gt;"",IF(AND(B209='IN-TC'!$S$4,OR(TH!N209="1111",TH!O209="1111")),TH!D209,""),"")</f>
        <v/>
      </c>
      <c r="B209" s="63">
        <f t="shared" si="51"/>
        <v>1</v>
      </c>
      <c r="C209" s="64">
        <v>42371</v>
      </c>
      <c r="D209" s="64" t="s">
        <v>881</v>
      </c>
      <c r="E209" s="64">
        <v>42367</v>
      </c>
      <c r="F209" s="67" t="s">
        <v>775</v>
      </c>
      <c r="G209" s="67" t="s">
        <v>814</v>
      </c>
      <c r="H209" s="74" t="s">
        <v>815</v>
      </c>
      <c r="I209" s="447"/>
      <c r="J209" s="447"/>
      <c r="K209" s="438"/>
      <c r="L209" s="447"/>
      <c r="M209" s="65">
        <v>2090910</v>
      </c>
      <c r="N209" s="66" t="s">
        <v>101</v>
      </c>
      <c r="O209" s="66" t="s">
        <v>63</v>
      </c>
      <c r="P209" s="85" t="str">
        <f>IF(AND('331-CT'!$E$7=TH!H209,OR(N209="331",O209="331")),"x","")</f>
        <v/>
      </c>
      <c r="Q209" s="85" t="str">
        <f>IF(AND(B209='111'!$L$11,OR($N209=$Q$7,$O209=$Q$7)),"x","")</f>
        <v>x</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IF(AND('341-CT'!$H$9=H209,OR(LEFT(N209,3)=$W$7,LEFT(O209,3)=$W$7)),"x","")</f>
        <v/>
      </c>
      <c r="X209" s="85" t="str">
        <f>IF(OR(TH!N209=TH!$X$7,O209=TH!$X$7),"x","")</f>
        <v/>
      </c>
      <c r="Y209" s="85" t="str">
        <f>IF(AND(OR(N209="131",O209="131"),H209='131-CT'!$H$9),"x","")</f>
        <v/>
      </c>
      <c r="Z209" s="85"/>
      <c r="AA209" s="85" t="str">
        <f>IF(AND(MONTH(E209)='IN-NX'!$J$5,'IN-NX'!$D$7=D209),"x","")</f>
        <v/>
      </c>
      <c r="AB209" s="85" t="str">
        <f>IF(AND(OR(LEFT(TH!N209,2)="15",LEFT(TH!O209,2)="15"),'152-CT'!$J$8=TH!F209),"x","")</f>
        <v/>
      </c>
      <c r="AC209" s="85" t="str">
        <f>IF(AND(OR(LEFT(TH!N209,2)="15",LEFT(TH!O209,2)="15"),TK!$E$7=TH!F209),"x","")</f>
        <v/>
      </c>
      <c r="AD209" s="85" t="str">
        <f>IF(AND(N209="1521",MONTH(C209)='BK-NL'!$M$11),"x","")</f>
        <v/>
      </c>
    </row>
    <row r="210" spans="1:30" s="1174" customFormat="1" ht="15.75" customHeight="1">
      <c r="A210" s="343" t="str">
        <f>IF(B210&lt;&gt;"",IF(AND(B210='IN-TC'!$S$4,OR(TH!N210="1111",TH!O210="1111")),TH!D210,""),"")</f>
        <v/>
      </c>
      <c r="B210" s="63">
        <f t="shared" si="51"/>
        <v>1</v>
      </c>
      <c r="C210" s="64">
        <v>42371</v>
      </c>
      <c r="D210" s="64" t="s">
        <v>881</v>
      </c>
      <c r="E210" s="64">
        <v>42367</v>
      </c>
      <c r="F210" s="67" t="s">
        <v>776</v>
      </c>
      <c r="G210" s="67" t="s">
        <v>814</v>
      </c>
      <c r="H210" s="351" t="s">
        <v>815</v>
      </c>
      <c r="I210" s="449"/>
      <c r="J210" s="449"/>
      <c r="K210" s="440"/>
      <c r="L210" s="449"/>
      <c r="M210" s="65">
        <v>209090</v>
      </c>
      <c r="N210" s="66" t="s">
        <v>9</v>
      </c>
      <c r="O210" s="66" t="s">
        <v>63</v>
      </c>
      <c r="P210" s="85" t="str">
        <f>IF(AND('331-CT'!$E$7=TH!H210,OR(N210="331",O210="331")),"x","")</f>
        <v/>
      </c>
      <c r="Q210" s="85" t="str">
        <f>IF(AND(B210='111'!$L$11,OR($N210=$Q$7,$O210=$Q$7)),"x","")</f>
        <v>x</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IF(AND('341-CT'!$H$9=H210,OR(LEFT(N210,3)=$W$7,LEFT(O210,3)=$W$7)),"x","")</f>
        <v/>
      </c>
      <c r="X210" s="85" t="str">
        <f>IF(OR(TH!N210=TH!$X$7,O210=TH!$X$7),"x","")</f>
        <v/>
      </c>
      <c r="Y210" s="85" t="str">
        <f>IF(AND(OR(N210="131",O210="131"),H210='131-CT'!$H$9),"x","")</f>
        <v/>
      </c>
      <c r="Z210" s="85"/>
      <c r="AA210" s="85" t="str">
        <f>IF(AND(MONTH(E210)='IN-NX'!$J$5,'IN-NX'!$D$7=D210),"x","")</f>
        <v/>
      </c>
      <c r="AB210" s="85" t="str">
        <f>IF(AND(OR(LEFT(TH!N210,2)="15",LEFT(TH!O210,2)="15"),'152-CT'!$J$8=TH!F210),"x","")</f>
        <v/>
      </c>
      <c r="AC210" s="85" t="str">
        <f>IF(AND(OR(LEFT(TH!N210,2)="15",LEFT(TH!O210,2)="15"),TK!$E$7=TH!F210),"x","")</f>
        <v/>
      </c>
      <c r="AD210" s="85" t="str">
        <f>IF(AND(N210="1521",MONTH(C210)='BK-NL'!$M$11),"x","")</f>
        <v/>
      </c>
    </row>
    <row r="211" spans="1:30" s="348" customFormat="1" ht="15.75" customHeight="1">
      <c r="A211" s="343" t="str">
        <f>IF(B211&lt;&gt;"",IF(AND(B211='IN-TC'!$S$4,OR(TH!N211="1111",TH!O211="1111")),TH!D211,""),"")</f>
        <v/>
      </c>
      <c r="B211" s="63">
        <f t="shared" si="51"/>
        <v>1</v>
      </c>
      <c r="C211" s="64">
        <v>42371</v>
      </c>
      <c r="D211" s="64" t="s">
        <v>882</v>
      </c>
      <c r="E211" s="64">
        <v>42367</v>
      </c>
      <c r="F211" s="67" t="s">
        <v>779</v>
      </c>
      <c r="G211" s="67" t="s">
        <v>816</v>
      </c>
      <c r="H211" s="74" t="s">
        <v>817</v>
      </c>
      <c r="I211" s="447"/>
      <c r="J211" s="447"/>
      <c r="K211" s="438"/>
      <c r="L211" s="447"/>
      <c r="M211" s="65">
        <v>12000000</v>
      </c>
      <c r="N211" s="66" t="s">
        <v>101</v>
      </c>
      <c r="O211" s="66" t="s">
        <v>63</v>
      </c>
      <c r="P211" s="85" t="str">
        <f>IF(AND('331-CT'!$E$7=TH!H211,OR(N211="331",O211="331")),"x","")</f>
        <v/>
      </c>
      <c r="Q211" s="85" t="str">
        <f>IF(AND(B211='111'!$L$11,OR($N211=$Q$7,$O211=$Q$7)),"x","")</f>
        <v>x</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IF(AND('341-CT'!$H$9=H211,OR(LEFT(N211,3)=$W$7,LEFT(O211,3)=$W$7)),"x","")</f>
        <v/>
      </c>
      <c r="X211" s="85" t="str">
        <f>IF(OR(TH!N211=TH!$X$7,O211=TH!$X$7),"x","")</f>
        <v/>
      </c>
      <c r="Y211" s="85" t="str">
        <f>IF(AND(OR(N211="131",O211="131"),H211='131-CT'!$H$9),"x","")</f>
        <v/>
      </c>
      <c r="Z211" s="85"/>
      <c r="AA211" s="85" t="str">
        <f>IF(AND(MONTH(E211)='IN-NX'!$J$5,'IN-NX'!$D$7=D211),"x","")</f>
        <v/>
      </c>
      <c r="AB211" s="85" t="str">
        <f>IF(AND(OR(LEFT(TH!N211,2)="15",LEFT(TH!O211,2)="15"),'152-CT'!$J$8=TH!F211),"x","")</f>
        <v/>
      </c>
      <c r="AC211" s="85" t="str">
        <f>IF(AND(OR(LEFT(TH!N211,2)="15",LEFT(TH!O211,2)="15"),TK!$E$7=TH!F211),"x","")</f>
        <v/>
      </c>
      <c r="AD211" s="85" t="str">
        <f>IF(AND(N211="1521",MONTH(C211)='BK-NL'!$M$11),"x","")</f>
        <v/>
      </c>
    </row>
    <row r="212" spans="1:30" s="348" customFormat="1" ht="15.75" customHeight="1">
      <c r="A212" s="343" t="str">
        <f>IF(B212&lt;&gt;"",IF(AND(B212='IN-TC'!$S$4,OR(TH!N212="1111",TH!O212="1111")),TH!D212,""),"")</f>
        <v/>
      </c>
      <c r="B212" s="63">
        <f t="shared" si="51"/>
        <v>1</v>
      </c>
      <c r="C212" s="64">
        <v>42371</v>
      </c>
      <c r="D212" s="64" t="s">
        <v>882</v>
      </c>
      <c r="E212" s="64">
        <v>42367</v>
      </c>
      <c r="F212" s="67" t="s">
        <v>780</v>
      </c>
      <c r="G212" s="67" t="s">
        <v>816</v>
      </c>
      <c r="H212" s="74" t="s">
        <v>817</v>
      </c>
      <c r="I212" s="447"/>
      <c r="J212" s="447"/>
      <c r="K212" s="438"/>
      <c r="L212" s="447"/>
      <c r="M212" s="65">
        <v>1200000</v>
      </c>
      <c r="N212" s="66" t="s">
        <v>9</v>
      </c>
      <c r="O212" s="66" t="s">
        <v>63</v>
      </c>
      <c r="P212" s="85" t="str">
        <f>IF(AND('331-CT'!$E$7=TH!H212,OR(N212="331",O212="331")),"x","")</f>
        <v/>
      </c>
      <c r="Q212" s="85" t="str">
        <f>IF(AND(B212='111'!$L$11,OR($N212=$Q$7,$O212=$Q$7)),"x","")</f>
        <v>x</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IF(AND('341-CT'!$H$9=H212,OR(LEFT(N212,3)=$W$7,LEFT(O212,3)=$W$7)),"x","")</f>
        <v/>
      </c>
      <c r="X212" s="85" t="str">
        <f>IF(OR(TH!N212=TH!$X$7,O212=TH!$X$7),"x","")</f>
        <v/>
      </c>
      <c r="Y212" s="85" t="str">
        <f>IF(AND(OR(N212="131",O212="131"),H212='131-CT'!$H$9),"x","")</f>
        <v/>
      </c>
      <c r="Z212" s="85"/>
      <c r="AA212" s="85" t="str">
        <f>IF(AND(MONTH(E212)='IN-NX'!$J$5,'IN-NX'!$D$7=D212),"x","")</f>
        <v/>
      </c>
      <c r="AB212" s="85" t="str">
        <f>IF(AND(OR(LEFT(TH!N212,2)="15",LEFT(TH!O212,2)="15"),'152-CT'!$J$8=TH!F212),"x","")</f>
        <v/>
      </c>
      <c r="AC212" s="85" t="str">
        <f>IF(AND(OR(LEFT(TH!N212,2)="15",LEFT(TH!O212,2)="15"),TK!$E$7=TH!F212),"x","")</f>
        <v/>
      </c>
      <c r="AD212" s="85" t="str">
        <f>IF(AND(N212="1521",MONTH(C212)='BK-NL'!$M$11),"x","")</f>
        <v/>
      </c>
    </row>
    <row r="213" spans="1:30" s="1174" customFormat="1" ht="15.75" customHeight="1">
      <c r="A213" s="343" t="str">
        <f>IF(B213&lt;&gt;"",IF(AND(B213='IN-TC'!$S$4,OR(TH!N213="1111",TH!O213="1111")),TH!D213,""),"")</f>
        <v/>
      </c>
      <c r="B213" s="63">
        <f t="shared" si="51"/>
        <v>1</v>
      </c>
      <c r="C213" s="64">
        <v>42371</v>
      </c>
      <c r="D213" s="64" t="s">
        <v>883</v>
      </c>
      <c r="E213" s="64">
        <v>42370</v>
      </c>
      <c r="F213" s="149" t="s">
        <v>781</v>
      </c>
      <c r="G213" s="997" t="s">
        <v>818</v>
      </c>
      <c r="H213" s="74" t="s">
        <v>819</v>
      </c>
      <c r="I213" s="447"/>
      <c r="J213" s="447"/>
      <c r="K213" s="438"/>
      <c r="L213" s="447"/>
      <c r="M213" s="65">
        <v>620782</v>
      </c>
      <c r="N213" s="66" t="s">
        <v>101</v>
      </c>
      <c r="O213" s="66" t="s">
        <v>63</v>
      </c>
      <c r="P213" s="85" t="str">
        <f>IF(AND('331-CT'!$E$7=TH!H213,OR(N213="331",O213="331")),"x","")</f>
        <v/>
      </c>
      <c r="Q213" s="85" t="str">
        <f>IF(AND(B213='111'!$L$11,OR($N213=$Q$7,$O213=$Q$7)),"x","")</f>
        <v>x</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IF(AND('341-CT'!$H$9=H213,OR(LEFT(N213,3)=$W$7,LEFT(O213,3)=$W$7)),"x","")</f>
        <v/>
      </c>
      <c r="X213" s="85" t="str">
        <f>IF(OR(TH!N213=TH!$X$7,O213=TH!$X$7),"x","")</f>
        <v/>
      </c>
      <c r="Y213" s="85" t="str">
        <f>IF(AND(OR(N213="131",O213="131"),H213='131-CT'!$H$9),"x","")</f>
        <v/>
      </c>
      <c r="Z213" s="85"/>
      <c r="AA213" s="85" t="str">
        <f>IF(AND(MONTH(E213)='IN-NX'!$J$5,'IN-NX'!$D$7=D213),"x","")</f>
        <v/>
      </c>
      <c r="AB213" s="85" t="str">
        <f>IF(AND(OR(LEFT(TH!N213,2)="15",LEFT(TH!O213,2)="15"),'152-CT'!$J$8=TH!F213),"x","")</f>
        <v/>
      </c>
      <c r="AC213" s="85" t="str">
        <f>IF(AND(OR(LEFT(TH!N213,2)="15",LEFT(TH!O213,2)="15"),TK!$E$7=TH!F213),"x","")</f>
        <v/>
      </c>
      <c r="AD213" s="85" t="str">
        <f>IF(AND(N213="1521",MONTH(C213)='BK-NL'!$M$11),"x","")</f>
        <v/>
      </c>
    </row>
    <row r="214" spans="1:30" s="1174" customFormat="1" ht="15.75" customHeight="1">
      <c r="A214" s="343" t="str">
        <f>IF(B214&lt;&gt;"",IF(AND(B214='IN-TC'!$S$4,OR(TH!N214="1111",TH!O214="1111")),TH!D214,""),"")</f>
        <v/>
      </c>
      <c r="B214" s="63">
        <f t="shared" si="51"/>
        <v>1</v>
      </c>
      <c r="C214" s="64">
        <v>42371</v>
      </c>
      <c r="D214" s="64" t="s">
        <v>883</v>
      </c>
      <c r="E214" s="64">
        <v>42370</v>
      </c>
      <c r="F214" s="67" t="s">
        <v>782</v>
      </c>
      <c r="G214" s="996" t="s">
        <v>818</v>
      </c>
      <c r="H214" s="74" t="s">
        <v>819</v>
      </c>
      <c r="I214" s="447"/>
      <c r="J214" s="447"/>
      <c r="K214" s="438"/>
      <c r="L214" s="447"/>
      <c r="M214" s="65">
        <v>62078</v>
      </c>
      <c r="N214" s="66" t="s">
        <v>9</v>
      </c>
      <c r="O214" s="66" t="s">
        <v>63</v>
      </c>
      <c r="P214" s="85" t="str">
        <f>IF(AND('331-CT'!$E$7=TH!H214,OR(N214="331",O214="331")),"x","")</f>
        <v/>
      </c>
      <c r="Q214" s="85" t="str">
        <f>IF(AND(B214='111'!$L$11,OR($N214=$Q$7,$O214=$Q$7)),"x","")</f>
        <v>x</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IF(AND('341-CT'!$H$9=H214,OR(LEFT(N214,3)=$W$7,LEFT(O214,3)=$W$7)),"x","")</f>
        <v/>
      </c>
      <c r="X214" s="85" t="str">
        <f>IF(OR(TH!N214=TH!$X$7,O214=TH!$X$7),"x","")</f>
        <v/>
      </c>
      <c r="Y214" s="85" t="str">
        <f>IF(AND(OR(N214="131",O214="131"),H214='131-CT'!$H$9),"x","")</f>
        <v/>
      </c>
      <c r="Z214" s="85"/>
      <c r="AA214" s="85" t="str">
        <f>IF(AND(MONTH(E214)='IN-NX'!$J$5,'IN-NX'!$D$7=D214),"x","")</f>
        <v/>
      </c>
      <c r="AB214" s="85" t="str">
        <f>IF(AND(OR(LEFT(TH!N214,2)="15",LEFT(TH!O214,2)="15"),'152-CT'!$J$8=TH!F214),"x","")</f>
        <v/>
      </c>
      <c r="AC214" s="85" t="str">
        <f>IF(AND(OR(LEFT(TH!N214,2)="15",LEFT(TH!O214,2)="15"),TK!$E$7=TH!F214),"x","")</f>
        <v/>
      </c>
      <c r="AD214" s="85" t="str">
        <f>IF(AND(N214="1521",MONTH(C214)='BK-NL'!$M$11),"x","")</f>
        <v/>
      </c>
    </row>
    <row r="215" spans="1:30" s="1174" customFormat="1" ht="15.75" customHeight="1">
      <c r="A215" s="343" t="str">
        <f>IF(B215&lt;&gt;"",IF(AND(B215='IN-TC'!$S$4,OR(TH!N215="1111",TH!O215="1111")),TH!D215,""),"")</f>
        <v/>
      </c>
      <c r="B215" s="63">
        <f t="shared" si="51"/>
        <v>1</v>
      </c>
      <c r="C215" s="64">
        <v>42371</v>
      </c>
      <c r="D215" s="64" t="s">
        <v>884</v>
      </c>
      <c r="E215" s="64">
        <v>42370</v>
      </c>
      <c r="F215" s="67" t="s">
        <v>783</v>
      </c>
      <c r="G215" s="996"/>
      <c r="H215" s="74" t="s">
        <v>631</v>
      </c>
      <c r="I215" s="447"/>
      <c r="J215" s="447"/>
      <c r="K215" s="438"/>
      <c r="L215" s="447"/>
      <c r="M215" s="65">
        <v>7500000</v>
      </c>
      <c r="N215" s="66" t="s">
        <v>8</v>
      </c>
      <c r="O215" s="66" t="s">
        <v>63</v>
      </c>
      <c r="P215" s="85" t="str">
        <f>IF(AND('331-CT'!$E$7=TH!H215,OR(N215="331",O215="331")),"x","")</f>
        <v/>
      </c>
      <c r="Q215" s="85" t="str">
        <f>IF(AND(B215='111'!$L$11,OR($N215=$Q$7,$O215=$Q$7)),"x","")</f>
        <v>x</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IF(AND('341-CT'!$H$9=H215,OR(LEFT(N215,3)=$W$7,LEFT(O215,3)=$W$7)),"x","")</f>
        <v/>
      </c>
      <c r="X215" s="85" t="str">
        <f>IF(OR(TH!N215=TH!$X$7,O215=TH!$X$7),"x","")</f>
        <v/>
      </c>
      <c r="Y215" s="85" t="str">
        <f>IF(AND(OR(N215="131",O215="131"),H215='131-CT'!$H$9),"x","")</f>
        <v/>
      </c>
      <c r="Z215" s="85"/>
      <c r="AA215" s="85" t="str">
        <f>IF(AND(MONTH(E215)='IN-NX'!$J$5,'IN-NX'!$D$7=D215),"x","")</f>
        <v/>
      </c>
      <c r="AB215" s="85" t="str">
        <f>IF(AND(OR(LEFT(TH!N215,2)="15",LEFT(TH!O215,2)="15"),'152-CT'!$J$8=TH!F215),"x","")</f>
        <v/>
      </c>
      <c r="AC215" s="85" t="str">
        <f>IF(AND(OR(LEFT(TH!N215,2)="15",LEFT(TH!O215,2)="15"),TK!$E$7=TH!F215),"x","")</f>
        <v/>
      </c>
      <c r="AD215" s="85" t="str">
        <f>IF(AND(N215="1521",MONTH(C215)='BK-NL'!$M$11),"x","")</f>
        <v/>
      </c>
    </row>
    <row r="216" spans="1:30" s="1174" customFormat="1" ht="15.75" customHeight="1">
      <c r="A216" s="343" t="str">
        <f>IF(B216&lt;&gt;"",IF(AND(B216='IN-TC'!$S$4,OR(TH!N216="1111",TH!O216="1111")),TH!D216,""),"")</f>
        <v/>
      </c>
      <c r="B216" s="63">
        <f t="shared" si="51"/>
        <v>1</v>
      </c>
      <c r="C216" s="64">
        <v>42373</v>
      </c>
      <c r="D216" s="64" t="s">
        <v>709</v>
      </c>
      <c r="E216" s="64">
        <v>42373</v>
      </c>
      <c r="F216" s="67" t="s">
        <v>717</v>
      </c>
      <c r="G216" s="67" t="s">
        <v>929</v>
      </c>
      <c r="H216" s="74"/>
      <c r="I216" s="447"/>
      <c r="J216" s="447"/>
      <c r="K216" s="438">
        <v>97800</v>
      </c>
      <c r="L216" s="447">
        <v>22490</v>
      </c>
      <c r="M216" s="65">
        <f>ROUND(K216*L216,0)</f>
        <v>2199522000</v>
      </c>
      <c r="N216" s="66" t="s">
        <v>26</v>
      </c>
      <c r="O216" s="66" t="s">
        <v>267</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x</v>
      </c>
      <c r="U216" s="85" t="str">
        <f>IF(ISERROR(FIND('112'!$M$9,G216,1)),"",IF((AND(LEFT(G216,2)=LEFT('112'!$M$9,2),B216&lt;'112'!$K$9,$N216='112'!$I$6)),"x",""))</f>
        <v/>
      </c>
      <c r="V216" s="85" t="str">
        <f>IF(ISERROR(FIND('112'!$M$9,G216,1)),"",IF((AND(RIGHT(G216,2)=RIGHT('112'!$M$9,2),B216&lt;'112'!$K$9,$O216='112'!$I$6)),"x",""))</f>
        <v/>
      </c>
      <c r="W216" s="85" t="str">
        <f>IF(AND('341-CT'!$H$9=H216,OR(LEFT(N216,3)=$W$7,LEFT(O216,3)=$W$7)),"x","")</f>
        <v/>
      </c>
      <c r="X216" s="85" t="str">
        <f>IF(OR(TH!N216=TH!$X$7,O216=TH!$X$7),"x","")</f>
        <v/>
      </c>
      <c r="Y216" s="85" t="str">
        <f>IF(AND(OR(N216="131",O216="131"),H216='131-CT'!$H$9),"x","")</f>
        <v/>
      </c>
      <c r="Z216" s="85"/>
      <c r="AA216" s="85" t="str">
        <f>IF(AND(MONTH(E216)='IN-NX'!$J$5,'IN-NX'!$D$7=D216),"x","")</f>
        <v/>
      </c>
      <c r="AB216" s="85" t="str">
        <f>IF(AND(OR(LEFT(TH!N216,2)="15",LEFT(TH!O216,2)="15"),'152-CT'!$J$8=TH!F216),"x","")</f>
        <v/>
      </c>
      <c r="AC216" s="85" t="str">
        <f>IF(AND(OR(LEFT(TH!N216,2)="15",LEFT(TH!O216,2)="15"),TK!$E$7=TH!F216),"x","")</f>
        <v/>
      </c>
      <c r="AD216" s="85" t="str">
        <f>IF(AND(N216="1521",MONTH(C216)='BK-NL'!$M$11),"x","")</f>
        <v/>
      </c>
    </row>
    <row r="217" spans="1:30" s="1174" customFormat="1" ht="15.75" customHeight="1">
      <c r="A217" s="343" t="str">
        <f>IF(B217&lt;&gt;"",IF(AND(B217='IN-TC'!$S$4,OR(TH!N217="1111",TH!O217="1111")),TH!D217,""),"")</f>
        <v/>
      </c>
      <c r="B217" s="63">
        <f t="shared" si="51"/>
        <v>1</v>
      </c>
      <c r="C217" s="64">
        <v>42373</v>
      </c>
      <c r="D217" s="64" t="s">
        <v>885</v>
      </c>
      <c r="E217" s="64">
        <v>42373</v>
      </c>
      <c r="F217" s="67" t="s">
        <v>765</v>
      </c>
      <c r="G217" s="67" t="s">
        <v>929</v>
      </c>
      <c r="H217" s="75" t="s">
        <v>773</v>
      </c>
      <c r="I217" s="447"/>
      <c r="J217" s="447"/>
      <c r="K217" s="438"/>
      <c r="L217" s="447"/>
      <c r="M217" s="65">
        <v>2200000000</v>
      </c>
      <c r="N217" s="66" t="s">
        <v>63</v>
      </c>
      <c r="O217" s="66" t="s">
        <v>26</v>
      </c>
      <c r="P217" s="85" t="str">
        <f>IF(AND('331-CT'!$E$7=TH!H217,OR(N217="331",O217="331")),"x","")</f>
        <v/>
      </c>
      <c r="Q217" s="85" t="str">
        <f>IF(AND(B217='111'!$L$11,OR($N217=$Q$7,$O217=$Q$7)),"x","")</f>
        <v>x</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
      </c>
      <c r="W217" s="85" t="str">
        <f>IF(AND('341-CT'!$H$9=H217,OR(LEFT(N217,3)=$W$7,LEFT(O217,3)=$W$7)),"x","")</f>
        <v/>
      </c>
      <c r="X217" s="85" t="str">
        <f>IF(OR(TH!N217=TH!$X$7,O217=TH!$X$7),"x","")</f>
        <v/>
      </c>
      <c r="Y217" s="85" t="str">
        <f>IF(AND(OR(N217="131",O217="131"),H217='131-CT'!$H$9),"x","")</f>
        <v/>
      </c>
      <c r="Z217" s="85"/>
      <c r="AA217" s="85" t="str">
        <f>IF(AND(MONTH(E217)='IN-NX'!$J$5,'IN-NX'!$D$7=D217),"x","")</f>
        <v/>
      </c>
      <c r="AB217" s="85" t="str">
        <f>IF(AND(OR(LEFT(TH!N217,2)="15",LEFT(TH!O217,2)="15"),'152-CT'!$J$8=TH!F217),"x","")</f>
        <v/>
      </c>
      <c r="AC217" s="85" t="str">
        <f>IF(AND(OR(LEFT(TH!N217,2)="15",LEFT(TH!O217,2)="15"),TK!$E$7=TH!F217),"x","")</f>
        <v/>
      </c>
      <c r="AD217" s="85" t="str">
        <f>IF(AND(N217="1521",MONTH(C217)='BK-NL'!$M$11),"x","")</f>
        <v/>
      </c>
    </row>
    <row r="218" spans="1:30" s="1174" customFormat="1" ht="15.75" customHeight="1">
      <c r="A218" s="343" t="str">
        <f>IF(B218&lt;&gt;"",IF(AND(B218='IN-TC'!$S$4,OR(TH!N218="1111",TH!O218="1111")),TH!D218,""),"")</f>
        <v/>
      </c>
      <c r="B218" s="63">
        <f t="shared" si="51"/>
        <v>1</v>
      </c>
      <c r="C218" s="64">
        <v>42373</v>
      </c>
      <c r="D218" s="64" t="s">
        <v>886</v>
      </c>
      <c r="E218" s="64">
        <v>42373</v>
      </c>
      <c r="F218" s="67" t="s">
        <v>784</v>
      </c>
      <c r="G218" s="996" t="s">
        <v>820</v>
      </c>
      <c r="H218" s="74" t="s">
        <v>821</v>
      </c>
      <c r="I218" s="447"/>
      <c r="J218" s="447"/>
      <c r="K218" s="438"/>
      <c r="L218" s="447"/>
      <c r="M218" s="65">
        <v>16650000</v>
      </c>
      <c r="N218" s="66" t="s">
        <v>162</v>
      </c>
      <c r="O218" s="66" t="s">
        <v>63</v>
      </c>
      <c r="P218" s="85" t="str">
        <f>IF(AND('331-CT'!$E$7=TH!H218,OR(N218="331",O218="331")),"x","")</f>
        <v/>
      </c>
      <c r="Q218" s="85" t="str">
        <f>IF(AND(B218='111'!$L$11,OR($N218=$Q$7,$O218=$Q$7)),"x","")</f>
        <v>x</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IF(AND('341-CT'!$H$9=H218,OR(LEFT(N218,3)=$W$7,LEFT(O218,3)=$W$7)),"x","")</f>
        <v/>
      </c>
      <c r="X218" s="85" t="str">
        <f>IF(OR(TH!N218=TH!$X$7,O218=TH!$X$7),"x","")</f>
        <v/>
      </c>
      <c r="Y218" s="85" t="str">
        <f>IF(AND(OR(N218="131",O218="131"),H218='131-CT'!$H$9),"x","")</f>
        <v/>
      </c>
      <c r="Z218" s="85"/>
      <c r="AA218" s="85" t="str">
        <f>IF(AND(MONTH(E218)='IN-NX'!$J$5,'IN-NX'!$D$7=D218),"x","")</f>
        <v/>
      </c>
      <c r="AB218" s="85" t="str">
        <f>IF(AND(OR(LEFT(TH!N218,2)="15",LEFT(TH!O218,2)="15"),'152-CT'!$J$8=TH!F218),"x","")</f>
        <v/>
      </c>
      <c r="AC218" s="85" t="str">
        <f>IF(AND(OR(LEFT(TH!N218,2)="15",LEFT(TH!O218,2)="15"),TK!$E$7=TH!F218),"x","")</f>
        <v/>
      </c>
      <c r="AD218" s="85" t="str">
        <f>IF(AND(N218="1521",MONTH(C218)='BK-NL'!$M$11),"x","")</f>
        <v/>
      </c>
    </row>
    <row r="219" spans="1:30" s="1174" customFormat="1" ht="15.75" customHeight="1">
      <c r="A219" s="343" t="str">
        <f>IF(B219&lt;&gt;"",IF(AND(B219='IN-TC'!$S$4,OR(TH!N219="1111",TH!O219="1111")),TH!D219,""),"")</f>
        <v/>
      </c>
      <c r="B219" s="63">
        <f t="shared" si="51"/>
        <v>1</v>
      </c>
      <c r="C219" s="64">
        <v>42373</v>
      </c>
      <c r="D219" s="64" t="s">
        <v>886</v>
      </c>
      <c r="E219" s="64">
        <v>42373</v>
      </c>
      <c r="F219" s="67" t="s">
        <v>785</v>
      </c>
      <c r="G219" s="998" t="s">
        <v>820</v>
      </c>
      <c r="H219" s="351" t="s">
        <v>821</v>
      </c>
      <c r="I219" s="449"/>
      <c r="J219" s="449"/>
      <c r="K219" s="440"/>
      <c r="L219" s="449"/>
      <c r="M219" s="65">
        <v>1665000</v>
      </c>
      <c r="N219" s="66" t="s">
        <v>9</v>
      </c>
      <c r="O219" s="66" t="s">
        <v>63</v>
      </c>
      <c r="P219" s="85" t="str">
        <f>IF(AND('331-CT'!$E$7=TH!H219,OR(N219="331",O219="331")),"x","")</f>
        <v/>
      </c>
      <c r="Q219" s="85" t="str">
        <f>IF(AND(B219='111'!$L$11,OR($N219=$Q$7,$O219=$Q$7)),"x","")</f>
        <v>x</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IF(AND('341-CT'!$H$9=H219,OR(LEFT(N219,3)=$W$7,LEFT(O219,3)=$W$7)),"x","")</f>
        <v/>
      </c>
      <c r="X219" s="85" t="str">
        <f>IF(OR(TH!N219=TH!$X$7,O219=TH!$X$7),"x","")</f>
        <v/>
      </c>
      <c r="Y219" s="85" t="str">
        <f>IF(AND(OR(N219="131",O219="131"),H219='131-CT'!$H$9),"x","")</f>
        <v/>
      </c>
      <c r="Z219" s="85"/>
      <c r="AA219" s="85" t="str">
        <f>IF(AND(MONTH(E219)='IN-NX'!$J$5,'IN-NX'!$D$7=D219),"x","")</f>
        <v/>
      </c>
      <c r="AB219" s="85" t="str">
        <f>IF(AND(OR(LEFT(TH!N219,2)="15",LEFT(TH!O219,2)="15"),'152-CT'!$J$8=TH!F219),"x","")</f>
        <v/>
      </c>
      <c r="AC219" s="85" t="str">
        <f>IF(AND(OR(LEFT(TH!N219,2)="15",LEFT(TH!O219,2)="15"),TK!$E$7=TH!F219),"x","")</f>
        <v/>
      </c>
      <c r="AD219" s="85" t="str">
        <f>IF(AND(N219="1521",MONTH(C219)='BK-NL'!$M$11),"x","")</f>
        <v/>
      </c>
    </row>
    <row r="220" spans="1:30" s="1174" customFormat="1" ht="15.75" customHeight="1">
      <c r="A220" s="343" t="str">
        <f>IF(B220&lt;&gt;"",IF(AND(B220='IN-TC'!$S$4,OR(TH!N220="1111",TH!O220="1111")),TH!D220,""),"")</f>
        <v/>
      </c>
      <c r="B220" s="63">
        <f t="shared" si="51"/>
        <v>1</v>
      </c>
      <c r="C220" s="64">
        <v>42373</v>
      </c>
      <c r="D220" s="64" t="s">
        <v>887</v>
      </c>
      <c r="E220" s="64">
        <v>42336</v>
      </c>
      <c r="F220" s="67" t="s">
        <v>779</v>
      </c>
      <c r="G220" s="998" t="s">
        <v>822</v>
      </c>
      <c r="H220" s="351" t="s">
        <v>817</v>
      </c>
      <c r="I220" s="449"/>
      <c r="J220" s="449"/>
      <c r="K220" s="440"/>
      <c r="L220" s="449"/>
      <c r="M220" s="65">
        <v>12000000</v>
      </c>
      <c r="N220" s="66" t="s">
        <v>101</v>
      </c>
      <c r="O220" s="66" t="s">
        <v>63</v>
      </c>
      <c r="P220" s="85" t="str">
        <f>IF(AND('331-CT'!$E$7=TH!H220,OR(N220="331",O220="331")),"x","")</f>
        <v/>
      </c>
      <c r="Q220" s="85" t="str">
        <f>IF(AND(B220='111'!$L$11,OR($N220=$Q$7,$O220=$Q$7)),"x","")</f>
        <v>x</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IF(AND('341-CT'!$H$9=H220,OR(LEFT(N220,3)=$W$7,LEFT(O220,3)=$W$7)),"x","")</f>
        <v/>
      </c>
      <c r="X220" s="85" t="str">
        <f>IF(OR(TH!N220=TH!$X$7,O220=TH!$X$7),"x","")</f>
        <v/>
      </c>
      <c r="Y220" s="85" t="str">
        <f>IF(AND(OR(N220="131",O220="131"),H220='131-CT'!$H$9),"x","")</f>
        <v/>
      </c>
      <c r="Z220" s="85"/>
      <c r="AA220" s="85" t="str">
        <f>IF(AND(MONTH(E220)='IN-NX'!$J$5,'IN-NX'!$D$7=D220),"x","")</f>
        <v/>
      </c>
      <c r="AB220" s="85" t="str">
        <f>IF(AND(OR(LEFT(TH!N220,2)="15",LEFT(TH!O220,2)="15"),'152-CT'!$J$8=TH!F220),"x","")</f>
        <v/>
      </c>
      <c r="AC220" s="85" t="str">
        <f>IF(AND(OR(LEFT(TH!N220,2)="15",LEFT(TH!O220,2)="15"),TK!$E$7=TH!F220),"x","")</f>
        <v/>
      </c>
      <c r="AD220" s="85" t="str">
        <f>IF(AND(N220="1521",MONTH(C220)='BK-NL'!$M$11),"x","")</f>
        <v/>
      </c>
    </row>
    <row r="221" spans="1:30" s="1174" customFormat="1" ht="15.75" customHeight="1">
      <c r="A221" s="343" t="str">
        <f>IF(B221&lt;&gt;"",IF(AND(B221='IN-TC'!$S$4,OR(TH!N221="1111",TH!O221="1111")),TH!D221,""),"")</f>
        <v/>
      </c>
      <c r="B221" s="63">
        <f t="shared" si="51"/>
        <v>1</v>
      </c>
      <c r="C221" s="64">
        <v>42373</v>
      </c>
      <c r="D221" s="64" t="s">
        <v>887</v>
      </c>
      <c r="E221" s="64">
        <v>42336</v>
      </c>
      <c r="F221" s="67" t="s">
        <v>780</v>
      </c>
      <c r="G221" s="67" t="s">
        <v>822</v>
      </c>
      <c r="H221" s="74" t="s">
        <v>817</v>
      </c>
      <c r="I221" s="447"/>
      <c r="J221" s="447"/>
      <c r="K221" s="438"/>
      <c r="L221" s="447"/>
      <c r="M221" s="65">
        <v>1200000</v>
      </c>
      <c r="N221" s="66" t="s">
        <v>9</v>
      </c>
      <c r="O221" s="66" t="s">
        <v>63</v>
      </c>
      <c r="P221" s="85" t="str">
        <f>IF(AND('331-CT'!$E$7=TH!H221,OR(N221="331",O221="331")),"x","")</f>
        <v/>
      </c>
      <c r="Q221" s="85" t="str">
        <f>IF(AND(B221='111'!$L$11,OR($N221=$Q$7,$O221=$Q$7)),"x","")</f>
        <v>x</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IF(AND('341-CT'!$H$9=H221,OR(LEFT(N221,3)=$W$7,LEFT(O221,3)=$W$7)),"x","")</f>
        <v/>
      </c>
      <c r="X221" s="85" t="str">
        <f>IF(OR(TH!N221=TH!$X$7,O221=TH!$X$7),"x","")</f>
        <v/>
      </c>
      <c r="Y221" s="85" t="str">
        <f>IF(AND(OR(N221="131",O221="131"),H221='131-CT'!$H$9),"x","")</f>
        <v/>
      </c>
      <c r="Z221" s="85"/>
      <c r="AA221" s="85" t="str">
        <f>IF(AND(MONTH(E221)='IN-NX'!$J$5,'IN-NX'!$D$7=D221),"x","")</f>
        <v/>
      </c>
      <c r="AB221" s="85" t="str">
        <f>IF(AND(OR(LEFT(TH!N221,2)="15",LEFT(TH!O221,2)="15"),'152-CT'!$J$8=TH!F221),"x","")</f>
        <v/>
      </c>
      <c r="AC221" s="85" t="str">
        <f>IF(AND(OR(LEFT(TH!N221,2)="15",LEFT(TH!O221,2)="15"),TK!$E$7=TH!F221),"x","")</f>
        <v/>
      </c>
      <c r="AD221" s="85" t="str">
        <f>IF(AND(N221="1521",MONTH(C221)='BK-NL'!$M$11),"x","")</f>
        <v/>
      </c>
    </row>
    <row r="222" spans="1:30" s="1174" customFormat="1" ht="15.75" customHeight="1">
      <c r="A222" s="343" t="str">
        <f>IF(B222&lt;&gt;"",IF(AND(B222='IN-TC'!$S$4,OR(TH!N222="1111",TH!O222="1111")),TH!D222,""),"")</f>
        <v/>
      </c>
      <c r="B222" s="63">
        <f t="shared" si="51"/>
        <v>1</v>
      </c>
      <c r="C222" s="64">
        <v>42373</v>
      </c>
      <c r="D222" s="64" t="s">
        <v>888</v>
      </c>
      <c r="E222" s="64">
        <v>42373</v>
      </c>
      <c r="F222" s="67" t="s">
        <v>786</v>
      </c>
      <c r="G222" s="996" t="s">
        <v>823</v>
      </c>
      <c r="H222" s="74" t="s">
        <v>819</v>
      </c>
      <c r="I222" s="447"/>
      <c r="J222" s="447"/>
      <c r="K222" s="438"/>
      <c r="L222" s="447"/>
      <c r="M222" s="65">
        <v>684000</v>
      </c>
      <c r="N222" s="66" t="s">
        <v>101</v>
      </c>
      <c r="O222" s="66" t="s">
        <v>63</v>
      </c>
      <c r="P222" s="85" t="str">
        <f>IF(AND('331-CT'!$E$7=TH!H222,OR(N222="331",O222="331")),"x","")</f>
        <v/>
      </c>
      <c r="Q222" s="85" t="str">
        <f>IF(AND(B222='111'!$L$11,OR($N222=$Q$7,$O222=$Q$7)),"x","")</f>
        <v>x</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IF(AND('341-CT'!$H$9=H222,OR(LEFT(N222,3)=$W$7,LEFT(O222,3)=$W$7)),"x","")</f>
        <v/>
      </c>
      <c r="X222" s="85" t="str">
        <f>IF(OR(TH!N222=TH!$X$7,O222=TH!$X$7),"x","")</f>
        <v/>
      </c>
      <c r="Y222" s="85" t="str">
        <f>IF(AND(OR(N222="131",O222="131"),H222='131-CT'!$H$9),"x","")</f>
        <v/>
      </c>
      <c r="Z222" s="85"/>
      <c r="AA222" s="85" t="str">
        <f>IF(AND(MONTH(E222)='IN-NX'!$J$5,'IN-NX'!$D$7=D222),"x","")</f>
        <v/>
      </c>
      <c r="AB222" s="85" t="str">
        <f>IF(AND(OR(LEFT(TH!N222,2)="15",LEFT(TH!O222,2)="15"),'152-CT'!$J$8=TH!F222),"x","")</f>
        <v/>
      </c>
      <c r="AC222" s="85" t="str">
        <f>IF(AND(OR(LEFT(TH!N222,2)="15",LEFT(TH!O222,2)="15"),TK!$E$7=TH!F222),"x","")</f>
        <v/>
      </c>
      <c r="AD222" s="85" t="str">
        <f>IF(AND(N222="1521",MONTH(C222)='BK-NL'!$M$11),"x","")</f>
        <v/>
      </c>
    </row>
    <row r="223" spans="1:30" s="1174" customFormat="1" ht="15.75" customHeight="1">
      <c r="A223" s="343" t="str">
        <f>IF(B223&lt;&gt;"",IF(AND(B223='IN-TC'!$S$4,OR(TH!N223="1111",TH!O223="1111")),TH!D223,""),"")</f>
        <v/>
      </c>
      <c r="B223" s="63">
        <f t="shared" si="51"/>
        <v>1</v>
      </c>
      <c r="C223" s="64">
        <v>42373</v>
      </c>
      <c r="D223" s="64" t="s">
        <v>888</v>
      </c>
      <c r="E223" s="64">
        <v>42373</v>
      </c>
      <c r="F223" s="67" t="s">
        <v>787</v>
      </c>
      <c r="G223" s="996" t="s">
        <v>823</v>
      </c>
      <c r="H223" s="74" t="s">
        <v>819</v>
      </c>
      <c r="I223" s="447"/>
      <c r="J223" s="447"/>
      <c r="K223" s="438"/>
      <c r="L223" s="447"/>
      <c r="M223" s="65">
        <v>68400</v>
      </c>
      <c r="N223" s="66" t="s">
        <v>9</v>
      </c>
      <c r="O223" s="66" t="s">
        <v>63</v>
      </c>
      <c r="P223" s="85" t="str">
        <f>IF(AND('331-CT'!$E$7=TH!H223,OR(N223="331",O223="331")),"x","")</f>
        <v/>
      </c>
      <c r="Q223" s="85" t="str">
        <f>IF(AND(B223='111'!$L$11,OR($N223=$Q$7,$O223=$Q$7)),"x","")</f>
        <v>x</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IF(AND('341-CT'!$H$9=H223,OR(LEFT(N223,3)=$W$7,LEFT(O223,3)=$W$7)),"x","")</f>
        <v/>
      </c>
      <c r="X223" s="85" t="str">
        <f>IF(OR(TH!N223=TH!$X$7,O223=TH!$X$7),"x","")</f>
        <v/>
      </c>
      <c r="Y223" s="85" t="str">
        <f>IF(AND(OR(N223="131",O223="131"),H223='131-CT'!$H$9),"x","")</f>
        <v/>
      </c>
      <c r="Z223" s="85"/>
      <c r="AA223" s="85" t="str">
        <f>IF(AND(MONTH(E223)='IN-NX'!$J$5,'IN-NX'!$D$7=D223),"x","")</f>
        <v/>
      </c>
      <c r="AB223" s="85" t="str">
        <f>IF(AND(OR(LEFT(TH!N223,2)="15",LEFT(TH!O223,2)="15"),'152-CT'!$J$8=TH!F223),"x","")</f>
        <v/>
      </c>
      <c r="AC223" s="85" t="str">
        <f>IF(AND(OR(LEFT(TH!N223,2)="15",LEFT(TH!O223,2)="15"),TK!$E$7=TH!F223),"x","")</f>
        <v/>
      </c>
      <c r="AD223" s="85" t="str">
        <f>IF(AND(N223="1521",MONTH(C223)='BK-NL'!$M$11),"x","")</f>
        <v/>
      </c>
    </row>
    <row r="224" spans="1:30" s="1174" customFormat="1" ht="15.75" customHeight="1">
      <c r="A224" s="343" t="str">
        <f>IF(B224&lt;&gt;"",IF(AND(B224='IN-TC'!$S$4,OR(TH!N224="1111",TH!O224="1111")),TH!D224,""),"")</f>
        <v/>
      </c>
      <c r="B224" s="63">
        <f t="shared" si="51"/>
        <v>1</v>
      </c>
      <c r="C224" s="64">
        <v>42373</v>
      </c>
      <c r="D224" s="64" t="s">
        <v>889</v>
      </c>
      <c r="E224" s="64">
        <v>42373</v>
      </c>
      <c r="F224" s="67" t="s">
        <v>786</v>
      </c>
      <c r="G224" s="996" t="s">
        <v>824</v>
      </c>
      <c r="H224" s="74" t="s">
        <v>825</v>
      </c>
      <c r="I224" s="447"/>
      <c r="J224" s="447"/>
      <c r="K224" s="438"/>
      <c r="L224" s="447"/>
      <c r="M224" s="65">
        <v>29818</v>
      </c>
      <c r="N224" s="66" t="s">
        <v>101</v>
      </c>
      <c r="O224" s="66" t="s">
        <v>63</v>
      </c>
      <c r="P224" s="85" t="str">
        <f>IF(AND('331-CT'!$E$7=TH!H224,OR(N224="331",O224="331")),"x","")</f>
        <v/>
      </c>
      <c r="Q224" s="85" t="str">
        <f>IF(AND(B224='111'!$L$11,OR($N224=$Q$7,$O224=$Q$7)),"x","")</f>
        <v>x</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IF(AND('341-CT'!$H$9=H224,OR(LEFT(N224,3)=$W$7,LEFT(O224,3)=$W$7)),"x","")</f>
        <v/>
      </c>
      <c r="X224" s="85" t="str">
        <f>IF(OR(TH!N224=TH!$X$7,O224=TH!$X$7),"x","")</f>
        <v/>
      </c>
      <c r="Y224" s="85" t="str">
        <f>IF(AND(OR(N224="131",O224="131"),H224='131-CT'!$H$9),"x","")</f>
        <v/>
      </c>
      <c r="Z224" s="85"/>
      <c r="AA224" s="85" t="str">
        <f>IF(AND(MONTH(E224)='IN-NX'!$J$5,'IN-NX'!$D$7=D224),"x","")</f>
        <v/>
      </c>
      <c r="AB224" s="85" t="str">
        <f>IF(AND(OR(LEFT(TH!N224,2)="15",LEFT(TH!O224,2)="15"),'152-CT'!$J$8=TH!F224),"x","")</f>
        <v/>
      </c>
      <c r="AC224" s="85" t="str">
        <f>IF(AND(OR(LEFT(TH!N224,2)="15",LEFT(TH!O224,2)="15"),TK!$E$7=TH!F224),"x","")</f>
        <v/>
      </c>
      <c r="AD224" s="85" t="str">
        <f>IF(AND(N224="1521",MONTH(C224)='BK-NL'!$M$11),"x","")</f>
        <v/>
      </c>
    </row>
    <row r="225" spans="1:30" s="1174" customFormat="1" ht="15.75" customHeight="1">
      <c r="A225" s="343" t="str">
        <f>IF(B225&lt;&gt;"",IF(AND(B225='IN-TC'!$S$4,OR(TH!N225="1111",TH!O225="1111")),TH!D225,""),"")</f>
        <v/>
      </c>
      <c r="B225" s="63">
        <f t="shared" si="51"/>
        <v>1</v>
      </c>
      <c r="C225" s="64">
        <v>42373</v>
      </c>
      <c r="D225" s="64" t="s">
        <v>889</v>
      </c>
      <c r="E225" s="64">
        <v>42373</v>
      </c>
      <c r="F225" s="67" t="s">
        <v>787</v>
      </c>
      <c r="G225" s="996" t="s">
        <v>824</v>
      </c>
      <c r="H225" s="74" t="s">
        <v>825</v>
      </c>
      <c r="I225" s="447"/>
      <c r="J225" s="447"/>
      <c r="K225" s="438"/>
      <c r="L225" s="447"/>
      <c r="M225" s="65">
        <v>2982</v>
      </c>
      <c r="N225" s="66" t="s">
        <v>9</v>
      </c>
      <c r="O225" s="66" t="s">
        <v>63</v>
      </c>
      <c r="P225" s="85" t="str">
        <f>IF(AND('331-CT'!$E$7=TH!H225,OR(N225="331",O225="331")),"x","")</f>
        <v/>
      </c>
      <c r="Q225" s="85" t="str">
        <f>IF(AND(B225='111'!$L$11,OR($N225=$Q$7,$O225=$Q$7)),"x","")</f>
        <v>x</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IF(AND('341-CT'!$H$9=H225,OR(LEFT(N225,3)=$W$7,LEFT(O225,3)=$W$7)),"x","")</f>
        <v/>
      </c>
      <c r="X225" s="85" t="str">
        <f>IF(OR(TH!N225=TH!$X$7,O225=TH!$X$7),"x","")</f>
        <v/>
      </c>
      <c r="Y225" s="85" t="str">
        <f>IF(AND(OR(N225="131",O225="131"),H225='131-CT'!$H$9),"x","")</f>
        <v/>
      </c>
      <c r="Z225" s="85"/>
      <c r="AA225" s="85" t="str">
        <f>IF(AND(MONTH(E225)='IN-NX'!$J$5,'IN-NX'!$D$7=D225),"x","")</f>
        <v/>
      </c>
      <c r="AB225" s="85" t="str">
        <f>IF(AND(OR(LEFT(TH!N225,2)="15",LEFT(TH!O225,2)="15"),'152-CT'!$J$8=TH!F225),"x","")</f>
        <v/>
      </c>
      <c r="AC225" s="85" t="str">
        <f>IF(AND(OR(LEFT(TH!N225,2)="15",LEFT(TH!O225,2)="15"),TK!$E$7=TH!F225),"x","")</f>
        <v/>
      </c>
      <c r="AD225" s="85" t="str">
        <f>IF(AND(N225="1521",MONTH(C225)='BK-NL'!$M$11),"x","")</f>
        <v/>
      </c>
    </row>
    <row r="226" spans="1:30" s="348" customFormat="1" ht="15.75" customHeight="1">
      <c r="A226" s="343" t="str">
        <f>IF(B226&lt;&gt;"",IF(AND(B226='IN-TC'!$S$4,OR(TH!N226="1111",TH!O226="1111")),TH!D226,""),"")</f>
        <v/>
      </c>
      <c r="B226" s="63">
        <f t="shared" si="51"/>
        <v>1</v>
      </c>
      <c r="C226" s="64">
        <v>42374</v>
      </c>
      <c r="D226" s="64" t="s">
        <v>890</v>
      </c>
      <c r="E226" s="64">
        <v>42374</v>
      </c>
      <c r="F226" s="67" t="s">
        <v>788</v>
      </c>
      <c r="G226" s="67" t="s">
        <v>826</v>
      </c>
      <c r="H226" s="74" t="s">
        <v>821</v>
      </c>
      <c r="I226" s="447"/>
      <c r="J226" s="447"/>
      <c r="K226" s="438"/>
      <c r="L226" s="447"/>
      <c r="M226" s="65">
        <v>16890000</v>
      </c>
      <c r="N226" s="66" t="s">
        <v>162</v>
      </c>
      <c r="O226" s="66" t="s">
        <v>63</v>
      </c>
      <c r="P226" s="85" t="str">
        <f>IF(AND('331-CT'!$E$7=TH!H226,OR(N226="331",O226="331")),"x","")</f>
        <v/>
      </c>
      <c r="Q226" s="85" t="str">
        <f>IF(AND(B226='111'!$L$11,OR($N226=$Q$7,$O226=$Q$7)),"x","")</f>
        <v>x</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IF(AND('341-CT'!$H$9=H226,OR(LEFT(N226,3)=$W$7,LEFT(O226,3)=$W$7)),"x","")</f>
        <v/>
      </c>
      <c r="X226" s="85" t="str">
        <f>IF(OR(TH!N226=TH!$X$7,O226=TH!$X$7),"x","")</f>
        <v/>
      </c>
      <c r="Y226" s="85" t="str">
        <f>IF(AND(OR(N226="131",O226="131"),H226='131-CT'!$H$9),"x","")</f>
        <v/>
      </c>
      <c r="Z226" s="85"/>
      <c r="AA226" s="85" t="str">
        <f>IF(AND(MONTH(E226)='IN-NX'!$J$5,'IN-NX'!$D$7=D226),"x","")</f>
        <v/>
      </c>
      <c r="AB226" s="85" t="str">
        <f>IF(AND(OR(LEFT(TH!N226,2)="15",LEFT(TH!O226,2)="15"),'152-CT'!$J$8=TH!F226),"x","")</f>
        <v/>
      </c>
      <c r="AC226" s="85" t="str">
        <f>IF(AND(OR(LEFT(TH!N226,2)="15",LEFT(TH!O226,2)="15"),TK!$E$7=TH!F226),"x","")</f>
        <v/>
      </c>
      <c r="AD226" s="85" t="str">
        <f>IF(AND(N226="1521",MONTH(C226)='BK-NL'!$M$11),"x","")</f>
        <v/>
      </c>
    </row>
    <row r="227" spans="1:30" s="348" customFormat="1" ht="15.75" customHeight="1">
      <c r="A227" s="343" t="str">
        <f>IF(B227&lt;&gt;"",IF(AND(B227='IN-TC'!$S$4,OR(TH!N227="1111",TH!O227="1111")),TH!D227,""),"")</f>
        <v/>
      </c>
      <c r="B227" s="63">
        <f t="shared" si="51"/>
        <v>1</v>
      </c>
      <c r="C227" s="64">
        <v>42374</v>
      </c>
      <c r="D227" s="64" t="s">
        <v>890</v>
      </c>
      <c r="E227" s="64">
        <v>42374</v>
      </c>
      <c r="F227" s="67" t="s">
        <v>789</v>
      </c>
      <c r="G227" s="67" t="s">
        <v>826</v>
      </c>
      <c r="H227" s="353" t="s">
        <v>821</v>
      </c>
      <c r="I227" s="451"/>
      <c r="J227" s="451"/>
      <c r="K227" s="442"/>
      <c r="L227" s="451"/>
      <c r="M227" s="65">
        <v>1689000</v>
      </c>
      <c r="N227" s="66" t="s">
        <v>9</v>
      </c>
      <c r="O227" s="66" t="s">
        <v>63</v>
      </c>
      <c r="P227" s="85" t="str">
        <f>IF(AND('331-CT'!$E$7=TH!H227,OR(N227="331",O227="331")),"x","")</f>
        <v/>
      </c>
      <c r="Q227" s="85" t="str">
        <f>IF(AND(B227='111'!$L$11,OR($N227=$Q$7,$O227=$Q$7)),"x","")</f>
        <v>x</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IF(AND('341-CT'!$H$9=H227,OR(LEFT(N227,3)=$W$7,LEFT(O227,3)=$W$7)),"x","")</f>
        <v/>
      </c>
      <c r="X227" s="85" t="str">
        <f>IF(OR(TH!N227=TH!$X$7,O227=TH!$X$7),"x","")</f>
        <v/>
      </c>
      <c r="Y227" s="85" t="str">
        <f>IF(AND(OR(N227="131",O227="131"),H227='131-CT'!$H$9),"x","")</f>
        <v/>
      </c>
      <c r="Z227" s="85"/>
      <c r="AA227" s="85" t="str">
        <f>IF(AND(MONTH(E227)='IN-NX'!$J$5,'IN-NX'!$D$7=D227),"x","")</f>
        <v/>
      </c>
      <c r="AB227" s="85" t="str">
        <f>IF(AND(OR(LEFT(TH!N227,2)="15",LEFT(TH!O227,2)="15"),'152-CT'!$J$8=TH!F227),"x","")</f>
        <v/>
      </c>
      <c r="AC227" s="85" t="str">
        <f>IF(AND(OR(LEFT(TH!N227,2)="15",LEFT(TH!O227,2)="15"),TK!$E$7=TH!F227),"x","")</f>
        <v/>
      </c>
      <c r="AD227" s="85" t="str">
        <f>IF(AND(N227="1521",MONTH(C227)='BK-NL'!$M$11),"x","")</f>
        <v/>
      </c>
    </row>
    <row r="228" spans="1:30" s="348" customFormat="1" ht="15.75" customHeight="1">
      <c r="A228" s="343" t="str">
        <f>IF(B228&lt;&gt;"",IF(AND(B228='IN-TC'!$S$4,OR(TH!N228="1111",TH!O228="1111")),TH!D228,""),"")</f>
        <v/>
      </c>
      <c r="B228" s="63">
        <f t="shared" si="51"/>
        <v>1</v>
      </c>
      <c r="C228" s="64">
        <v>42374</v>
      </c>
      <c r="D228" s="64" t="s">
        <v>891</v>
      </c>
      <c r="E228" s="64">
        <v>42350</v>
      </c>
      <c r="F228" s="67" t="s">
        <v>779</v>
      </c>
      <c r="G228" s="67" t="s">
        <v>827</v>
      </c>
      <c r="H228" s="74" t="s">
        <v>817</v>
      </c>
      <c r="I228" s="447"/>
      <c r="J228" s="447"/>
      <c r="K228" s="438"/>
      <c r="L228" s="447"/>
      <c r="M228" s="65">
        <v>12000000</v>
      </c>
      <c r="N228" s="66" t="s">
        <v>101</v>
      </c>
      <c r="O228" s="66" t="s">
        <v>63</v>
      </c>
      <c r="P228" s="85" t="str">
        <f>IF(AND('331-CT'!$E$7=TH!H228,OR(N228="331",O228="331")),"x","")</f>
        <v/>
      </c>
      <c r="Q228" s="85" t="str">
        <f>IF(AND(B228='111'!$L$11,OR($N228=$Q$7,$O228=$Q$7)),"x","")</f>
        <v>x</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IF(AND('341-CT'!$H$9=H228,OR(LEFT(N228,3)=$W$7,LEFT(O228,3)=$W$7)),"x","")</f>
        <v/>
      </c>
      <c r="X228" s="85" t="str">
        <f>IF(OR(TH!N228=TH!$X$7,O228=TH!$X$7),"x","")</f>
        <v/>
      </c>
      <c r="Y228" s="85" t="str">
        <f>IF(AND(OR(N228="131",O228="131"),H228='131-CT'!$H$9),"x","")</f>
        <v/>
      </c>
      <c r="Z228" s="85"/>
      <c r="AA228" s="85" t="str">
        <f>IF(AND(MONTH(E228)='IN-NX'!$J$5,'IN-NX'!$D$7=D228),"x","")</f>
        <v/>
      </c>
      <c r="AB228" s="85" t="str">
        <f>IF(AND(OR(LEFT(TH!N228,2)="15",LEFT(TH!O228,2)="15"),'152-CT'!$J$8=TH!F228),"x","")</f>
        <v/>
      </c>
      <c r="AC228" s="85" t="str">
        <f>IF(AND(OR(LEFT(TH!N228,2)="15",LEFT(TH!O228,2)="15"),TK!$E$7=TH!F228),"x","")</f>
        <v/>
      </c>
      <c r="AD228" s="85" t="str">
        <f>IF(AND(N228="1521",MONTH(C228)='BK-NL'!$M$11),"x","")</f>
        <v/>
      </c>
    </row>
    <row r="229" spans="1:30" ht="15.75" customHeight="1">
      <c r="A229" s="343" t="str">
        <f>IF(B229&lt;&gt;"",IF(AND(B229='IN-TC'!$S$4,OR(TH!N229="1111",TH!O229="1111")),TH!D229,""),"")</f>
        <v/>
      </c>
      <c r="B229" s="63">
        <f t="shared" si="51"/>
        <v>1</v>
      </c>
      <c r="C229" s="64">
        <v>42374</v>
      </c>
      <c r="D229" s="64" t="s">
        <v>891</v>
      </c>
      <c r="E229" s="64">
        <v>42350</v>
      </c>
      <c r="F229" s="67" t="s">
        <v>780</v>
      </c>
      <c r="G229" s="67" t="s">
        <v>827</v>
      </c>
      <c r="H229" s="74" t="s">
        <v>817</v>
      </c>
      <c r="I229" s="447"/>
      <c r="J229" s="447"/>
      <c r="K229" s="438"/>
      <c r="L229" s="447"/>
      <c r="M229" s="65">
        <v>1200000</v>
      </c>
      <c r="N229" s="66" t="s">
        <v>9</v>
      </c>
      <c r="O229" s="66" t="s">
        <v>63</v>
      </c>
      <c r="P229" s="85" t="str">
        <f>IF(AND('331-CT'!$E$7=TH!H229,OR(N229="331",O229="331")),"x","")</f>
        <v/>
      </c>
      <c r="Q229" s="85" t="str">
        <f>IF(AND(B229='111'!$L$11,OR($N229=$Q$7,$O229=$Q$7)),"x","")</f>
        <v>x</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IF(AND('341-CT'!$H$9=H229,OR(LEFT(N229,3)=$W$7,LEFT(O229,3)=$W$7)),"x","")</f>
        <v/>
      </c>
      <c r="X229" s="85" t="str">
        <f>IF(OR(TH!N229=TH!$X$7,O229=TH!$X$7),"x","")</f>
        <v/>
      </c>
      <c r="Y229" s="85" t="str">
        <f>IF(AND(OR(N229="131",O229="131"),H229='131-CT'!$H$9),"x","")</f>
        <v/>
      </c>
      <c r="Z229" s="85"/>
      <c r="AA229" s="85" t="str">
        <f>IF(AND(MONTH(E229)='IN-NX'!$J$5,'IN-NX'!$D$7=D229),"x","")</f>
        <v/>
      </c>
      <c r="AB229" s="85" t="str">
        <f>IF(AND(OR(LEFT(TH!N229,2)="15",LEFT(TH!O229,2)="15"),'152-CT'!$J$8=TH!F229),"x","")</f>
        <v/>
      </c>
      <c r="AC229" s="85" t="str">
        <f>IF(AND(OR(LEFT(TH!N229,2)="15",LEFT(TH!O229,2)="15"),TK!$E$7=TH!F229),"x","")</f>
        <v/>
      </c>
      <c r="AD229" s="85" t="str">
        <f>IF(AND(N229="1521",MONTH(C229)='BK-NL'!$M$11),"x","")</f>
        <v/>
      </c>
    </row>
    <row r="230" spans="1:30" s="348" customFormat="1" ht="15.75" customHeight="1">
      <c r="A230" s="343" t="str">
        <f>IF(B230&lt;&gt;"",IF(AND(B230='IN-TC'!$S$4,OR(TH!N230="1111",TH!O230="1111")),TH!D230,""),"")</f>
        <v/>
      </c>
      <c r="B230" s="63">
        <f t="shared" si="51"/>
        <v>1</v>
      </c>
      <c r="C230" s="64">
        <v>42374</v>
      </c>
      <c r="D230" s="64" t="s">
        <v>892</v>
      </c>
      <c r="E230" s="64">
        <v>42374</v>
      </c>
      <c r="F230" s="67" t="s">
        <v>786</v>
      </c>
      <c r="G230" s="67" t="s">
        <v>828</v>
      </c>
      <c r="H230" s="74" t="s">
        <v>819</v>
      </c>
      <c r="I230" s="447"/>
      <c r="J230" s="447"/>
      <c r="K230" s="438"/>
      <c r="L230" s="447"/>
      <c r="M230" s="65">
        <v>676700</v>
      </c>
      <c r="N230" s="66" t="s">
        <v>101</v>
      </c>
      <c r="O230" s="66" t="s">
        <v>63</v>
      </c>
      <c r="P230" s="85" t="str">
        <f>IF(AND('331-CT'!$E$7=TH!H230,OR(N230="331",O230="331")),"x","")</f>
        <v/>
      </c>
      <c r="Q230" s="85" t="str">
        <f>IF(AND(B230='111'!$L$11,OR($N230=$Q$7,$O230=$Q$7)),"x","")</f>
        <v>x</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IF(AND('341-CT'!$H$9=H230,OR(LEFT(N230,3)=$W$7,LEFT(O230,3)=$W$7)),"x","")</f>
        <v/>
      </c>
      <c r="X230" s="85" t="str">
        <f>IF(OR(TH!N230=TH!$X$7,O230=TH!$X$7),"x","")</f>
        <v/>
      </c>
      <c r="Y230" s="85" t="str">
        <f>IF(AND(OR(N230="131",O230="131"),H230='131-CT'!$H$9),"x","")</f>
        <v/>
      </c>
      <c r="Z230" s="85"/>
      <c r="AA230" s="85" t="str">
        <f>IF(AND(MONTH(E230)='IN-NX'!$J$5,'IN-NX'!$D$7=D230),"x","")</f>
        <v/>
      </c>
      <c r="AB230" s="85" t="str">
        <f>IF(AND(OR(LEFT(TH!N230,2)="15",LEFT(TH!O230,2)="15"),'152-CT'!$J$8=TH!F230),"x","")</f>
        <v/>
      </c>
      <c r="AC230" s="85" t="str">
        <f>IF(AND(OR(LEFT(TH!N230,2)="15",LEFT(TH!O230,2)="15"),TK!$E$7=TH!F230),"x","")</f>
        <v/>
      </c>
      <c r="AD230" s="85" t="str">
        <f>IF(AND(N230="1521",MONTH(C230)='BK-NL'!$M$11),"x","")</f>
        <v/>
      </c>
    </row>
    <row r="231" spans="1:30" s="348" customFormat="1" ht="15.75" customHeight="1">
      <c r="A231" s="343" t="str">
        <f>IF(B231&lt;&gt;"",IF(AND(B231='IN-TC'!$S$4,OR(TH!N231="1111",TH!O231="1111")),TH!D231,""),"")</f>
        <v/>
      </c>
      <c r="B231" s="63">
        <f t="shared" si="51"/>
        <v>1</v>
      </c>
      <c r="C231" s="64">
        <v>42374</v>
      </c>
      <c r="D231" s="64" t="s">
        <v>892</v>
      </c>
      <c r="E231" s="64">
        <v>42374</v>
      </c>
      <c r="F231" s="67" t="s">
        <v>787</v>
      </c>
      <c r="G231" s="67" t="s">
        <v>828</v>
      </c>
      <c r="H231" s="74" t="s">
        <v>819</v>
      </c>
      <c r="I231" s="447"/>
      <c r="J231" s="447"/>
      <c r="K231" s="438"/>
      <c r="L231" s="447"/>
      <c r="M231" s="65">
        <v>67670</v>
      </c>
      <c r="N231" s="66" t="s">
        <v>9</v>
      </c>
      <c r="O231" s="66" t="s">
        <v>63</v>
      </c>
      <c r="P231" s="85" t="str">
        <f>IF(AND('331-CT'!$E$7=TH!H231,OR(N231="331",O231="331")),"x","")</f>
        <v/>
      </c>
      <c r="Q231" s="85" t="str">
        <f>IF(AND(B231='111'!$L$11,OR($N231=$Q$7,$O231=$Q$7)),"x","")</f>
        <v>x</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IF(AND('341-CT'!$H$9=H231,OR(LEFT(N231,3)=$W$7,LEFT(O231,3)=$W$7)),"x","")</f>
        <v/>
      </c>
      <c r="X231" s="85" t="str">
        <f>IF(OR(TH!N231=TH!$X$7,O231=TH!$X$7),"x","")</f>
        <v/>
      </c>
      <c r="Y231" s="85" t="str">
        <f>IF(AND(OR(N231="131",O231="131"),H231='131-CT'!$H$9),"x","")</f>
        <v/>
      </c>
      <c r="Z231" s="85"/>
      <c r="AA231" s="85" t="str">
        <f>IF(AND(MONTH(E231)='IN-NX'!$J$5,'IN-NX'!$D$7=D231),"x","")</f>
        <v/>
      </c>
      <c r="AB231" s="85" t="str">
        <f>IF(AND(OR(LEFT(TH!N231,2)="15",LEFT(TH!O231,2)="15"),'152-CT'!$J$8=TH!F231),"x","")</f>
        <v/>
      </c>
      <c r="AC231" s="85" t="str">
        <f>IF(AND(OR(LEFT(TH!N231,2)="15",LEFT(TH!O231,2)="15"),TK!$E$7=TH!F231),"x","")</f>
        <v/>
      </c>
      <c r="AD231" s="85" t="str">
        <f>IF(AND(N231="1521",MONTH(C231)='BK-NL'!$M$11),"x","")</f>
        <v/>
      </c>
    </row>
    <row r="232" spans="1:30" s="348" customFormat="1" ht="15.75" customHeight="1">
      <c r="A232" s="343" t="str">
        <f>IF(B232&lt;&gt;"",IF(AND(B232='IN-TC'!$S$4,OR(TH!N232="1111",TH!O232="1111")),TH!D232,""),"")</f>
        <v/>
      </c>
      <c r="B232" s="63">
        <f t="shared" si="51"/>
        <v>1</v>
      </c>
      <c r="C232" s="64">
        <v>42374</v>
      </c>
      <c r="D232" s="64" t="s">
        <v>893</v>
      </c>
      <c r="E232" s="64">
        <v>42374</v>
      </c>
      <c r="F232" s="67" t="s">
        <v>790</v>
      </c>
      <c r="G232" s="67" t="s">
        <v>674</v>
      </c>
      <c r="H232" s="74" t="s">
        <v>679</v>
      </c>
      <c r="I232" s="447"/>
      <c r="J232" s="447"/>
      <c r="K232" s="438"/>
      <c r="L232" s="447"/>
      <c r="M232" s="65">
        <v>14250000</v>
      </c>
      <c r="N232" s="66" t="s">
        <v>8</v>
      </c>
      <c r="O232" s="66" t="s">
        <v>63</v>
      </c>
      <c r="P232" s="85" t="str">
        <f>IF(AND('331-CT'!$E$7=TH!H232,OR(N232="331",O232="331")),"x","")</f>
        <v/>
      </c>
      <c r="Q232" s="85" t="str">
        <f>IF(AND(B232='111'!$L$11,OR($N232=$Q$7,$O232=$Q$7)),"x","")</f>
        <v>x</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IF(AND('341-CT'!$H$9=H232,OR(LEFT(N232,3)=$W$7,LEFT(O232,3)=$W$7)),"x","")</f>
        <v/>
      </c>
      <c r="X232" s="85" t="str">
        <f>IF(OR(TH!N232=TH!$X$7,O232=TH!$X$7),"x","")</f>
        <v/>
      </c>
      <c r="Y232" s="85" t="str">
        <f>IF(AND(OR(N232="131",O232="131"),H232='131-CT'!$H$9),"x","")</f>
        <v/>
      </c>
      <c r="Z232" s="85"/>
      <c r="AA232" s="85" t="str">
        <f>IF(AND(MONTH(E232)='IN-NX'!$J$5,'IN-NX'!$D$7=D232),"x","")</f>
        <v/>
      </c>
      <c r="AB232" s="85" t="str">
        <f>IF(AND(OR(LEFT(TH!N232,2)="15",LEFT(TH!O232,2)="15"),'152-CT'!$J$8=TH!F232),"x","")</f>
        <v/>
      </c>
      <c r="AC232" s="85" t="str">
        <f>IF(AND(OR(LEFT(TH!N232,2)="15",LEFT(TH!O232,2)="15"),TK!$E$7=TH!F232),"x","")</f>
        <v/>
      </c>
      <c r="AD232" s="85" t="str">
        <f>IF(AND(N232="1521",MONTH(C232)='BK-NL'!$M$11),"x","")</f>
        <v/>
      </c>
    </row>
    <row r="233" spans="1:30" s="350" customFormat="1" ht="15.75" customHeight="1">
      <c r="A233" s="343" t="str">
        <f>IF(B233&lt;&gt;"",IF(AND(B233='IN-TC'!$S$4,OR(TH!N233="1111",TH!O233="1111")),TH!D233,""),"")</f>
        <v/>
      </c>
      <c r="B233" s="63">
        <f t="shared" si="51"/>
        <v>1</v>
      </c>
      <c r="C233" s="64">
        <v>42375</v>
      </c>
      <c r="D233" s="64" t="s">
        <v>709</v>
      </c>
      <c r="E233" s="64">
        <v>42375</v>
      </c>
      <c r="F233" s="67" t="s">
        <v>719</v>
      </c>
      <c r="G233" s="67" t="s">
        <v>930</v>
      </c>
      <c r="H233" s="74" t="s">
        <v>720</v>
      </c>
      <c r="I233" s="447"/>
      <c r="J233" s="447"/>
      <c r="K233" s="438">
        <v>53.92</v>
      </c>
      <c r="L233" s="447">
        <v>22240</v>
      </c>
      <c r="M233" s="84">
        <f>ROUND(K233*L233,0)</f>
        <v>1199181</v>
      </c>
      <c r="N233" s="66" t="s">
        <v>99</v>
      </c>
      <c r="O233" s="66" t="s">
        <v>267</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IF(AND('341-CT'!$H$9=H233,OR(LEFT(N233,3)=$W$7,LEFT(O233,3)=$W$7)),"x","")</f>
        <v/>
      </c>
      <c r="X233" s="85" t="str">
        <f>IF(OR(TH!N233=TH!$X$7,O233=TH!$X$7),"x","")</f>
        <v/>
      </c>
      <c r="Y233" s="85" t="str">
        <f>IF(AND(OR(N233="131",O233="131"),H233='131-CT'!$H$9),"x","")</f>
        <v/>
      </c>
      <c r="Z233" s="85"/>
      <c r="AA233" s="85" t="str">
        <f>IF(AND(MONTH(E233)='IN-NX'!$J$5,'IN-NX'!$D$7=D233),"x","")</f>
        <v/>
      </c>
      <c r="AB233" s="85" t="str">
        <f>IF(AND(OR(LEFT(TH!N233,2)="15",LEFT(TH!O233,2)="15"),'152-CT'!$J$8=TH!F233),"x","")</f>
        <v/>
      </c>
      <c r="AC233" s="85" t="str">
        <f>IF(AND(OR(LEFT(TH!N233,2)="15",LEFT(TH!O233,2)="15"),TK!$E$7=TH!F233),"x","")</f>
        <v/>
      </c>
      <c r="AD233" s="85" t="str">
        <f>IF(AND(N233="1521",MONTH(C233)='BK-NL'!$M$11),"x","")</f>
        <v/>
      </c>
    </row>
    <row r="234" spans="1:30" s="348" customFormat="1" ht="15.75" customHeight="1">
      <c r="A234" s="343" t="str">
        <f>IF(B234&lt;&gt;"",IF(AND(B234='IN-TC'!$S$4,OR(TH!N234="1111",TH!O234="1111")),TH!D234,""),"")</f>
        <v/>
      </c>
      <c r="B234" s="63">
        <f t="shared" si="51"/>
        <v>1</v>
      </c>
      <c r="C234" s="64">
        <v>42375</v>
      </c>
      <c r="D234" s="64" t="s">
        <v>709</v>
      </c>
      <c r="E234" s="64">
        <v>42375</v>
      </c>
      <c r="F234" s="67" t="s">
        <v>719</v>
      </c>
      <c r="G234" s="67" t="s">
        <v>930</v>
      </c>
      <c r="H234" s="74" t="s">
        <v>721</v>
      </c>
      <c r="I234" s="447"/>
      <c r="J234" s="447"/>
      <c r="K234" s="438">
        <v>129.11000000000001</v>
      </c>
      <c r="L234" s="447">
        <v>22240</v>
      </c>
      <c r="M234" s="84">
        <f>ROUND(K234*L234,0)</f>
        <v>2871406</v>
      </c>
      <c r="N234" s="66" t="s">
        <v>99</v>
      </c>
      <c r="O234" s="66" t="s">
        <v>267</v>
      </c>
      <c r="P234" s="85" t="str">
        <f>IF(AND('331-CT'!$E$7=TH!H234,OR(N234="331",O234="331")),"x","")</f>
        <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IF(AND('341-CT'!$H$9=H234,OR(LEFT(N234,3)=$W$7,LEFT(O234,3)=$W$7)),"x","")</f>
        <v/>
      </c>
      <c r="X234" s="85" t="str">
        <f>IF(OR(TH!N234=TH!$X$7,O234=TH!$X$7),"x","")</f>
        <v/>
      </c>
      <c r="Y234" s="85" t="str">
        <f>IF(AND(OR(N234="131",O234="131"),H234='131-CT'!$H$9),"x","")</f>
        <v/>
      </c>
      <c r="Z234" s="85"/>
      <c r="AA234" s="85" t="str">
        <f>IF(AND(MONTH(E234)='IN-NX'!$J$5,'IN-NX'!$D$7=D234),"x","")</f>
        <v/>
      </c>
      <c r="AB234" s="85" t="str">
        <f>IF(AND(OR(LEFT(TH!N234,2)="15",LEFT(TH!O234,2)="15"),'152-CT'!$J$8=TH!F234),"x","")</f>
        <v/>
      </c>
      <c r="AC234" s="85" t="str">
        <f>IF(AND(OR(LEFT(TH!N234,2)="15",LEFT(TH!O234,2)="15"),TK!$E$7=TH!F234),"x","")</f>
        <v/>
      </c>
      <c r="AD234" s="85" t="str">
        <f>IF(AND(N234="1521",MONTH(C234)='BK-NL'!$M$11),"x","")</f>
        <v/>
      </c>
    </row>
    <row r="235" spans="1:30" s="348" customFormat="1" ht="15.75" customHeight="1">
      <c r="A235" s="343" t="str">
        <f>IF(B235&lt;&gt;"",IF(AND(B235='IN-TC'!$S$4,OR(TH!N235="1111",TH!O235="1111")),TH!D235,""),"")</f>
        <v/>
      </c>
      <c r="B235" s="63">
        <f t="shared" si="51"/>
        <v>1</v>
      </c>
      <c r="C235" s="64">
        <v>42375</v>
      </c>
      <c r="D235" s="64" t="s">
        <v>709</v>
      </c>
      <c r="E235" s="64">
        <v>42375</v>
      </c>
      <c r="F235" s="67" t="s">
        <v>719</v>
      </c>
      <c r="G235" s="67" t="s">
        <v>930</v>
      </c>
      <c r="H235" s="75" t="s">
        <v>722</v>
      </c>
      <c r="I235" s="450"/>
      <c r="J235" s="450"/>
      <c r="K235" s="441">
        <v>79.5</v>
      </c>
      <c r="L235" s="450">
        <v>22240</v>
      </c>
      <c r="M235" s="84">
        <f>ROUND(K235*L235,0)</f>
        <v>1768080</v>
      </c>
      <c r="N235" s="66" t="s">
        <v>99</v>
      </c>
      <c r="O235" s="66" t="s">
        <v>267</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IF(AND('341-CT'!$H$9=H235,OR(LEFT(N235,3)=$W$7,LEFT(O235,3)=$W$7)),"x","")</f>
        <v/>
      </c>
      <c r="X235" s="85" t="str">
        <f>IF(OR(TH!N235=TH!$X$7,O235=TH!$X$7),"x","")</f>
        <v/>
      </c>
      <c r="Y235" s="85" t="str">
        <f>IF(AND(OR(N235="131",O235="131"),H235='131-CT'!$H$9),"x","")</f>
        <v/>
      </c>
      <c r="Z235" s="85"/>
      <c r="AA235" s="85" t="str">
        <f>IF(AND(MONTH(E235)='IN-NX'!$J$5,'IN-NX'!$D$7=D235),"x","")</f>
        <v/>
      </c>
      <c r="AB235" s="85" t="str">
        <f>IF(AND(OR(LEFT(TH!N235,2)="15",LEFT(TH!O235,2)="15"),'152-CT'!$J$8=TH!F235),"x","")</f>
        <v/>
      </c>
      <c r="AC235" s="85" t="str">
        <f>IF(AND(OR(LEFT(TH!N235,2)="15",LEFT(TH!O235,2)="15"),TK!$E$7=TH!F235),"x","")</f>
        <v/>
      </c>
      <c r="AD235" s="85" t="str">
        <f>IF(AND(N235="1521",MONTH(C235)='BK-NL'!$M$11),"x","")</f>
        <v/>
      </c>
    </row>
    <row r="236" spans="1:30" s="348" customFormat="1" ht="15.75" customHeight="1">
      <c r="A236" s="343" t="str">
        <f>IF(B236&lt;&gt;"",IF(AND(B236='IN-TC'!$S$4,OR(TH!N236="1111",TH!O236="1111")),TH!D236,""),"")</f>
        <v/>
      </c>
      <c r="B236" s="63">
        <f t="shared" si="51"/>
        <v>1</v>
      </c>
      <c r="C236" s="64">
        <v>42375</v>
      </c>
      <c r="D236" s="64" t="s">
        <v>709</v>
      </c>
      <c r="E236" s="64">
        <v>42375</v>
      </c>
      <c r="F236" s="67" t="s">
        <v>719</v>
      </c>
      <c r="G236" s="67" t="s">
        <v>930</v>
      </c>
      <c r="H236" s="74" t="s">
        <v>723</v>
      </c>
      <c r="I236" s="447"/>
      <c r="J236" s="447"/>
      <c r="K236" s="438">
        <v>111.29</v>
      </c>
      <c r="L236" s="447">
        <v>22240</v>
      </c>
      <c r="M236" s="84">
        <f>ROUND(K236*L236,0)</f>
        <v>2475090</v>
      </c>
      <c r="N236" s="66" t="s">
        <v>99</v>
      </c>
      <c r="O236" s="66" t="s">
        <v>267</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IF(AND('341-CT'!$H$9=H236,OR(LEFT(N236,3)=$W$7,LEFT(O236,3)=$W$7)),"x","")</f>
        <v/>
      </c>
      <c r="X236" s="85" t="str">
        <f>IF(OR(TH!N236=TH!$X$7,O236=TH!$X$7),"x","")</f>
        <v/>
      </c>
      <c r="Y236" s="85" t="str">
        <f>IF(AND(OR(N236="131",O236="131"),H236='131-CT'!$H$9),"x","")</f>
        <v/>
      </c>
      <c r="Z236" s="85"/>
      <c r="AA236" s="85" t="str">
        <f>IF(AND(MONTH(E236)='IN-NX'!$J$5,'IN-NX'!$D$7=D236),"x","")</f>
        <v/>
      </c>
      <c r="AB236" s="85" t="str">
        <f>IF(AND(OR(LEFT(TH!N236,2)="15",LEFT(TH!O236,2)="15"),'152-CT'!$J$8=TH!F236),"x","")</f>
        <v/>
      </c>
      <c r="AC236" s="85" t="str">
        <f>IF(AND(OR(LEFT(TH!N236,2)="15",LEFT(TH!O236,2)="15"),TK!$E$7=TH!F236),"x","")</f>
        <v/>
      </c>
      <c r="AD236" s="85" t="str">
        <f>IF(AND(N236="1521",MONTH(C236)='BK-NL'!$M$11),"x","")</f>
        <v/>
      </c>
    </row>
    <row r="237" spans="1:30" s="348" customFormat="1" ht="15.75" customHeight="1">
      <c r="A237" s="343" t="str">
        <f>IF(B237&lt;&gt;"",IF(AND(B237='IN-TC'!$S$4,OR(TH!N237="1111",TH!O237="1111")),TH!D237,""),"")</f>
        <v/>
      </c>
      <c r="B237" s="63">
        <f t="shared" si="51"/>
        <v>1</v>
      </c>
      <c r="C237" s="64">
        <v>42376</v>
      </c>
      <c r="D237" s="64" t="s">
        <v>894</v>
      </c>
      <c r="E237" s="64">
        <v>42376</v>
      </c>
      <c r="F237" s="67" t="s">
        <v>746</v>
      </c>
      <c r="G237" s="67" t="s">
        <v>930</v>
      </c>
      <c r="H237" s="74" t="s">
        <v>774</v>
      </c>
      <c r="I237" s="447"/>
      <c r="J237" s="447"/>
      <c r="K237" s="438"/>
      <c r="L237" s="447"/>
      <c r="M237" s="65">
        <v>50000000</v>
      </c>
      <c r="N237" s="66" t="s">
        <v>26</v>
      </c>
      <c r="O237" s="66" t="s">
        <v>63</v>
      </c>
      <c r="P237" s="85" t="str">
        <f>IF(AND('331-CT'!$E$7=TH!H237,OR(N237="331",O237="331")),"x","")</f>
        <v/>
      </c>
      <c r="Q237" s="85" t="str">
        <f>IF(AND(B237='111'!$L$11,OR($N237=$Q$7,$O237=$Q$7)),"x","")</f>
        <v>x</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
      </c>
      <c r="V237" s="85" t="str">
        <f>IF(ISERROR(FIND('112'!$M$9,G237,1)),"",IF((AND(RIGHT(G237,2)=RIGHT('112'!$M$9,2),B237&lt;'112'!$K$9,$O237='112'!$I$6)),"x",""))</f>
        <v/>
      </c>
      <c r="W237" s="85" t="str">
        <f>IF(AND('341-CT'!$H$9=H237,OR(LEFT(N237,3)=$W$7,LEFT(O237,3)=$W$7)),"x","")</f>
        <v/>
      </c>
      <c r="X237" s="85" t="str">
        <f>IF(OR(TH!N237=TH!$X$7,O237=TH!$X$7),"x","")</f>
        <v/>
      </c>
      <c r="Y237" s="85" t="str">
        <f>IF(AND(OR(N237="131",O237="131"),H237='131-CT'!$H$9),"x","")</f>
        <v/>
      </c>
      <c r="Z237" s="85"/>
      <c r="AA237" s="85" t="str">
        <f>IF(AND(MONTH(E237)='IN-NX'!$J$5,'IN-NX'!$D$7=D237),"x","")</f>
        <v/>
      </c>
      <c r="AB237" s="85" t="str">
        <f>IF(AND(OR(LEFT(TH!N237,2)="15",LEFT(TH!O237,2)="15"),'152-CT'!$J$8=TH!F237),"x","")</f>
        <v/>
      </c>
      <c r="AC237" s="85" t="str">
        <f>IF(AND(OR(LEFT(TH!N237,2)="15",LEFT(TH!O237,2)="15"),TK!$E$7=TH!F237),"x","")</f>
        <v/>
      </c>
      <c r="AD237" s="85" t="str">
        <f>IF(AND(N237="1521",MONTH(C237)='BK-NL'!$M$11),"x","")</f>
        <v/>
      </c>
    </row>
    <row r="238" spans="1:30" s="348" customFormat="1" ht="15.75" customHeight="1">
      <c r="A238" s="343" t="str">
        <f>IF(B238&lt;&gt;"",IF(AND(B238='IN-TC'!$S$4,OR(TH!N238="1111",TH!O238="1111")),TH!D238,""),"")</f>
        <v/>
      </c>
      <c r="B238" s="63">
        <f t="shared" si="51"/>
        <v>1</v>
      </c>
      <c r="C238" s="64">
        <v>42376</v>
      </c>
      <c r="D238" s="64" t="s">
        <v>709</v>
      </c>
      <c r="E238" s="64">
        <v>42376</v>
      </c>
      <c r="F238" s="67" t="s">
        <v>1106</v>
      </c>
      <c r="G238" s="67" t="s">
        <v>930</v>
      </c>
      <c r="H238" s="67" t="s">
        <v>630</v>
      </c>
      <c r="I238" s="447"/>
      <c r="J238" s="447"/>
      <c r="K238" s="438"/>
      <c r="L238" s="447"/>
      <c r="M238" s="65">
        <v>38506000</v>
      </c>
      <c r="N238" s="66" t="s">
        <v>8</v>
      </c>
      <c r="O238" s="66" t="s">
        <v>26</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
      </c>
      <c r="W238" s="85" t="str">
        <f>IF(AND('341-CT'!$H$9=H238,OR(LEFT(N238,3)=$W$7,LEFT(O238,3)=$W$7)),"x","")</f>
        <v/>
      </c>
      <c r="X238" s="85" t="str">
        <f>IF(OR(TH!N238=TH!$X$7,O238=TH!$X$7),"x","")</f>
        <v/>
      </c>
      <c r="Y238" s="85" t="str">
        <f>IF(AND(OR(N238="131",O238="131"),H238='131-CT'!$H$9),"x","")</f>
        <v/>
      </c>
      <c r="Z238" s="85"/>
      <c r="AA238" s="85" t="str">
        <f>IF(AND(MONTH(E238)='IN-NX'!$J$5,'IN-NX'!$D$7=D238),"x","")</f>
        <v/>
      </c>
      <c r="AB238" s="85" t="str">
        <f>IF(AND(OR(LEFT(TH!N238,2)="15",LEFT(TH!O238,2)="15"),'152-CT'!$J$8=TH!F238),"x","")</f>
        <v/>
      </c>
      <c r="AC238" s="85" t="str">
        <f>IF(AND(OR(LEFT(TH!N238,2)="15",LEFT(TH!O238,2)="15"),TK!$E$7=TH!F238),"x","")</f>
        <v/>
      </c>
      <c r="AD238" s="85" t="str">
        <f>IF(AND(N238="1521",MONTH(C238)='BK-NL'!$M$11),"x","")</f>
        <v/>
      </c>
    </row>
    <row r="239" spans="1:30" s="348" customFormat="1" ht="15.75" customHeight="1">
      <c r="A239" s="343" t="str">
        <f>IF(B239&lt;&gt;"",IF(AND(B239='IN-TC'!$S$4,OR(TH!N239="1111",TH!O239="1111")),TH!D239,""),"")</f>
        <v/>
      </c>
      <c r="B239" s="63">
        <f t="shared" si="51"/>
        <v>1</v>
      </c>
      <c r="C239" s="64">
        <v>42376</v>
      </c>
      <c r="D239" s="64" t="s">
        <v>709</v>
      </c>
      <c r="E239" s="64">
        <v>42376</v>
      </c>
      <c r="F239" s="67" t="s">
        <v>752</v>
      </c>
      <c r="G239" s="67" t="s">
        <v>930</v>
      </c>
      <c r="H239" s="67"/>
      <c r="I239" s="447"/>
      <c r="J239" s="447"/>
      <c r="K239" s="438"/>
      <c r="L239" s="447"/>
      <c r="M239" s="65">
        <v>44000</v>
      </c>
      <c r="N239" s="66" t="s">
        <v>101</v>
      </c>
      <c r="O239" s="66" t="s">
        <v>26</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
      </c>
      <c r="W239" s="85" t="str">
        <f>IF(AND('341-CT'!$H$9=H239,OR(LEFT(N239,3)=$W$7,LEFT(O239,3)=$W$7)),"x","")</f>
        <v/>
      </c>
      <c r="X239" s="85" t="str">
        <f>IF(OR(TH!N239=TH!$X$7,O239=TH!$X$7),"x","")</f>
        <v/>
      </c>
      <c r="Y239" s="85" t="str">
        <f>IF(AND(OR(N239="131",O239="131"),H239='131-CT'!$H$9),"x","")</f>
        <v/>
      </c>
      <c r="Z239" s="85"/>
      <c r="AA239" s="85" t="str">
        <f>IF(AND(MONTH(E239)='IN-NX'!$J$5,'IN-NX'!$D$7=D239),"x","")</f>
        <v/>
      </c>
      <c r="AB239" s="85" t="str">
        <f>IF(AND(OR(LEFT(TH!N239,2)="15",LEFT(TH!O239,2)="15"),'152-CT'!$J$8=TH!F239),"x","")</f>
        <v/>
      </c>
      <c r="AC239" s="85" t="str">
        <f>IF(AND(OR(LEFT(TH!N239,2)="15",LEFT(TH!O239,2)="15"),TK!$E$7=TH!F239),"x","")</f>
        <v/>
      </c>
      <c r="AD239" s="85" t="str">
        <f>IF(AND(N239="1521",MONTH(C239)='BK-NL'!$M$11),"x","")</f>
        <v/>
      </c>
    </row>
    <row r="240" spans="1:30" s="348" customFormat="1" ht="15.75" customHeight="1">
      <c r="A240" s="343" t="str">
        <f>IF(B240&lt;&gt;"",IF(AND(B240='IN-TC'!$S$4,OR(TH!N240="1111",TH!O240="1111")),TH!D240,""),"")</f>
        <v/>
      </c>
      <c r="B240" s="63">
        <f t="shared" si="51"/>
        <v>1</v>
      </c>
      <c r="C240" s="64">
        <v>42376</v>
      </c>
      <c r="D240" s="64" t="s">
        <v>895</v>
      </c>
      <c r="E240" s="64">
        <v>42376</v>
      </c>
      <c r="F240" s="67" t="s">
        <v>791</v>
      </c>
      <c r="G240" s="996" t="s">
        <v>829</v>
      </c>
      <c r="H240" s="74" t="s">
        <v>830</v>
      </c>
      <c r="I240" s="447"/>
      <c r="J240" s="447"/>
      <c r="K240" s="438"/>
      <c r="L240" s="447"/>
      <c r="M240" s="65">
        <v>1341060</v>
      </c>
      <c r="N240" s="86" t="s">
        <v>101</v>
      </c>
      <c r="O240" s="66" t="s">
        <v>63</v>
      </c>
      <c r="P240" s="85" t="str">
        <f>IF(AND('331-CT'!$E$7=TH!H240,OR(N240="331",O240="331")),"x","")</f>
        <v/>
      </c>
      <c r="Q240" s="85" t="str">
        <f>IF(AND(B240='111'!$L$11,OR($N240=$Q$7,$O240=$Q$7)),"x","")</f>
        <v>x</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IF(AND('341-CT'!$H$9=H240,OR(LEFT(N240,3)=$W$7,LEFT(O240,3)=$W$7)),"x","")</f>
        <v/>
      </c>
      <c r="X240" s="85" t="str">
        <f>IF(OR(TH!N240=TH!$X$7,O240=TH!$X$7),"x","")</f>
        <v/>
      </c>
      <c r="Y240" s="85" t="str">
        <f>IF(AND(OR(N240="131",O240="131"),H240='131-CT'!$H$9),"x","")</f>
        <v/>
      </c>
      <c r="Z240" s="85"/>
      <c r="AA240" s="85" t="str">
        <f>IF(AND(MONTH(E240)='IN-NX'!$J$5,'IN-NX'!$D$7=D240),"x","")</f>
        <v/>
      </c>
      <c r="AB240" s="85" t="str">
        <f>IF(AND(OR(LEFT(TH!N240,2)="15",LEFT(TH!O240,2)="15"),'152-CT'!$J$8=TH!F240),"x","")</f>
        <v/>
      </c>
      <c r="AC240" s="85" t="str">
        <f>IF(AND(OR(LEFT(TH!N240,2)="15",LEFT(TH!O240,2)="15"),TK!$E$7=TH!F240),"x","")</f>
        <v/>
      </c>
      <c r="AD240" s="85" t="str">
        <f>IF(AND(N240="1521",MONTH(C240)='BK-NL'!$M$11),"x","")</f>
        <v/>
      </c>
    </row>
    <row r="241" spans="1:30" s="348" customFormat="1" ht="15.75" customHeight="1">
      <c r="A241" s="343" t="str">
        <f>IF(B241&lt;&gt;"",IF(AND(B241='IN-TC'!$S$4,OR(TH!N241="1111",TH!O241="1111")),TH!D241,""),"")</f>
        <v/>
      </c>
      <c r="B241" s="63">
        <f t="shared" si="51"/>
        <v>1</v>
      </c>
      <c r="C241" s="64">
        <v>42376</v>
      </c>
      <c r="D241" s="64" t="s">
        <v>895</v>
      </c>
      <c r="E241" s="64">
        <v>42376</v>
      </c>
      <c r="F241" s="67" t="s">
        <v>792</v>
      </c>
      <c r="G241" s="996" t="s">
        <v>829</v>
      </c>
      <c r="H241" s="74" t="s">
        <v>830</v>
      </c>
      <c r="I241" s="447"/>
      <c r="J241" s="447"/>
      <c r="K241" s="438"/>
      <c r="L241" s="447"/>
      <c r="M241" s="65">
        <v>134106</v>
      </c>
      <c r="N241" s="86" t="s">
        <v>9</v>
      </c>
      <c r="O241" s="66" t="s">
        <v>63</v>
      </c>
      <c r="P241" s="85" t="str">
        <f>IF(AND('331-CT'!$E$7=TH!H241,OR(N241="331",O241="331")),"x","")</f>
        <v/>
      </c>
      <c r="Q241" s="85" t="str">
        <f>IF(AND(B241='111'!$L$11,OR($N241=$Q$7,$O241=$Q$7)),"x","")</f>
        <v>x</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IF(AND('341-CT'!$H$9=H241,OR(LEFT(N241,3)=$W$7,LEFT(O241,3)=$W$7)),"x","")</f>
        <v/>
      </c>
      <c r="X241" s="85" t="str">
        <f>IF(OR(TH!N241=TH!$X$7,O241=TH!$X$7),"x","")</f>
        <v/>
      </c>
      <c r="Y241" s="85" t="str">
        <f>IF(AND(OR(N241="131",O241="131"),H241='131-CT'!$H$9),"x","")</f>
        <v/>
      </c>
      <c r="Z241" s="85"/>
      <c r="AA241" s="85" t="str">
        <f>IF(AND(MONTH(E241)='IN-NX'!$J$5,'IN-NX'!$D$7=D241),"x","")</f>
        <v/>
      </c>
      <c r="AB241" s="85" t="str">
        <f>IF(AND(OR(LEFT(TH!N241,2)="15",LEFT(TH!O241,2)="15"),'152-CT'!$J$8=TH!F241),"x","")</f>
        <v/>
      </c>
      <c r="AC241" s="85" t="str">
        <f>IF(AND(OR(LEFT(TH!N241,2)="15",LEFT(TH!O241,2)="15"),TK!$E$7=TH!F241),"x","")</f>
        <v/>
      </c>
      <c r="AD241" s="85" t="str">
        <f>IF(AND(N241="1521",MONTH(C241)='BK-NL'!$M$11),"x","")</f>
        <v/>
      </c>
    </row>
    <row r="242" spans="1:30" s="348" customFormat="1" ht="15.75" customHeight="1">
      <c r="A242" s="343" t="str">
        <f>IF(B242&lt;&gt;"",IF(AND(B242='IN-TC'!$S$4,OR(TH!N242="1111",TH!O242="1111")),TH!D242,""),"")</f>
        <v/>
      </c>
      <c r="B242" s="63">
        <f t="shared" si="51"/>
        <v>1</v>
      </c>
      <c r="C242" s="64">
        <v>42377</v>
      </c>
      <c r="D242" s="64" t="s">
        <v>706</v>
      </c>
      <c r="E242" s="64">
        <v>42377</v>
      </c>
      <c r="F242" s="69" t="s">
        <v>713</v>
      </c>
      <c r="G242" s="67" t="s">
        <v>929</v>
      </c>
      <c r="H242" s="7" t="s">
        <v>602</v>
      </c>
      <c r="I242" s="447"/>
      <c r="J242" s="447"/>
      <c r="K242" s="438">
        <v>4819.12</v>
      </c>
      <c r="L242" s="447">
        <v>22490</v>
      </c>
      <c r="M242" s="84">
        <f>ROUND(K242*L242,0)</f>
        <v>108382009</v>
      </c>
      <c r="N242" s="66" t="s">
        <v>267</v>
      </c>
      <c r="O242" s="66" t="s">
        <v>591</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x</v>
      </c>
      <c r="U242" s="85" t="str">
        <f>IF(ISERROR(FIND('112'!$M$9,G242,1)),"",IF((AND(LEFT(G242,2)=LEFT('112'!$M$9,2),B242&lt;'112'!$K$9,$N242='112'!$I$6)),"x",""))</f>
        <v/>
      </c>
      <c r="V242" s="85" t="str">
        <f>IF(ISERROR(FIND('112'!$M$9,G242,1)),"",IF((AND(RIGHT(G242,2)=RIGHT('112'!$M$9,2),B242&lt;'112'!$K$9,$O242='112'!$I$6)),"x",""))</f>
        <v/>
      </c>
      <c r="W242" s="85" t="str">
        <f>IF(AND('341-CT'!$H$9=H242,OR(LEFT(N242,3)=$W$7,LEFT(O242,3)=$W$7)),"x","")</f>
        <v/>
      </c>
      <c r="X242" s="85" t="str">
        <f>IF(OR(TH!N242=TH!$X$7,O242=TH!$X$7),"x","")</f>
        <v/>
      </c>
      <c r="Y242" s="85" t="str">
        <f>IF(AND(OR(N242="131",O242="131"),H242='131-CT'!$H$9),"x","")</f>
        <v>x</v>
      </c>
      <c r="Z242" s="85"/>
      <c r="AA242" s="85" t="str">
        <f>IF(AND(MONTH(E242)='IN-NX'!$J$5,'IN-NX'!$D$7=D242),"x","")</f>
        <v/>
      </c>
      <c r="AB242" s="85" t="str">
        <f>IF(AND(OR(LEFT(TH!N242,2)="15",LEFT(TH!O242,2)="15"),'152-CT'!$J$8=TH!F242),"x","")</f>
        <v/>
      </c>
      <c r="AC242" s="85" t="str">
        <f>IF(AND(OR(LEFT(TH!N242,2)="15",LEFT(TH!O242,2)="15"),TK!$E$7=TH!F242),"x","")</f>
        <v/>
      </c>
      <c r="AD242" s="85" t="str">
        <f>IF(AND(N242="1521",MONTH(C242)='BK-NL'!$M$11),"x","")</f>
        <v/>
      </c>
    </row>
    <row r="243" spans="1:30" ht="15.75" customHeight="1">
      <c r="A243" s="343" t="str">
        <f>IF(B243&lt;&gt;"",IF(AND(B243='IN-TC'!$S$4,OR(TH!N243="1111",TH!O243="1111")),TH!D243,""),"")</f>
        <v/>
      </c>
      <c r="B243" s="63">
        <f t="shared" si="51"/>
        <v>1</v>
      </c>
      <c r="C243" s="64">
        <v>42377</v>
      </c>
      <c r="D243" s="64" t="s">
        <v>585</v>
      </c>
      <c r="E243" s="64">
        <v>42377</v>
      </c>
      <c r="F243" s="67" t="s">
        <v>1085</v>
      </c>
      <c r="G243" s="67" t="s">
        <v>929</v>
      </c>
      <c r="H243" s="7" t="s">
        <v>602</v>
      </c>
      <c r="I243" s="447"/>
      <c r="J243" s="447"/>
      <c r="K243" s="438">
        <v>169.88</v>
      </c>
      <c r="L243" s="447">
        <v>22490</v>
      </c>
      <c r="M243" s="65">
        <f>ROUND(K243*L243,0)</f>
        <v>3820601</v>
      </c>
      <c r="N243" s="66" t="s">
        <v>101</v>
      </c>
      <c r="O243" s="66" t="s">
        <v>591</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IF(AND('341-CT'!$H$9=H243,OR(LEFT(N243,3)=$W$7,LEFT(O243,3)=$W$7)),"x","")</f>
        <v/>
      </c>
      <c r="X243" s="85" t="str">
        <f>IF(OR(TH!N243=TH!$X$7,O243=TH!$X$7),"x","")</f>
        <v/>
      </c>
      <c r="Y243" s="85" t="str">
        <f>IF(AND(OR(N243="131",O243="131"),H243='131-CT'!$H$9),"x","")</f>
        <v>x</v>
      </c>
      <c r="Z243" s="85"/>
      <c r="AA243" s="85" t="str">
        <f>IF(AND(MONTH(E243)='IN-NX'!$J$5,'IN-NX'!$D$7=D243),"x","")</f>
        <v/>
      </c>
      <c r="AB243" s="85" t="str">
        <f>IF(AND(OR(LEFT(TH!N243,2)="15",LEFT(TH!O243,2)="15"),'152-CT'!$J$8=TH!F243),"x","")</f>
        <v/>
      </c>
      <c r="AC243" s="85" t="str">
        <f>IF(AND(OR(LEFT(TH!N243,2)="15",LEFT(TH!O243,2)="15"),TK!$E$7=TH!F243),"x","")</f>
        <v/>
      </c>
      <c r="AD243" s="85" t="str">
        <f>IF(AND(N243="1521",MONTH(C243)='BK-NL'!$M$11),"x","")</f>
        <v/>
      </c>
    </row>
    <row r="244" spans="1:30" ht="15.75" customHeight="1">
      <c r="A244" s="343" t="str">
        <f>IF(B244&lt;&gt;"",IF(AND(B244='IN-TC'!$S$4,OR(TH!N244="1111",TH!O244="1111")),TH!D244,""),"")</f>
        <v/>
      </c>
      <c r="B244" s="63">
        <f t="shared" si="51"/>
        <v>1</v>
      </c>
      <c r="C244" s="64">
        <v>42377</v>
      </c>
      <c r="D244" s="64" t="s">
        <v>585</v>
      </c>
      <c r="E244" s="64">
        <v>42377</v>
      </c>
      <c r="F244" s="67" t="s">
        <v>1086</v>
      </c>
      <c r="G244" s="67" t="s">
        <v>929</v>
      </c>
      <c r="H244" s="7" t="s">
        <v>602</v>
      </c>
      <c r="I244" s="447"/>
      <c r="J244" s="447"/>
      <c r="K244" s="438">
        <v>230.64</v>
      </c>
      <c r="L244" s="447">
        <v>22490</v>
      </c>
      <c r="M244" s="65">
        <f>ROUND(K244*L244,0)</f>
        <v>5187094</v>
      </c>
      <c r="N244" s="66" t="s">
        <v>101</v>
      </c>
      <c r="O244" s="66" t="s">
        <v>591</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IF(AND('341-CT'!$H$9=H244,OR(LEFT(N244,3)=$W$7,LEFT(O244,3)=$W$7)),"x","")</f>
        <v/>
      </c>
      <c r="X244" s="85" t="str">
        <f>IF(OR(TH!N244=TH!$X$7,O244=TH!$X$7),"x","")</f>
        <v/>
      </c>
      <c r="Y244" s="85" t="str">
        <f>IF(AND(OR(N244="131",O244="131"),H244='131-CT'!$H$9),"x","")</f>
        <v>x</v>
      </c>
      <c r="Z244" s="85"/>
      <c r="AA244" s="85" t="str">
        <f>IF(AND(MONTH(E244)='IN-NX'!$J$5,'IN-NX'!$D$7=D244),"x","")</f>
        <v/>
      </c>
      <c r="AB244" s="85" t="str">
        <f>IF(AND(OR(LEFT(TH!N244,2)="15",LEFT(TH!O244,2)="15"),'152-CT'!$J$8=TH!F244),"x","")</f>
        <v/>
      </c>
      <c r="AC244" s="85" t="str">
        <f>IF(AND(OR(LEFT(TH!N244,2)="15",LEFT(TH!O244,2)="15"),TK!$E$7=TH!F244),"x","")</f>
        <v/>
      </c>
      <c r="AD244" s="85" t="str">
        <f>IF(AND(N244="1521",MONTH(C244)='BK-NL'!$M$11),"x","")</f>
        <v/>
      </c>
    </row>
    <row r="245" spans="1:30" ht="15.75" customHeight="1">
      <c r="A245" s="343" t="str">
        <f>IF(B245&lt;&gt;"",IF(AND(B245='IN-TC'!$S$4,OR(TH!N245="1111",TH!O245="1111")),TH!D245,""),"")</f>
        <v/>
      </c>
      <c r="B245" s="63">
        <f t="shared" si="51"/>
        <v>1</v>
      </c>
      <c r="C245" s="64">
        <v>42377</v>
      </c>
      <c r="D245" s="64" t="s">
        <v>585</v>
      </c>
      <c r="E245" s="64">
        <v>42377</v>
      </c>
      <c r="F245" s="67" t="s">
        <v>1080</v>
      </c>
      <c r="G245" s="67" t="s">
        <v>929</v>
      </c>
      <c r="H245" s="7" t="s">
        <v>602</v>
      </c>
      <c r="I245" s="447"/>
      <c r="J245" s="447"/>
      <c r="K245" s="438"/>
      <c r="L245" s="447"/>
      <c r="M245" s="65">
        <v>5712130</v>
      </c>
      <c r="N245" s="66" t="s">
        <v>99</v>
      </c>
      <c r="O245" s="66" t="s">
        <v>591</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IF(AND('341-CT'!$H$9=H245,OR(LEFT(N245,3)=$W$7,LEFT(O245,3)=$W$7)),"x","")</f>
        <v/>
      </c>
      <c r="X245" s="85" t="str">
        <f>IF(OR(TH!N245=TH!$X$7,O245=TH!$X$7),"x","")</f>
        <v/>
      </c>
      <c r="Y245" s="85" t="str">
        <f>IF(AND(OR(N245="131",O245="131"),H245='131-CT'!$H$9),"x","")</f>
        <v>x</v>
      </c>
      <c r="Z245" s="85"/>
      <c r="AA245" s="85" t="str">
        <f>IF(AND(MONTH(E245)='IN-NX'!$J$5,'IN-NX'!$D$7=D245),"x","")</f>
        <v/>
      </c>
      <c r="AB245" s="85" t="str">
        <f>IF(AND(OR(LEFT(TH!N245,2)="15",LEFT(TH!O245,2)="15"),'152-CT'!$J$8=TH!F245),"x","")</f>
        <v/>
      </c>
      <c r="AC245" s="85" t="str">
        <f>IF(AND(OR(LEFT(TH!N245,2)="15",LEFT(TH!O245,2)="15"),TK!$E$7=TH!F245),"x","")</f>
        <v/>
      </c>
      <c r="AD245" s="85" t="str">
        <f>IF(AND(N245="1521",MONTH(C245)='BK-NL'!$M$11),"x","")</f>
        <v/>
      </c>
    </row>
    <row r="246" spans="1:30" s="348" customFormat="1" ht="15.75" customHeight="1">
      <c r="A246" s="343" t="str">
        <f>IF(B246&lt;&gt;"",IF(AND(B246='IN-TC'!$S$4,OR(TH!N246="1111",TH!O246="1111")),TH!D246,""),"")</f>
        <v/>
      </c>
      <c r="B246" s="63">
        <f t="shared" si="51"/>
        <v>1</v>
      </c>
      <c r="C246" s="81">
        <v>42377</v>
      </c>
      <c r="D246" s="81" t="s">
        <v>709</v>
      </c>
      <c r="E246" s="81">
        <v>42377</v>
      </c>
      <c r="F246" s="82" t="s">
        <v>718</v>
      </c>
      <c r="G246" s="67" t="s">
        <v>929</v>
      </c>
      <c r="H246" s="83"/>
      <c r="I246" s="445"/>
      <c r="J246" s="445"/>
      <c r="K246" s="436">
        <v>76.069999999999993</v>
      </c>
      <c r="L246" s="445">
        <v>22490</v>
      </c>
      <c r="M246" s="84">
        <f>ROUND(K246*L246,0)</f>
        <v>1710814</v>
      </c>
      <c r="N246" s="85" t="s">
        <v>99</v>
      </c>
      <c r="O246" s="66" t="s">
        <v>267</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x</v>
      </c>
      <c r="U246" s="85" t="str">
        <f>IF(ISERROR(FIND('112'!$M$9,G246,1)),"",IF((AND(LEFT(G246,2)=LEFT('112'!$M$9,2),B246&lt;'112'!$K$9,$N246='112'!$I$6)),"x",""))</f>
        <v/>
      </c>
      <c r="V246" s="85" t="str">
        <f>IF(ISERROR(FIND('112'!$M$9,G246,1)),"",IF((AND(RIGHT(G246,2)=RIGHT('112'!$M$9,2),B246&lt;'112'!$K$9,$O246='112'!$I$6)),"x",""))</f>
        <v/>
      </c>
      <c r="W246" s="85" t="str">
        <f>IF(AND('341-CT'!$H$9=H246,OR(LEFT(N246,3)=$W$7,LEFT(O246,3)=$W$7)),"x","")</f>
        <v/>
      </c>
      <c r="X246" s="85" t="str">
        <f>IF(OR(TH!N246=TH!$X$7,O246=TH!$X$7),"x","")</f>
        <v/>
      </c>
      <c r="Y246" s="85" t="str">
        <f>IF(AND(OR(N246="131",O246="131"),H246='131-CT'!$H$9),"x","")</f>
        <v/>
      </c>
      <c r="Z246" s="85"/>
      <c r="AA246" s="85" t="str">
        <f>IF(AND(MONTH(E246)='IN-NX'!$J$5,'IN-NX'!$D$7=D246),"x","")</f>
        <v/>
      </c>
      <c r="AB246" s="85" t="str">
        <f>IF(AND(OR(LEFT(TH!N246,2)="15",LEFT(TH!O246,2)="15"),'152-CT'!$J$8=TH!F246),"x","")</f>
        <v/>
      </c>
      <c r="AC246" s="85" t="str">
        <f>IF(AND(OR(LEFT(TH!N246,2)="15",LEFT(TH!O246,2)="15"),TK!$E$7=TH!F246),"x","")</f>
        <v/>
      </c>
      <c r="AD246" s="85" t="str">
        <f>IF(AND(N246="1521",MONTH(C246)='BK-NL'!$M$11),"x","")</f>
        <v/>
      </c>
    </row>
    <row r="247" spans="1:30" s="348" customFormat="1" ht="15.75" customHeight="1">
      <c r="A247" s="343" t="str">
        <f>IF(B247&lt;&gt;"",IF(AND(B247='IN-TC'!$S$4,OR(TH!N247="1111",TH!O247="1111")),TH!D247,""),"")</f>
        <v/>
      </c>
      <c r="B247" s="63">
        <f t="shared" si="51"/>
        <v>1</v>
      </c>
      <c r="C247" s="64">
        <v>42377</v>
      </c>
      <c r="D247" s="64" t="s">
        <v>896</v>
      </c>
      <c r="E247" s="64">
        <v>42377</v>
      </c>
      <c r="F247" s="67" t="s">
        <v>793</v>
      </c>
      <c r="G247" s="67" t="s">
        <v>831</v>
      </c>
      <c r="H247" s="353" t="s">
        <v>832</v>
      </c>
      <c r="I247" s="451"/>
      <c r="J247" s="451"/>
      <c r="K247" s="442"/>
      <c r="L247" s="451"/>
      <c r="M247" s="65">
        <v>5363636</v>
      </c>
      <c r="N247" s="66" t="s">
        <v>101</v>
      </c>
      <c r="O247" s="66" t="s">
        <v>63</v>
      </c>
      <c r="P247" s="85" t="str">
        <f>IF(AND('331-CT'!$E$7=TH!H247,OR(N247="331",O247="331")),"x","")</f>
        <v/>
      </c>
      <c r="Q247" s="85" t="str">
        <f>IF(AND(B247='111'!$L$11,OR($N247=$Q$7,$O247=$Q$7)),"x","")</f>
        <v>x</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IF(AND('341-CT'!$H$9=H247,OR(LEFT(N247,3)=$W$7,LEFT(O247,3)=$W$7)),"x","")</f>
        <v/>
      </c>
      <c r="X247" s="85" t="str">
        <f>IF(OR(TH!N247=TH!$X$7,O247=TH!$X$7),"x","")</f>
        <v/>
      </c>
      <c r="Y247" s="85" t="str">
        <f>IF(AND(OR(N247="131",O247="131"),H247='131-CT'!$H$9),"x","")</f>
        <v/>
      </c>
      <c r="Z247" s="85"/>
      <c r="AA247" s="85" t="str">
        <f>IF(AND(MONTH(E247)='IN-NX'!$J$5,'IN-NX'!$D$7=D247),"x","")</f>
        <v/>
      </c>
      <c r="AB247" s="85" t="str">
        <f>IF(AND(OR(LEFT(TH!N247,2)="15",LEFT(TH!O247,2)="15"),'152-CT'!$J$8=TH!F247),"x","")</f>
        <v/>
      </c>
      <c r="AC247" s="85" t="str">
        <f>IF(AND(OR(LEFT(TH!N247,2)="15",LEFT(TH!O247,2)="15"),TK!$E$7=TH!F247),"x","")</f>
        <v/>
      </c>
      <c r="AD247" s="85" t="str">
        <f>IF(AND(N247="1521",MONTH(C247)='BK-NL'!$M$11),"x","")</f>
        <v/>
      </c>
    </row>
    <row r="248" spans="1:30" s="348" customFormat="1" ht="15.75" customHeight="1">
      <c r="A248" s="343" t="str">
        <f>IF(B248&lt;&gt;"",IF(AND(B248='IN-TC'!$S$4,OR(TH!N248="1111",TH!O248="1111")),TH!D248,""),"")</f>
        <v/>
      </c>
      <c r="B248" s="63">
        <f t="shared" si="51"/>
        <v>1</v>
      </c>
      <c r="C248" s="64">
        <v>42377</v>
      </c>
      <c r="D248" s="64" t="s">
        <v>896</v>
      </c>
      <c r="E248" s="64">
        <v>42377</v>
      </c>
      <c r="F248" s="67" t="s">
        <v>794</v>
      </c>
      <c r="G248" s="67" t="s">
        <v>831</v>
      </c>
      <c r="H248" s="74" t="s">
        <v>832</v>
      </c>
      <c r="I248" s="447"/>
      <c r="J248" s="447"/>
      <c r="K248" s="438"/>
      <c r="L248" s="447"/>
      <c r="M248" s="65">
        <v>536364</v>
      </c>
      <c r="N248" s="66" t="s">
        <v>9</v>
      </c>
      <c r="O248" s="66" t="s">
        <v>63</v>
      </c>
      <c r="P248" s="85" t="str">
        <f>IF(AND('331-CT'!$E$7=TH!H248,OR(N248="331",O248="331")),"x","")</f>
        <v/>
      </c>
      <c r="Q248" s="85" t="str">
        <f>IF(AND(B248='111'!$L$11,OR($N248=$Q$7,$O248=$Q$7)),"x","")</f>
        <v>x</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IF(AND('341-CT'!$H$9=H248,OR(LEFT(N248,3)=$W$7,LEFT(O248,3)=$W$7)),"x","")</f>
        <v/>
      </c>
      <c r="X248" s="85" t="str">
        <f>IF(OR(TH!N248=TH!$X$7,O248=TH!$X$7),"x","")</f>
        <v/>
      </c>
      <c r="Y248" s="85" t="str">
        <f>IF(AND(OR(N248="131",O248="131"),H248='131-CT'!$H$9),"x","")</f>
        <v/>
      </c>
      <c r="Z248" s="85"/>
      <c r="AA248" s="85" t="str">
        <f>IF(AND(MONTH(E248)='IN-NX'!$J$5,'IN-NX'!$D$7=D248),"x","")</f>
        <v/>
      </c>
      <c r="AB248" s="85" t="str">
        <f>IF(AND(OR(LEFT(TH!N248,2)="15",LEFT(TH!O248,2)="15"),'152-CT'!$J$8=TH!F248),"x","")</f>
        <v/>
      </c>
      <c r="AC248" s="85" t="str">
        <f>IF(AND(OR(LEFT(TH!N248,2)="15",LEFT(TH!O248,2)="15"),TK!$E$7=TH!F248),"x","")</f>
        <v/>
      </c>
      <c r="AD248" s="85" t="str">
        <f>IF(AND(N248="1521",MONTH(C248)='BK-NL'!$M$11),"x","")</f>
        <v/>
      </c>
    </row>
    <row r="249" spans="1:30" s="348" customFormat="1" ht="15.75" customHeight="1">
      <c r="A249" s="343" t="str">
        <f>IF(B249&lt;&gt;"",IF(AND(B249='IN-TC'!$S$4,OR(TH!N249="1111",TH!O249="1111")),TH!D249,""),"")</f>
        <v/>
      </c>
      <c r="B249" s="63">
        <f t="shared" si="51"/>
        <v>1</v>
      </c>
      <c r="C249" s="64">
        <v>42377</v>
      </c>
      <c r="D249" s="64" t="s">
        <v>897</v>
      </c>
      <c r="E249" s="64">
        <v>42377</v>
      </c>
      <c r="F249" s="67" t="s">
        <v>795</v>
      </c>
      <c r="G249" s="67" t="s">
        <v>833</v>
      </c>
      <c r="H249" s="74" t="s">
        <v>819</v>
      </c>
      <c r="I249" s="447"/>
      <c r="J249" s="447"/>
      <c r="K249" s="438"/>
      <c r="L249" s="447"/>
      <c r="M249" s="65">
        <v>851709</v>
      </c>
      <c r="N249" s="66" t="s">
        <v>101</v>
      </c>
      <c r="O249" s="66" t="s">
        <v>63</v>
      </c>
      <c r="P249" s="85" t="str">
        <f>IF(AND('331-CT'!$E$7=TH!H249,OR(N249="331",O249="331")),"x","")</f>
        <v/>
      </c>
      <c r="Q249" s="85" t="str">
        <f>IF(AND(B249='111'!$L$11,OR($N249=$Q$7,$O249=$Q$7)),"x","")</f>
        <v>x</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IF(AND('341-CT'!$H$9=H249,OR(LEFT(N249,3)=$W$7,LEFT(O249,3)=$W$7)),"x","")</f>
        <v/>
      </c>
      <c r="X249" s="85" t="str">
        <f>IF(OR(TH!N249=TH!$X$7,O249=TH!$X$7),"x","")</f>
        <v/>
      </c>
      <c r="Y249" s="85" t="str">
        <f>IF(AND(OR(N249="131",O249="131"),H249='131-CT'!$H$9),"x","")</f>
        <v/>
      </c>
      <c r="Z249" s="85"/>
      <c r="AA249" s="85" t="str">
        <f>IF(AND(MONTH(E249)='IN-NX'!$J$5,'IN-NX'!$D$7=D249),"x","")</f>
        <v/>
      </c>
      <c r="AB249" s="85" t="str">
        <f>IF(AND(OR(LEFT(TH!N249,2)="15",LEFT(TH!O249,2)="15"),'152-CT'!$J$8=TH!F249),"x","")</f>
        <v/>
      </c>
      <c r="AC249" s="85" t="str">
        <f>IF(AND(OR(LEFT(TH!N249,2)="15",LEFT(TH!O249,2)="15"),TK!$E$7=TH!F249),"x","")</f>
        <v/>
      </c>
      <c r="AD249" s="85" t="str">
        <f>IF(AND(N249="1521",MONTH(C249)='BK-NL'!$M$11),"x","")</f>
        <v/>
      </c>
    </row>
    <row r="250" spans="1:30" s="348" customFormat="1" ht="15.75" customHeight="1">
      <c r="A250" s="343" t="str">
        <f>IF(B250&lt;&gt;"",IF(AND(B250='IN-TC'!$S$4,OR(TH!N250="1111",TH!O250="1111")),TH!D250,""),"")</f>
        <v/>
      </c>
      <c r="B250" s="63">
        <f t="shared" si="51"/>
        <v>1</v>
      </c>
      <c r="C250" s="64">
        <v>42377</v>
      </c>
      <c r="D250" s="64" t="s">
        <v>897</v>
      </c>
      <c r="E250" s="64">
        <v>42377</v>
      </c>
      <c r="F250" s="67" t="s">
        <v>796</v>
      </c>
      <c r="G250" s="67" t="s">
        <v>833</v>
      </c>
      <c r="H250" s="353" t="s">
        <v>819</v>
      </c>
      <c r="I250" s="451"/>
      <c r="J250" s="451"/>
      <c r="K250" s="442"/>
      <c r="L250" s="451"/>
      <c r="M250" s="65">
        <v>85171</v>
      </c>
      <c r="N250" s="66" t="s">
        <v>9</v>
      </c>
      <c r="O250" s="66" t="s">
        <v>63</v>
      </c>
      <c r="P250" s="85" t="str">
        <f>IF(AND('331-CT'!$E$7=TH!H250,OR(N250="331",O250="331")),"x","")</f>
        <v/>
      </c>
      <c r="Q250" s="85" t="str">
        <f>IF(AND(B250='111'!$L$11,OR($N250=$Q$7,$O250=$Q$7)),"x","")</f>
        <v>x</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IF(AND('341-CT'!$H$9=H250,OR(LEFT(N250,3)=$W$7,LEFT(O250,3)=$W$7)),"x","")</f>
        <v/>
      </c>
      <c r="X250" s="85" t="str">
        <f>IF(OR(TH!N250=TH!$X$7,O250=TH!$X$7),"x","")</f>
        <v/>
      </c>
      <c r="Y250" s="85" t="str">
        <f>IF(AND(OR(N250="131",O250="131"),H250='131-CT'!$H$9),"x","")</f>
        <v/>
      </c>
      <c r="Z250" s="85"/>
      <c r="AA250" s="85" t="str">
        <f>IF(AND(MONTH(E250)='IN-NX'!$J$5,'IN-NX'!$D$7=D250),"x","")</f>
        <v/>
      </c>
      <c r="AB250" s="85" t="str">
        <f>IF(AND(OR(LEFT(TH!N250,2)="15",LEFT(TH!O250,2)="15"),'152-CT'!$J$8=TH!F250),"x","")</f>
        <v/>
      </c>
      <c r="AC250" s="85" t="str">
        <f>IF(AND(OR(LEFT(TH!N250,2)="15",LEFT(TH!O250,2)="15"),TK!$E$7=TH!F250),"x","")</f>
        <v/>
      </c>
      <c r="AD250" s="85" t="str">
        <f>IF(AND(N250="1521",MONTH(C250)='BK-NL'!$M$11),"x","")</f>
        <v/>
      </c>
    </row>
    <row r="251" spans="1:30" s="348" customFormat="1" ht="15.75" customHeight="1">
      <c r="A251" s="343" t="str">
        <f>IF(B251&lt;&gt;"",IF(AND(B251='IN-TC'!$S$4,OR(TH!N251="1111",TH!O251="1111")),TH!D251,""),"")</f>
        <v/>
      </c>
      <c r="B251" s="63">
        <f t="shared" si="51"/>
        <v>1</v>
      </c>
      <c r="C251" s="64">
        <v>42380</v>
      </c>
      <c r="D251" s="64" t="s">
        <v>709</v>
      </c>
      <c r="E251" s="64">
        <v>42380</v>
      </c>
      <c r="F251" s="67" t="s">
        <v>714</v>
      </c>
      <c r="G251" s="67" t="s">
        <v>930</v>
      </c>
      <c r="H251" s="74"/>
      <c r="I251" s="447"/>
      <c r="J251" s="447"/>
      <c r="K251" s="438">
        <v>15</v>
      </c>
      <c r="L251" s="447">
        <v>22440</v>
      </c>
      <c r="M251" s="84">
        <f>ROUND(K251*L251,0)</f>
        <v>336600</v>
      </c>
      <c r="N251" s="66" t="s">
        <v>101</v>
      </c>
      <c r="O251" s="66" t="s">
        <v>267</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IF(AND('341-CT'!$H$9=H251,OR(LEFT(N251,3)=$W$7,LEFT(O251,3)=$W$7)),"x","")</f>
        <v/>
      </c>
      <c r="X251" s="85" t="str">
        <f>IF(OR(TH!N251=TH!$X$7,O251=TH!$X$7),"x","")</f>
        <v/>
      </c>
      <c r="Y251" s="85" t="str">
        <f>IF(AND(OR(N251="131",O251="131"),H251='131-CT'!$H$9),"x","")</f>
        <v/>
      </c>
      <c r="Z251" s="85"/>
      <c r="AA251" s="85" t="str">
        <f>IF(AND(MONTH(E251)='IN-NX'!$J$5,'IN-NX'!$D$7=D251),"x","")</f>
        <v/>
      </c>
      <c r="AB251" s="85" t="str">
        <f>IF(AND(OR(LEFT(TH!N251,2)="15",LEFT(TH!O251,2)="15"),'152-CT'!$J$8=TH!F251),"x","")</f>
        <v/>
      </c>
      <c r="AC251" s="85" t="str">
        <f>IF(AND(OR(LEFT(TH!N251,2)="15",LEFT(TH!O251,2)="15"),TK!$E$7=TH!F251),"x","")</f>
        <v/>
      </c>
      <c r="AD251" s="85" t="str">
        <f>IF(AND(N251="1521",MONTH(C251)='BK-NL'!$M$11),"x","")</f>
        <v/>
      </c>
    </row>
    <row r="252" spans="1:30" s="348" customFormat="1" ht="15.75" customHeight="1">
      <c r="A252" s="343" t="str">
        <f>IF(B252&lt;&gt;"",IF(AND(B252='IN-TC'!$S$4,OR(TH!N252="1111",TH!O252="1111")),TH!D252,""),"")</f>
        <v/>
      </c>
      <c r="B252" s="63">
        <f t="shared" si="51"/>
        <v>1</v>
      </c>
      <c r="C252" s="64">
        <v>42380</v>
      </c>
      <c r="D252" s="64" t="s">
        <v>709</v>
      </c>
      <c r="E252" s="64">
        <v>42380</v>
      </c>
      <c r="F252" s="67" t="s">
        <v>715</v>
      </c>
      <c r="G252" s="67" t="s">
        <v>930</v>
      </c>
      <c r="H252" s="74"/>
      <c r="I252" s="447"/>
      <c r="J252" s="447"/>
      <c r="K252" s="438">
        <v>1.5</v>
      </c>
      <c r="L252" s="447">
        <v>22440</v>
      </c>
      <c r="M252" s="84">
        <f>ROUND(K252*L252,0)</f>
        <v>33660</v>
      </c>
      <c r="N252" s="66" t="s">
        <v>9</v>
      </c>
      <c r="O252" s="66" t="s">
        <v>267</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IF(AND('341-CT'!$H$9=H252,OR(LEFT(N252,3)=$W$7,LEFT(O252,3)=$W$7)),"x","")</f>
        <v/>
      </c>
      <c r="X252" s="85" t="str">
        <f>IF(OR(TH!N252=TH!$X$7,O252=TH!$X$7),"x","")</f>
        <v/>
      </c>
      <c r="Y252" s="85" t="str">
        <f>IF(AND(OR(N252="131",O252="131"),H252='131-CT'!$H$9),"x","")</f>
        <v/>
      </c>
      <c r="Z252" s="85"/>
      <c r="AA252" s="85" t="str">
        <f>IF(AND(MONTH(E252)='IN-NX'!$J$5,'IN-NX'!$D$7=D252),"x","")</f>
        <v/>
      </c>
      <c r="AB252" s="85" t="str">
        <f>IF(AND(OR(LEFT(TH!N252,2)="15",LEFT(TH!O252,2)="15"),'152-CT'!$J$8=TH!F252),"x","")</f>
        <v/>
      </c>
      <c r="AC252" s="85" t="str">
        <f>IF(AND(OR(LEFT(TH!N252,2)="15",LEFT(TH!O252,2)="15"),TK!$E$7=TH!F252),"x","")</f>
        <v/>
      </c>
      <c r="AD252" s="85" t="str">
        <f>IF(AND(N252="1521",MONTH(C252)='BK-NL'!$M$11),"x","")</f>
        <v/>
      </c>
    </row>
    <row r="253" spans="1:30" s="348" customFormat="1" ht="15.75" customHeight="1">
      <c r="A253" s="343" t="str">
        <f>IF(B253&lt;&gt;"",IF(AND(B253='IN-TC'!$S$4,OR(TH!N253="1111",TH!O253="1111")),TH!D253,""),"")</f>
        <v/>
      </c>
      <c r="B253" s="63">
        <f t="shared" si="51"/>
        <v>1</v>
      </c>
      <c r="C253" s="64">
        <v>42380</v>
      </c>
      <c r="D253" s="64" t="s">
        <v>898</v>
      </c>
      <c r="E253" s="64">
        <v>42380</v>
      </c>
      <c r="F253" s="69" t="s">
        <v>781</v>
      </c>
      <c r="G253" s="67" t="s">
        <v>834</v>
      </c>
      <c r="H253" s="74" t="s">
        <v>819</v>
      </c>
      <c r="I253" s="447"/>
      <c r="J253" s="447"/>
      <c r="K253" s="438"/>
      <c r="L253" s="447"/>
      <c r="M253" s="65">
        <v>595900</v>
      </c>
      <c r="N253" s="66" t="s">
        <v>101</v>
      </c>
      <c r="O253" s="66" t="s">
        <v>63</v>
      </c>
      <c r="P253" s="85" t="str">
        <f>IF(AND('331-CT'!$E$7=TH!H253,OR(N253="331",O253="331")),"x","")</f>
        <v/>
      </c>
      <c r="Q253" s="85" t="str">
        <f>IF(AND(B253='111'!$L$11,OR($N253=$Q$7,$O253=$Q$7)),"x","")</f>
        <v>x</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IF(AND('341-CT'!$H$9=H253,OR(LEFT(N253,3)=$W$7,LEFT(O253,3)=$W$7)),"x","")</f>
        <v/>
      </c>
      <c r="X253" s="85" t="str">
        <f>IF(OR(TH!N253=TH!$X$7,O253=TH!$X$7),"x","")</f>
        <v/>
      </c>
      <c r="Y253" s="85" t="str">
        <f>IF(AND(OR(N253="131",O253="131"),H253='131-CT'!$H$9),"x","")</f>
        <v/>
      </c>
      <c r="Z253" s="85"/>
      <c r="AA253" s="85" t="str">
        <f>IF(AND(MONTH(E253)='IN-NX'!$J$5,'IN-NX'!$D$7=D253),"x","")</f>
        <v/>
      </c>
      <c r="AB253" s="85" t="str">
        <f>IF(AND(OR(LEFT(TH!N253,2)="15",LEFT(TH!O253,2)="15"),'152-CT'!$J$8=TH!F253),"x","")</f>
        <v/>
      </c>
      <c r="AC253" s="85" t="str">
        <f>IF(AND(OR(LEFT(TH!N253,2)="15",LEFT(TH!O253,2)="15"),TK!$E$7=TH!F253),"x","")</f>
        <v/>
      </c>
      <c r="AD253" s="85" t="str">
        <f>IF(AND(N253="1521",MONTH(C253)='BK-NL'!$M$11),"x","")</f>
        <v/>
      </c>
    </row>
    <row r="254" spans="1:30" s="348" customFormat="1" ht="15.75" customHeight="1">
      <c r="A254" s="343" t="str">
        <f>IF(B254&lt;&gt;"",IF(AND(B254='IN-TC'!$S$4,OR(TH!N254="1111",TH!O254="1111")),TH!D254,""),"")</f>
        <v/>
      </c>
      <c r="B254" s="63">
        <f t="shared" si="51"/>
        <v>1</v>
      </c>
      <c r="C254" s="64">
        <v>42380</v>
      </c>
      <c r="D254" s="64" t="s">
        <v>898</v>
      </c>
      <c r="E254" s="64">
        <v>42380</v>
      </c>
      <c r="F254" s="67" t="s">
        <v>782</v>
      </c>
      <c r="G254" s="996" t="s">
        <v>834</v>
      </c>
      <c r="H254" s="74" t="s">
        <v>819</v>
      </c>
      <c r="I254" s="447"/>
      <c r="J254" s="447"/>
      <c r="K254" s="438"/>
      <c r="L254" s="447"/>
      <c r="M254" s="65">
        <v>59590</v>
      </c>
      <c r="N254" s="66" t="s">
        <v>9</v>
      </c>
      <c r="O254" s="66" t="s">
        <v>63</v>
      </c>
      <c r="P254" s="85" t="str">
        <f>IF(AND('331-CT'!$E$7=TH!H254,OR(N254="331",O254="331")),"x","")</f>
        <v/>
      </c>
      <c r="Q254" s="85" t="str">
        <f>IF(AND(B254='111'!$L$11,OR($N254=$Q$7,$O254=$Q$7)),"x","")</f>
        <v>x</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IF(AND('341-CT'!$H$9=H254,OR(LEFT(N254,3)=$W$7,LEFT(O254,3)=$W$7)),"x","")</f>
        <v/>
      </c>
      <c r="X254" s="85" t="str">
        <f>IF(OR(TH!N254=TH!$X$7,O254=TH!$X$7),"x","")</f>
        <v/>
      </c>
      <c r="Y254" s="85" t="str">
        <f>IF(AND(OR(N254="131",O254="131"),H254='131-CT'!$H$9),"x","")</f>
        <v/>
      </c>
      <c r="Z254" s="85"/>
      <c r="AA254" s="85" t="str">
        <f>IF(AND(MONTH(E254)='IN-NX'!$J$5,'IN-NX'!$D$7=D254),"x","")</f>
        <v/>
      </c>
      <c r="AB254" s="85" t="str">
        <f>IF(AND(OR(LEFT(TH!N254,2)="15",LEFT(TH!O254,2)="15"),'152-CT'!$J$8=TH!F254),"x","")</f>
        <v/>
      </c>
      <c r="AC254" s="85" t="str">
        <f>IF(AND(OR(LEFT(TH!N254,2)="15",LEFT(TH!O254,2)="15"),TK!$E$7=TH!F254),"x","")</f>
        <v/>
      </c>
      <c r="AD254" s="85" t="str">
        <f>IF(AND(N254="1521",MONTH(C254)='BK-NL'!$M$11),"x","")</f>
        <v/>
      </c>
    </row>
    <row r="255" spans="1:30" s="348" customFormat="1" ht="15.75" customHeight="1">
      <c r="A255" s="343" t="str">
        <f>IF(B255&lt;&gt;"",IF(AND(B255='IN-TC'!$S$4,OR(TH!N255="1111",TH!O255="1111")),TH!D255,""),"")</f>
        <v/>
      </c>
      <c r="B255" s="63">
        <f t="shared" si="51"/>
        <v>1</v>
      </c>
      <c r="C255" s="81">
        <f>E255</f>
        <v>42380</v>
      </c>
      <c r="D255" s="64" t="s">
        <v>899</v>
      </c>
      <c r="E255" s="81">
        <v>42380</v>
      </c>
      <c r="F255" s="82" t="s">
        <v>975</v>
      </c>
      <c r="G255" s="82"/>
      <c r="H255" s="83" t="s">
        <v>974</v>
      </c>
      <c r="I255" s="445"/>
      <c r="J255" s="445"/>
      <c r="K255" s="436"/>
      <c r="L255" s="445"/>
      <c r="M255" s="84">
        <v>500000000</v>
      </c>
      <c r="N255" s="85" t="s">
        <v>273</v>
      </c>
      <c r="O255" s="85" t="s">
        <v>63</v>
      </c>
      <c r="P255" s="85" t="str">
        <f>IF(AND('331-CT'!$E$7=TH!H255,OR(N255="331",O255="331")),"x","")</f>
        <v/>
      </c>
      <c r="Q255" s="85" t="str">
        <f>IF(AND(B255='111'!$L$11,OR($N255=$Q$7,$O255=$Q$7)),"x","")</f>
        <v>x</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IF(AND('341-CT'!$H$9=H255,OR(LEFT(N255,3)=$W$7,LEFT(O255,3)=$W$7)),"x","")</f>
        <v/>
      </c>
      <c r="X255" s="85" t="str">
        <f>IF(OR(TH!N255=TH!$X$7,O255=TH!$X$7),"x","")</f>
        <v/>
      </c>
      <c r="Y255" s="85" t="str">
        <f>IF(AND(OR(N255="131",O255="131"),H255='131-CT'!$H$9),"x","")</f>
        <v/>
      </c>
      <c r="Z255" s="85"/>
      <c r="AA255" s="85" t="str">
        <f>IF(AND(MONTH(E255)='IN-NX'!$J$5,'IN-NX'!$D$7=D255),"x","")</f>
        <v/>
      </c>
      <c r="AB255" s="85" t="str">
        <f>IF(AND(OR(LEFT(TH!N255,2)="15",LEFT(TH!O255,2)="15"),'152-CT'!$J$8=TH!F255),"x","")</f>
        <v/>
      </c>
      <c r="AC255" s="85" t="str">
        <f>IF(AND(OR(LEFT(TH!N255,2)="15",LEFT(TH!O255,2)="15"),TK!$E$7=TH!F255),"x","")</f>
        <v/>
      </c>
      <c r="AD255" s="85" t="str">
        <f>IF(AND(N255="1521",MONTH(C255)='BK-NL'!$M$11),"x","")</f>
        <v/>
      </c>
    </row>
    <row r="256" spans="1:30" s="348" customFormat="1" ht="15.75" customHeight="1">
      <c r="A256" s="343" t="str">
        <f>IF(B256&lt;&gt;"",IF(AND(B256='IN-TC'!$S$4,OR(TH!N256="1111",TH!O256="1111")),TH!D256,""),"")</f>
        <v/>
      </c>
      <c r="B256" s="63">
        <f t="shared" si="51"/>
        <v>1</v>
      </c>
      <c r="C256" s="64">
        <v>42381</v>
      </c>
      <c r="D256" s="64" t="s">
        <v>900</v>
      </c>
      <c r="E256" s="64">
        <v>42381</v>
      </c>
      <c r="F256" s="67" t="s">
        <v>786</v>
      </c>
      <c r="G256" s="996" t="s">
        <v>835</v>
      </c>
      <c r="H256" s="74" t="s">
        <v>819</v>
      </c>
      <c r="I256" s="447"/>
      <c r="J256" s="447"/>
      <c r="K256" s="438"/>
      <c r="L256" s="447"/>
      <c r="M256" s="65">
        <v>790873</v>
      </c>
      <c r="N256" s="66" t="s">
        <v>101</v>
      </c>
      <c r="O256" s="66" t="s">
        <v>63</v>
      </c>
      <c r="P256" s="85" t="str">
        <f>IF(AND('331-CT'!$E$7=TH!H256,OR(N256="331",O256="331")),"x","")</f>
        <v/>
      </c>
      <c r="Q256" s="85" t="str">
        <f>IF(AND(B256='111'!$L$11,OR($N256=$Q$7,$O256=$Q$7)),"x","")</f>
        <v>x</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IF(AND('341-CT'!$H$9=H256,OR(LEFT(N256,3)=$W$7,LEFT(O256,3)=$W$7)),"x","")</f>
        <v/>
      </c>
      <c r="X256" s="85" t="str">
        <f>IF(OR(TH!N256=TH!$X$7,O256=TH!$X$7),"x","")</f>
        <v/>
      </c>
      <c r="Y256" s="85" t="str">
        <f>IF(AND(OR(N256="131",O256="131"),H256='131-CT'!$H$9),"x","")</f>
        <v/>
      </c>
      <c r="Z256" s="85"/>
      <c r="AA256" s="85" t="str">
        <f>IF(AND(MONTH(E256)='IN-NX'!$J$5,'IN-NX'!$D$7=D256),"x","")</f>
        <v/>
      </c>
      <c r="AB256" s="85" t="str">
        <f>IF(AND(OR(LEFT(TH!N256,2)="15",LEFT(TH!O256,2)="15"),'152-CT'!$J$8=TH!F256),"x","")</f>
        <v/>
      </c>
      <c r="AC256" s="85" t="str">
        <f>IF(AND(OR(LEFT(TH!N256,2)="15",LEFT(TH!O256,2)="15"),TK!$E$7=TH!F256),"x","")</f>
        <v/>
      </c>
      <c r="AD256" s="85" t="str">
        <f>IF(AND(N256="1521",MONTH(C256)='BK-NL'!$M$11),"x","")</f>
        <v/>
      </c>
    </row>
    <row r="257" spans="1:30" ht="15.75" customHeight="1">
      <c r="A257" s="343" t="str">
        <f>IF(B257&lt;&gt;"",IF(AND(B257='IN-TC'!$S$4,OR(TH!N257="1111",TH!O257="1111")),TH!D257,""),"")</f>
        <v/>
      </c>
      <c r="B257" s="63">
        <f t="shared" si="51"/>
        <v>1</v>
      </c>
      <c r="C257" s="64">
        <v>42381</v>
      </c>
      <c r="D257" s="64" t="s">
        <v>900</v>
      </c>
      <c r="E257" s="64">
        <v>42381</v>
      </c>
      <c r="F257" s="67" t="s">
        <v>787</v>
      </c>
      <c r="G257" s="996" t="s">
        <v>835</v>
      </c>
      <c r="H257" s="74" t="s">
        <v>819</v>
      </c>
      <c r="I257" s="447"/>
      <c r="J257" s="447"/>
      <c r="K257" s="438"/>
      <c r="L257" s="447"/>
      <c r="M257" s="65">
        <v>79087</v>
      </c>
      <c r="N257" s="66" t="s">
        <v>9</v>
      </c>
      <c r="O257" s="66" t="s">
        <v>63</v>
      </c>
      <c r="P257" s="85" t="str">
        <f>IF(AND('331-CT'!$E$7=TH!H257,OR(N257="331",O257="331")),"x","")</f>
        <v/>
      </c>
      <c r="Q257" s="85" t="str">
        <f>IF(AND(B257='111'!$L$11,OR($N257=$Q$7,$O257=$Q$7)),"x","")</f>
        <v>x</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IF(AND('341-CT'!$H$9=H257,OR(LEFT(N257,3)=$W$7,LEFT(O257,3)=$W$7)),"x","")</f>
        <v/>
      </c>
      <c r="X257" s="85" t="str">
        <f>IF(OR(TH!N257=TH!$X$7,O257=TH!$X$7),"x","")</f>
        <v/>
      </c>
      <c r="Y257" s="85" t="str">
        <f>IF(AND(OR(N257="131",O257="131"),H257='131-CT'!$H$9),"x","")</f>
        <v/>
      </c>
      <c r="Z257" s="85"/>
      <c r="AA257" s="85" t="str">
        <f>IF(AND(MONTH(E257)='IN-NX'!$J$5,'IN-NX'!$D$7=D257),"x","")</f>
        <v/>
      </c>
      <c r="AB257" s="85" t="str">
        <f>IF(AND(OR(LEFT(TH!N257,2)="15",LEFT(TH!O257,2)="15"),'152-CT'!$J$8=TH!F257),"x","")</f>
        <v/>
      </c>
      <c r="AC257" s="85" t="str">
        <f>IF(AND(OR(LEFT(TH!N257,2)="15",LEFT(TH!O257,2)="15"),TK!$E$7=TH!F257),"x","")</f>
        <v/>
      </c>
      <c r="AD257" s="85" t="str">
        <f>IF(AND(N257="1521",MONTH(C257)='BK-NL'!$M$11),"x","")</f>
        <v/>
      </c>
    </row>
    <row r="258" spans="1:30" ht="15.75" customHeight="1">
      <c r="A258" s="343" t="str">
        <f>IF(B258&lt;&gt;"",IF(AND(B258='IN-TC'!$S$4,OR(TH!N258="1111",TH!O258="1111")),TH!D258,""),"")</f>
        <v/>
      </c>
      <c r="B258" s="63">
        <f t="shared" si="51"/>
        <v>1</v>
      </c>
      <c r="C258" s="64">
        <v>42381</v>
      </c>
      <c r="D258" s="64" t="s">
        <v>901</v>
      </c>
      <c r="E258" s="64">
        <v>42381</v>
      </c>
      <c r="F258" s="67" t="s">
        <v>797</v>
      </c>
      <c r="G258" s="996" t="s">
        <v>836</v>
      </c>
      <c r="H258" s="74" t="s">
        <v>837</v>
      </c>
      <c r="I258" s="447"/>
      <c r="J258" s="447"/>
      <c r="K258" s="438"/>
      <c r="L258" s="447"/>
      <c r="M258" s="65">
        <v>3325000</v>
      </c>
      <c r="N258" s="66" t="s">
        <v>101</v>
      </c>
      <c r="O258" s="66" t="s">
        <v>63</v>
      </c>
      <c r="P258" s="85" t="str">
        <f>IF(AND('331-CT'!$E$7=TH!H258,OR(N258="331",O258="331")),"x","")</f>
        <v/>
      </c>
      <c r="Q258" s="85" t="str">
        <f>IF(AND(B258='111'!$L$11,OR($N258=$Q$7,$O258=$Q$7)),"x","")</f>
        <v>x</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IF(AND('341-CT'!$H$9=H258,OR(LEFT(N258,3)=$W$7,LEFT(O258,3)=$W$7)),"x","")</f>
        <v/>
      </c>
      <c r="X258" s="85" t="str">
        <f>IF(OR(TH!N258=TH!$X$7,O258=TH!$X$7),"x","")</f>
        <v/>
      </c>
      <c r="Y258" s="85" t="str">
        <f>IF(AND(OR(N258="131",O258="131"),H258='131-CT'!$H$9),"x","")</f>
        <v/>
      </c>
      <c r="Z258" s="85"/>
      <c r="AA258" s="85" t="str">
        <f>IF(AND(MONTH(E258)='IN-NX'!$J$5,'IN-NX'!$D$7=D258),"x","")</f>
        <v/>
      </c>
      <c r="AB258" s="85" t="str">
        <f>IF(AND(OR(LEFT(TH!N258,2)="15",LEFT(TH!O258,2)="15"),'152-CT'!$J$8=TH!F258),"x","")</f>
        <v/>
      </c>
      <c r="AC258" s="85" t="str">
        <f>IF(AND(OR(LEFT(TH!N258,2)="15",LEFT(TH!O258,2)="15"),TK!$E$7=TH!F258),"x","")</f>
        <v/>
      </c>
      <c r="AD258" s="85" t="str">
        <f>IF(AND(N258="1521",MONTH(C258)='BK-NL'!$M$11),"x","")</f>
        <v/>
      </c>
    </row>
    <row r="259" spans="1:30" ht="15.75" customHeight="1">
      <c r="A259" s="343" t="str">
        <f>IF(B259&lt;&gt;"",IF(AND(B259='IN-TC'!$S$4,OR(TH!N259="1111",TH!O259="1111")),TH!D259,""),"")</f>
        <v/>
      </c>
      <c r="B259" s="63">
        <f t="shared" si="51"/>
        <v>1</v>
      </c>
      <c r="C259" s="64">
        <v>42381</v>
      </c>
      <c r="D259" s="64" t="s">
        <v>901</v>
      </c>
      <c r="E259" s="64">
        <v>42381</v>
      </c>
      <c r="F259" s="67" t="s">
        <v>798</v>
      </c>
      <c r="G259" s="996" t="s">
        <v>836</v>
      </c>
      <c r="H259" s="74" t="s">
        <v>837</v>
      </c>
      <c r="I259" s="447"/>
      <c r="J259" s="447"/>
      <c r="K259" s="438"/>
      <c r="L259" s="447"/>
      <c r="M259" s="65">
        <v>332500</v>
      </c>
      <c r="N259" s="66" t="s">
        <v>9</v>
      </c>
      <c r="O259" s="66" t="s">
        <v>63</v>
      </c>
      <c r="P259" s="85" t="str">
        <f>IF(AND('331-CT'!$E$7=TH!H259,OR(N259="331",O259="331")),"x","")</f>
        <v/>
      </c>
      <c r="Q259" s="85" t="str">
        <f>IF(AND(B259='111'!$L$11,OR($N259=$Q$7,$O259=$Q$7)),"x","")</f>
        <v>x</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IF(AND('341-CT'!$H$9=H259,OR(LEFT(N259,3)=$W$7,LEFT(O259,3)=$W$7)),"x","")</f>
        <v/>
      </c>
      <c r="X259" s="85" t="str">
        <f>IF(OR(TH!N259=TH!$X$7,O259=TH!$X$7),"x","")</f>
        <v/>
      </c>
      <c r="Y259" s="85" t="str">
        <f>IF(AND(OR(N259="131",O259="131"),H259='131-CT'!$H$9),"x","")</f>
        <v/>
      </c>
      <c r="Z259" s="85"/>
      <c r="AA259" s="85" t="str">
        <f>IF(AND(MONTH(E259)='IN-NX'!$J$5,'IN-NX'!$D$7=D259),"x","")</f>
        <v/>
      </c>
      <c r="AB259" s="85" t="str">
        <f>IF(AND(OR(LEFT(TH!N259,2)="15",LEFT(TH!O259,2)="15"),'152-CT'!$J$8=TH!F259),"x","")</f>
        <v/>
      </c>
      <c r="AC259" s="85" t="str">
        <f>IF(AND(OR(LEFT(TH!N259,2)="15",LEFT(TH!O259,2)="15"),TK!$E$7=TH!F259),"x","")</f>
        <v/>
      </c>
      <c r="AD259" s="85" t="str">
        <f>IF(AND(N259="1521",MONTH(C259)='BK-NL'!$M$11),"x","")</f>
        <v/>
      </c>
    </row>
    <row r="260" spans="1:30" ht="15.75" customHeight="1">
      <c r="A260" s="343" t="str">
        <f>IF(B260&lt;&gt;"",IF(AND(B260='IN-TC'!$S$4,OR(TH!N260="1111",TH!O260="1111")),TH!D260,""),"")</f>
        <v/>
      </c>
      <c r="B260" s="63">
        <f t="shared" si="51"/>
        <v>1</v>
      </c>
      <c r="C260" s="64">
        <v>42382</v>
      </c>
      <c r="D260" s="64" t="s">
        <v>709</v>
      </c>
      <c r="E260" s="64">
        <v>42382</v>
      </c>
      <c r="F260" s="67" t="s">
        <v>753</v>
      </c>
      <c r="G260" s="67" t="s">
        <v>930</v>
      </c>
      <c r="H260" s="67"/>
      <c r="I260" s="450"/>
      <c r="J260" s="450"/>
      <c r="K260" s="441"/>
      <c r="L260" s="450"/>
      <c r="M260" s="65">
        <v>2000000</v>
      </c>
      <c r="N260" s="66" t="s">
        <v>79</v>
      </c>
      <c r="O260" s="66" t="s">
        <v>26</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
      </c>
      <c r="W260" s="85" t="str">
        <f>IF(AND('341-CT'!$H$9=H260,OR(LEFT(N260,3)=$W$7,LEFT(O260,3)=$W$7)),"x","")</f>
        <v/>
      </c>
      <c r="X260" s="85" t="str">
        <f>IF(OR(TH!N260=TH!$X$7,O260=TH!$X$7),"x","")</f>
        <v/>
      </c>
      <c r="Y260" s="85" t="str">
        <f>IF(AND(OR(N260="131",O260="131"),H260='131-CT'!$H$9),"x","")</f>
        <v/>
      </c>
      <c r="Z260" s="85"/>
      <c r="AA260" s="85" t="str">
        <f>IF(AND(MONTH(E260)='IN-NX'!$J$5,'IN-NX'!$D$7=D260),"x","")</f>
        <v/>
      </c>
      <c r="AB260" s="85" t="str">
        <f>IF(AND(OR(LEFT(TH!N260,2)="15",LEFT(TH!O260,2)="15"),'152-CT'!$J$8=TH!F260),"x","")</f>
        <v/>
      </c>
      <c r="AC260" s="85" t="str">
        <f>IF(AND(OR(LEFT(TH!N260,2)="15",LEFT(TH!O260,2)="15"),TK!$E$7=TH!F260),"x","")</f>
        <v/>
      </c>
      <c r="AD260" s="85" t="str">
        <f>IF(AND(N260="1521",MONTH(C260)='BK-NL'!$M$11),"x","")</f>
        <v/>
      </c>
    </row>
    <row r="261" spans="1:30" ht="15.75" customHeight="1">
      <c r="A261" s="343" t="str">
        <f>IF(B261&lt;&gt;"",IF(AND(B261='IN-TC'!$S$4,OR(TH!N261="1111",TH!O261="1111")),TH!D261,""),"")</f>
        <v/>
      </c>
      <c r="B261" s="63">
        <f t="shared" si="51"/>
        <v>1</v>
      </c>
      <c r="C261" s="64">
        <v>42382</v>
      </c>
      <c r="D261" s="64" t="s">
        <v>585</v>
      </c>
      <c r="E261" s="64">
        <v>42382</v>
      </c>
      <c r="F261" s="67" t="s">
        <v>869</v>
      </c>
      <c r="G261" s="67"/>
      <c r="H261" s="67"/>
      <c r="I261" s="450"/>
      <c r="J261" s="450"/>
      <c r="K261" s="441"/>
      <c r="L261" s="450"/>
      <c r="M261" s="65">
        <v>2000000</v>
      </c>
      <c r="N261" s="66" t="s">
        <v>101</v>
      </c>
      <c r="O261" s="66" t="s">
        <v>79</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IF(AND('341-CT'!$H$9=H261,OR(LEFT(N261,3)=$W$7,LEFT(O261,3)=$W$7)),"x","")</f>
        <v/>
      </c>
      <c r="X261" s="85" t="str">
        <f>IF(OR(TH!N261=TH!$X$7,O261=TH!$X$7),"x","")</f>
        <v/>
      </c>
      <c r="Y261" s="85" t="str">
        <f>IF(AND(OR(N261="131",O261="131"),H261='131-CT'!$H$9),"x","")</f>
        <v/>
      </c>
      <c r="Z261" s="85"/>
      <c r="AA261" s="85" t="str">
        <f>IF(AND(MONTH(E261)='IN-NX'!$J$5,'IN-NX'!$D$7=D261),"x","")</f>
        <v/>
      </c>
      <c r="AB261" s="85" t="str">
        <f>IF(AND(OR(LEFT(TH!N261,2)="15",LEFT(TH!O261,2)="15"),'152-CT'!$J$8=TH!F261),"x","")</f>
        <v/>
      </c>
      <c r="AC261" s="85" t="str">
        <f>IF(AND(OR(LEFT(TH!N261,2)="15",LEFT(TH!O261,2)="15"),TK!$E$7=TH!F261),"x","")</f>
        <v/>
      </c>
      <c r="AD261" s="85" t="str">
        <f>IF(AND(N261="1521",MONTH(C261)='BK-NL'!$M$11),"x","")</f>
        <v/>
      </c>
    </row>
    <row r="262" spans="1:30" ht="15.75" customHeight="1">
      <c r="A262" s="343" t="str">
        <f>IF(B262&lt;&gt;"",IF(AND(B262='IN-TC'!$S$4,OR(TH!N262="1111",TH!O262="1111")),TH!D262,""),"")</f>
        <v/>
      </c>
      <c r="B262" s="63">
        <f t="shared" si="51"/>
        <v>1</v>
      </c>
      <c r="C262" s="64">
        <v>42383</v>
      </c>
      <c r="D262" s="64" t="s">
        <v>706</v>
      </c>
      <c r="E262" s="64">
        <v>42383</v>
      </c>
      <c r="F262" s="67" t="s">
        <v>707</v>
      </c>
      <c r="G262" s="67" t="s">
        <v>931</v>
      </c>
      <c r="H262" s="74"/>
      <c r="I262" s="447"/>
      <c r="J262" s="447"/>
      <c r="K262" s="438">
        <v>4700</v>
      </c>
      <c r="L262" s="447">
        <v>22440</v>
      </c>
      <c r="M262" s="84">
        <f>ROUND(K262*L262,0)</f>
        <v>105468000</v>
      </c>
      <c r="N262" s="66" t="s">
        <v>267</v>
      </c>
      <c r="O262" s="66" t="s">
        <v>267</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x</v>
      </c>
      <c r="U262" s="85" t="str">
        <f>IF(ISERROR(FIND('112'!$M$9,G262,1)),"",IF((AND(LEFT(G262,2)=LEFT('112'!$M$9,2),B262&lt;'112'!$K$9,$N262='112'!$I$6)),"x",""))</f>
        <v/>
      </c>
      <c r="V262" s="85" t="str">
        <f>IF(ISERROR(FIND('112'!$M$9,G262,1)),"",IF((AND(RIGHT(G262,2)=RIGHT('112'!$M$9,2),B262&lt;'112'!$K$9,$O262='112'!$I$6)),"x",""))</f>
        <v/>
      </c>
      <c r="W262" s="85" t="str">
        <f>IF(AND('341-CT'!$H$9=H262,OR(LEFT(N262,3)=$W$7,LEFT(O262,3)=$W$7)),"x","")</f>
        <v/>
      </c>
      <c r="X262" s="85" t="str">
        <f>IF(OR(TH!N262=TH!$X$7,O262=TH!$X$7),"x","")</f>
        <v/>
      </c>
      <c r="Y262" s="85" t="str">
        <f>IF(AND(OR(N262="131",O262="131"),H262='131-CT'!$H$9),"x","")</f>
        <v/>
      </c>
      <c r="Z262" s="85"/>
      <c r="AA262" s="85" t="str">
        <f>IF(AND(MONTH(E262)='IN-NX'!$J$5,'IN-NX'!$D$7=D262),"x","")</f>
        <v/>
      </c>
      <c r="AB262" s="85" t="str">
        <f>IF(AND(OR(LEFT(TH!N262,2)="15",LEFT(TH!O262,2)="15"),'152-CT'!$J$8=TH!F262),"x","")</f>
        <v/>
      </c>
      <c r="AC262" s="85" t="str">
        <f>IF(AND(OR(LEFT(TH!N262,2)="15",LEFT(TH!O262,2)="15"),TK!$E$7=TH!F262),"x","")</f>
        <v/>
      </c>
      <c r="AD262" s="85" t="str">
        <f>IF(AND(N262="1521",MONTH(C262)='BK-NL'!$M$11),"x","")</f>
        <v/>
      </c>
    </row>
    <row r="263" spans="1:30" ht="15.75" customHeight="1">
      <c r="A263" s="343" t="str">
        <f>IF(B263&lt;&gt;"",IF(AND(B263='IN-TC'!$S$4,OR(TH!N263="1111",TH!O263="1111")),TH!D263,""),"")</f>
        <v/>
      </c>
      <c r="B263" s="63">
        <f t="shared" si="51"/>
        <v>1</v>
      </c>
      <c r="C263" s="64">
        <v>42383</v>
      </c>
      <c r="D263" s="64" t="s">
        <v>709</v>
      </c>
      <c r="E263" s="64">
        <v>42383</v>
      </c>
      <c r="F263" s="67" t="s">
        <v>716</v>
      </c>
      <c r="G263" s="67" t="s">
        <v>930</v>
      </c>
      <c r="H263" s="74"/>
      <c r="I263" s="447"/>
      <c r="J263" s="447"/>
      <c r="K263" s="438">
        <v>6000</v>
      </c>
      <c r="L263" s="447">
        <v>22400</v>
      </c>
      <c r="M263" s="84">
        <f>ROUND(K263*L263,0)</f>
        <v>134400000</v>
      </c>
      <c r="N263" s="66" t="s">
        <v>26</v>
      </c>
      <c r="O263" s="66" t="s">
        <v>267</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
      </c>
      <c r="V263" s="85" t="str">
        <f>IF(ISERROR(FIND('112'!$M$9,G263,1)),"",IF((AND(RIGHT(G263,2)=RIGHT('112'!$M$9,2),B263&lt;'112'!$K$9,$O263='112'!$I$6)),"x",""))</f>
        <v/>
      </c>
      <c r="W263" s="85" t="str">
        <f>IF(AND('341-CT'!$H$9=H263,OR(LEFT(N263,3)=$W$7,LEFT(O263,3)=$W$7)),"x","")</f>
        <v/>
      </c>
      <c r="X263" s="85" t="str">
        <f>IF(OR(TH!N263=TH!$X$7,O263=TH!$X$7),"x","")</f>
        <v/>
      </c>
      <c r="Y263" s="85" t="str">
        <f>IF(AND(OR(N263="131",O263="131"),H263='131-CT'!$H$9),"x","")</f>
        <v/>
      </c>
      <c r="Z263" s="85"/>
      <c r="AA263" s="85" t="str">
        <f>IF(AND(MONTH(E263)='IN-NX'!$J$5,'IN-NX'!$D$7=D263),"x","")</f>
        <v/>
      </c>
      <c r="AB263" s="85" t="str">
        <f>IF(AND(OR(LEFT(TH!N263,2)="15",LEFT(TH!O263,2)="15"),'152-CT'!$J$8=TH!F263),"x","")</f>
        <v/>
      </c>
      <c r="AC263" s="85" t="str">
        <f>IF(AND(OR(LEFT(TH!N263,2)="15",LEFT(TH!O263,2)="15"),TK!$E$7=TH!F263),"x","")</f>
        <v/>
      </c>
      <c r="AD263" s="85" t="str">
        <f>IF(AND(N263="1521",MONTH(C263)='BK-NL'!$M$11),"x","")</f>
        <v/>
      </c>
    </row>
    <row r="264" spans="1:30" ht="15.75" customHeight="1">
      <c r="A264" s="343" t="str">
        <f>IF(B264&lt;&gt;"",IF(AND(B264='IN-TC'!$S$4,OR(TH!N264="1111",TH!O264="1111")),TH!D264,""),"")</f>
        <v/>
      </c>
      <c r="B264" s="63">
        <f t="shared" si="51"/>
        <v>1</v>
      </c>
      <c r="C264" s="64">
        <v>42383</v>
      </c>
      <c r="D264" s="64" t="s">
        <v>709</v>
      </c>
      <c r="E264" s="64">
        <v>42383</v>
      </c>
      <c r="F264" s="67" t="s">
        <v>1114</v>
      </c>
      <c r="G264" s="67" t="s">
        <v>930</v>
      </c>
      <c r="H264" s="67" t="s">
        <v>636</v>
      </c>
      <c r="I264" s="451"/>
      <c r="J264" s="451"/>
      <c r="K264" s="442"/>
      <c r="L264" s="451"/>
      <c r="M264" s="65">
        <v>39198830</v>
      </c>
      <c r="N264" s="66" t="s">
        <v>8</v>
      </c>
      <c r="O264" s="66" t="s">
        <v>26</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
      </c>
      <c r="W264" s="85" t="str">
        <f>IF(AND('341-CT'!$H$9=H264,OR(LEFT(N264,3)=$W$7,LEFT(O264,3)=$W$7)),"x","")</f>
        <v/>
      </c>
      <c r="X264" s="85" t="str">
        <f>IF(OR(TH!N264=TH!$X$7,O264=TH!$X$7),"x","")</f>
        <v/>
      </c>
      <c r="Y264" s="85" t="str">
        <f>IF(AND(OR(N264="131",O264="131"),H264='131-CT'!$H$9),"x","")</f>
        <v/>
      </c>
      <c r="Z264" s="85"/>
      <c r="AA264" s="85" t="str">
        <f>IF(AND(MONTH(E264)='IN-NX'!$J$5,'IN-NX'!$D$7=D264),"x","")</f>
        <v/>
      </c>
      <c r="AB264" s="85" t="str">
        <f>IF(AND(OR(LEFT(TH!N264,2)="15",LEFT(TH!O264,2)="15"),'152-CT'!$J$8=TH!F264),"x","")</f>
        <v/>
      </c>
      <c r="AC264" s="85" t="str">
        <f>IF(AND(OR(LEFT(TH!N264,2)="15",LEFT(TH!O264,2)="15"),TK!$E$7=TH!F264),"x","")</f>
        <v/>
      </c>
      <c r="AD264" s="85" t="str">
        <f>IF(AND(N264="1521",MONTH(C264)='BK-NL'!$M$11),"x","")</f>
        <v/>
      </c>
    </row>
    <row r="265" spans="1:30" ht="15.75" customHeight="1">
      <c r="A265" s="343" t="str">
        <f>IF(B265&lt;&gt;"",IF(AND(B265='IN-TC'!$S$4,OR(TH!N265="1111",TH!O265="1111")),TH!D265,""),"")</f>
        <v/>
      </c>
      <c r="B265" s="63">
        <f t="shared" si="51"/>
        <v>1</v>
      </c>
      <c r="C265" s="64">
        <v>42383</v>
      </c>
      <c r="D265" s="64" t="s">
        <v>709</v>
      </c>
      <c r="E265" s="64">
        <v>42383</v>
      </c>
      <c r="F265" s="67" t="s">
        <v>752</v>
      </c>
      <c r="G265" s="67" t="s">
        <v>930</v>
      </c>
      <c r="H265" s="67"/>
      <c r="I265" s="447"/>
      <c r="J265" s="447"/>
      <c r="K265" s="438"/>
      <c r="L265" s="447"/>
      <c r="M265" s="65">
        <v>20000</v>
      </c>
      <c r="N265" s="66" t="s">
        <v>101</v>
      </c>
      <c r="O265" s="66" t="s">
        <v>26</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
      </c>
      <c r="W265" s="85" t="str">
        <f>IF(AND('341-CT'!$H$9=H265,OR(LEFT(N265,3)=$W$7,LEFT(O265,3)=$W$7)),"x","")</f>
        <v/>
      </c>
      <c r="X265" s="85" t="str">
        <f>IF(OR(TH!N265=TH!$X$7,O265=TH!$X$7),"x","")</f>
        <v/>
      </c>
      <c r="Y265" s="85" t="str">
        <f>IF(AND(OR(N265="131",O265="131"),H265='131-CT'!$H$9),"x","")</f>
        <v/>
      </c>
      <c r="Z265" s="85"/>
      <c r="AA265" s="85" t="str">
        <f>IF(AND(MONTH(E265)='IN-NX'!$J$5,'IN-NX'!$D$7=D265),"x","")</f>
        <v/>
      </c>
      <c r="AB265" s="85" t="str">
        <f>IF(AND(OR(LEFT(TH!N265,2)="15",LEFT(TH!O265,2)="15"),'152-CT'!$J$8=TH!F265),"x","")</f>
        <v/>
      </c>
      <c r="AC265" s="85" t="str">
        <f>IF(AND(OR(LEFT(TH!N265,2)="15",LEFT(TH!O265,2)="15"),TK!$E$7=TH!F265),"x","")</f>
        <v/>
      </c>
      <c r="AD265" s="85" t="str">
        <f>IF(AND(N265="1521",MONTH(C265)='BK-NL'!$M$11),"x","")</f>
        <v/>
      </c>
    </row>
    <row r="266" spans="1:30" ht="15.75" customHeight="1">
      <c r="A266" s="343" t="str">
        <f>IF(B266&lt;&gt;"",IF(AND(B266='IN-TC'!$S$4,OR(TH!N266="1111",TH!O266="1111")),TH!D266,""),"")</f>
        <v/>
      </c>
      <c r="B266" s="63">
        <f t="shared" si="51"/>
        <v>1</v>
      </c>
      <c r="C266" s="64">
        <v>42383</v>
      </c>
      <c r="D266" s="64" t="s">
        <v>709</v>
      </c>
      <c r="E266" s="64">
        <v>42383</v>
      </c>
      <c r="F266" s="67" t="s">
        <v>754</v>
      </c>
      <c r="G266" s="67" t="s">
        <v>930</v>
      </c>
      <c r="H266" s="67"/>
      <c r="I266" s="447"/>
      <c r="J266" s="447"/>
      <c r="K266" s="438"/>
      <c r="L266" s="447"/>
      <c r="M266" s="65">
        <v>2000</v>
      </c>
      <c r="N266" s="66" t="s">
        <v>9</v>
      </c>
      <c r="O266" s="66" t="s">
        <v>26</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
      </c>
      <c r="W266" s="85" t="str">
        <f>IF(AND('341-CT'!$H$9=H266,OR(LEFT(N266,3)=$W$7,LEFT(O266,3)=$W$7)),"x","")</f>
        <v/>
      </c>
      <c r="X266" s="85" t="str">
        <f>IF(OR(TH!N266=TH!$X$7,O266=TH!$X$7),"x","")</f>
        <v/>
      </c>
      <c r="Y266" s="85" t="str">
        <f>IF(AND(OR(N266="131",O266="131"),H266='131-CT'!$H$9),"x","")</f>
        <v/>
      </c>
      <c r="Z266" s="85"/>
      <c r="AA266" s="85" t="str">
        <f>IF(AND(MONTH(E266)='IN-NX'!$J$5,'IN-NX'!$D$7=D266),"x","")</f>
        <v/>
      </c>
      <c r="AB266" s="85" t="str">
        <f>IF(AND(OR(LEFT(TH!N266,2)="15",LEFT(TH!O266,2)="15"),'152-CT'!$J$8=TH!F266),"x","")</f>
        <v/>
      </c>
      <c r="AC266" s="85" t="str">
        <f>IF(AND(OR(LEFT(TH!N266,2)="15",LEFT(TH!O266,2)="15"),TK!$E$7=TH!F266),"x","")</f>
        <v/>
      </c>
      <c r="AD266" s="85" t="str">
        <f>IF(AND(N266="1521",MONTH(C266)='BK-NL'!$M$11),"x","")</f>
        <v/>
      </c>
    </row>
    <row r="267" spans="1:30" ht="15.75" customHeight="1">
      <c r="A267" s="343" t="str">
        <f>IF(B267&lt;&gt;"",IF(AND(B267='IN-TC'!$S$4,OR(TH!N267="1111",TH!O267="1111")),TH!D267,""),"")</f>
        <v/>
      </c>
      <c r="B267" s="63">
        <f t="shared" ref="B267:B330" si="52">IF(C267&lt;&gt;"",MONTH(C267),"")</f>
        <v>1</v>
      </c>
      <c r="C267" s="64">
        <v>42383</v>
      </c>
      <c r="D267" s="64" t="s">
        <v>902</v>
      </c>
      <c r="E267" s="64">
        <v>42383</v>
      </c>
      <c r="F267" s="67" t="s">
        <v>791</v>
      </c>
      <c r="G267" s="996" t="s">
        <v>838</v>
      </c>
      <c r="H267" s="74" t="s">
        <v>830</v>
      </c>
      <c r="I267" s="447"/>
      <c r="J267" s="447"/>
      <c r="K267" s="438"/>
      <c r="L267" s="447"/>
      <c r="M267" s="65">
        <v>16662900</v>
      </c>
      <c r="N267" s="66" t="s">
        <v>101</v>
      </c>
      <c r="O267" s="66" t="s">
        <v>63</v>
      </c>
      <c r="P267" s="85" t="str">
        <f>IF(AND('331-CT'!$E$7=TH!H267,OR(N267="331",O267="331")),"x","")</f>
        <v/>
      </c>
      <c r="Q267" s="85" t="str">
        <f>IF(AND(B267='111'!$L$11,OR($N267=$Q$7,$O267=$Q$7)),"x","")</f>
        <v>x</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IF(AND('341-CT'!$H$9=H267,OR(LEFT(N267,3)=$W$7,LEFT(O267,3)=$W$7)),"x","")</f>
        <v/>
      </c>
      <c r="X267" s="85" t="str">
        <f>IF(OR(TH!N267=TH!$X$7,O267=TH!$X$7),"x","")</f>
        <v/>
      </c>
      <c r="Y267" s="85" t="str">
        <f>IF(AND(OR(N267="131",O267="131"),H267='131-CT'!$H$9),"x","")</f>
        <v/>
      </c>
      <c r="Z267" s="85"/>
      <c r="AA267" s="85" t="str">
        <f>IF(AND(MONTH(E267)='IN-NX'!$J$5,'IN-NX'!$D$7=D267),"x","")</f>
        <v/>
      </c>
      <c r="AB267" s="85" t="str">
        <f>IF(AND(OR(LEFT(TH!N267,2)="15",LEFT(TH!O267,2)="15"),'152-CT'!$J$8=TH!F267),"x","")</f>
        <v/>
      </c>
      <c r="AC267" s="85" t="str">
        <f>IF(AND(OR(LEFT(TH!N267,2)="15",LEFT(TH!O267,2)="15"),TK!$E$7=TH!F267),"x","")</f>
        <v/>
      </c>
      <c r="AD267" s="85" t="str">
        <f>IF(AND(N267="1521",MONTH(C267)='BK-NL'!$M$11),"x","")</f>
        <v/>
      </c>
    </row>
    <row r="268" spans="1:30" ht="15.75" customHeight="1">
      <c r="A268" s="343" t="str">
        <f>IF(B268&lt;&gt;"",IF(AND(B268='IN-TC'!$S$4,OR(TH!N268="1111",TH!O268="1111")),TH!D268,""),"")</f>
        <v/>
      </c>
      <c r="B268" s="63">
        <f t="shared" si="52"/>
        <v>1</v>
      </c>
      <c r="C268" s="64">
        <v>42383</v>
      </c>
      <c r="D268" s="64" t="s">
        <v>902</v>
      </c>
      <c r="E268" s="64">
        <v>42383</v>
      </c>
      <c r="F268" s="67" t="s">
        <v>792</v>
      </c>
      <c r="G268" s="996" t="s">
        <v>838</v>
      </c>
      <c r="H268" s="74" t="s">
        <v>830</v>
      </c>
      <c r="I268" s="447"/>
      <c r="J268" s="447"/>
      <c r="K268" s="438"/>
      <c r="L268" s="447"/>
      <c r="M268" s="65">
        <v>1666290</v>
      </c>
      <c r="N268" s="66" t="s">
        <v>9</v>
      </c>
      <c r="O268" s="66" t="s">
        <v>63</v>
      </c>
      <c r="P268" s="85" t="str">
        <f>IF(AND('331-CT'!$E$7=TH!H268,OR(N268="331",O268="331")),"x","")</f>
        <v/>
      </c>
      <c r="Q268" s="85" t="str">
        <f>IF(AND(B268='111'!$L$11,OR($N268=$Q$7,$O268=$Q$7)),"x","")</f>
        <v>x</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IF(AND('341-CT'!$H$9=H268,OR(LEFT(N268,3)=$W$7,LEFT(O268,3)=$W$7)),"x","")</f>
        <v/>
      </c>
      <c r="X268" s="85" t="str">
        <f>IF(OR(TH!N268=TH!$X$7,O268=TH!$X$7),"x","")</f>
        <v/>
      </c>
      <c r="Y268" s="85" t="str">
        <f>IF(AND(OR(N268="131",O268="131"),H268='131-CT'!$H$9),"x","")</f>
        <v/>
      </c>
      <c r="Z268" s="85"/>
      <c r="AA268" s="85" t="str">
        <f>IF(AND(MONTH(E268)='IN-NX'!$J$5,'IN-NX'!$D$7=D268),"x","")</f>
        <v/>
      </c>
      <c r="AB268" s="85" t="str">
        <f>IF(AND(OR(LEFT(TH!N268,2)="15",LEFT(TH!O268,2)="15"),'152-CT'!$J$8=TH!F268),"x","")</f>
        <v/>
      </c>
      <c r="AC268" s="85" t="str">
        <f>IF(AND(OR(LEFT(TH!N268,2)="15",LEFT(TH!O268,2)="15"),TK!$E$7=TH!F268),"x","")</f>
        <v/>
      </c>
      <c r="AD268" s="85" t="str">
        <f>IF(AND(N268="1521",MONTH(C268)='BK-NL'!$M$11),"x","")</f>
        <v/>
      </c>
    </row>
    <row r="269" spans="1:30" ht="15.75" customHeight="1">
      <c r="A269" s="343" t="str">
        <f>IF(B269&lt;&gt;"",IF(AND(B269='IN-TC'!$S$4,OR(TH!N269="1111",TH!O269="1111")),TH!D269,""),"")</f>
        <v/>
      </c>
      <c r="B269" s="63">
        <f t="shared" si="52"/>
        <v>1</v>
      </c>
      <c r="C269" s="64">
        <v>42384</v>
      </c>
      <c r="D269" s="64" t="s">
        <v>914</v>
      </c>
      <c r="E269" s="64">
        <v>42384</v>
      </c>
      <c r="F269" s="67" t="s">
        <v>755</v>
      </c>
      <c r="G269" s="67" t="s">
        <v>930</v>
      </c>
      <c r="H269" s="75" t="s">
        <v>773</v>
      </c>
      <c r="I269" s="447"/>
      <c r="J269" s="447"/>
      <c r="K269" s="438"/>
      <c r="L269" s="447"/>
      <c r="M269" s="65">
        <v>100000000</v>
      </c>
      <c r="N269" s="66" t="s">
        <v>63</v>
      </c>
      <c r="O269" s="66" t="s">
        <v>26</v>
      </c>
      <c r="P269" s="85" t="str">
        <f>IF(AND('331-CT'!$E$7=TH!H269,OR(N269="331",O269="331")),"x","")</f>
        <v/>
      </c>
      <c r="Q269" s="85" t="str">
        <f>IF(AND(B269='111'!$L$11,OR($N269=$Q$7,$O269=$Q$7)),"x","")</f>
        <v>x</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
      </c>
      <c r="W269" s="85" t="str">
        <f>IF(AND('341-CT'!$H$9=H269,OR(LEFT(N269,3)=$W$7,LEFT(O269,3)=$W$7)),"x","")</f>
        <v/>
      </c>
      <c r="X269" s="85" t="str">
        <f>IF(OR(TH!N269=TH!$X$7,O269=TH!$X$7),"x","")</f>
        <v/>
      </c>
      <c r="Y269" s="85" t="str">
        <f>IF(AND(OR(N269="131",O269="131"),H269='131-CT'!$H$9),"x","")</f>
        <v/>
      </c>
      <c r="Z269" s="85"/>
      <c r="AA269" s="85" t="str">
        <f>IF(AND(MONTH(E269)='IN-NX'!$J$5,'IN-NX'!$D$7=D269),"x","")</f>
        <v/>
      </c>
      <c r="AB269" s="85" t="str">
        <f>IF(AND(OR(LEFT(TH!N269,2)="15",LEFT(TH!O269,2)="15"),'152-CT'!$J$8=TH!F269),"x","")</f>
        <v/>
      </c>
      <c r="AC269" s="85" t="str">
        <f>IF(AND(OR(LEFT(TH!N269,2)="15",LEFT(TH!O269,2)="15"),TK!$E$7=TH!F269),"x","")</f>
        <v/>
      </c>
      <c r="AD269" s="85" t="str">
        <f>IF(AND(N269="1521",MONTH(C269)='BK-NL'!$M$11),"x","")</f>
        <v/>
      </c>
    </row>
    <row r="270" spans="1:30" ht="15.75" customHeight="1">
      <c r="A270" s="343" t="str">
        <f>IF(B270&lt;&gt;"",IF(AND(B270='IN-TC'!$S$4,OR(TH!N270="1111",TH!O270="1111")),TH!D270,""),"")</f>
        <v/>
      </c>
      <c r="B270" s="63">
        <f t="shared" si="52"/>
        <v>1</v>
      </c>
      <c r="C270" s="64">
        <v>42384</v>
      </c>
      <c r="D270" s="64" t="s">
        <v>903</v>
      </c>
      <c r="E270" s="64">
        <v>42384</v>
      </c>
      <c r="F270" s="67" t="s">
        <v>786</v>
      </c>
      <c r="G270" s="67" t="s">
        <v>839</v>
      </c>
      <c r="H270" s="353" t="s">
        <v>825</v>
      </c>
      <c r="I270" s="451"/>
      <c r="J270" s="451"/>
      <c r="K270" s="442"/>
      <c r="L270" s="451"/>
      <c r="M270" s="65">
        <v>306027</v>
      </c>
      <c r="N270" s="66" t="s">
        <v>101</v>
      </c>
      <c r="O270" s="66" t="s">
        <v>63</v>
      </c>
      <c r="P270" s="85" t="str">
        <f>IF(AND('331-CT'!$E$7=TH!H270,OR(N270="331",O270="331")),"x","")</f>
        <v/>
      </c>
      <c r="Q270" s="85" t="str">
        <f>IF(AND(B270='111'!$L$11,OR($N270=$Q$7,$O270=$Q$7)),"x","")</f>
        <v>x</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IF(AND('341-CT'!$H$9=H270,OR(LEFT(N270,3)=$W$7,LEFT(O270,3)=$W$7)),"x","")</f>
        <v/>
      </c>
      <c r="X270" s="85" t="str">
        <f>IF(OR(TH!N270=TH!$X$7,O270=TH!$X$7),"x","")</f>
        <v/>
      </c>
      <c r="Y270" s="85" t="str">
        <f>IF(AND(OR(N270="131",O270="131"),H270='131-CT'!$H$9),"x","")</f>
        <v/>
      </c>
      <c r="Z270" s="85"/>
      <c r="AA270" s="85" t="str">
        <f>IF(AND(MONTH(E270)='IN-NX'!$J$5,'IN-NX'!$D$7=D270),"x","")</f>
        <v/>
      </c>
      <c r="AB270" s="85" t="str">
        <f>IF(AND(OR(LEFT(TH!N270,2)="15",LEFT(TH!O270,2)="15"),'152-CT'!$J$8=TH!F270),"x","")</f>
        <v/>
      </c>
      <c r="AC270" s="85" t="str">
        <f>IF(AND(OR(LEFT(TH!N270,2)="15",LEFT(TH!O270,2)="15"),TK!$E$7=TH!F270),"x","")</f>
        <v/>
      </c>
      <c r="AD270" s="85" t="str">
        <f>IF(AND(N270="1521",MONTH(C270)='BK-NL'!$M$11),"x","")</f>
        <v/>
      </c>
    </row>
    <row r="271" spans="1:30" ht="15.75" customHeight="1">
      <c r="A271" s="343" t="str">
        <f>IF(B271&lt;&gt;"",IF(AND(B271='IN-TC'!$S$4,OR(TH!N271="1111",TH!O271="1111")),TH!D271,""),"")</f>
        <v/>
      </c>
      <c r="B271" s="63">
        <f t="shared" si="52"/>
        <v>1</v>
      </c>
      <c r="C271" s="64">
        <v>42384</v>
      </c>
      <c r="D271" s="64" t="s">
        <v>903</v>
      </c>
      <c r="E271" s="64">
        <v>42384</v>
      </c>
      <c r="F271" s="67" t="s">
        <v>787</v>
      </c>
      <c r="G271" s="67" t="s">
        <v>839</v>
      </c>
      <c r="H271" s="353" t="s">
        <v>825</v>
      </c>
      <c r="I271" s="451"/>
      <c r="J271" s="451"/>
      <c r="K271" s="442"/>
      <c r="L271" s="451"/>
      <c r="M271" s="65">
        <v>30603</v>
      </c>
      <c r="N271" s="66" t="s">
        <v>9</v>
      </c>
      <c r="O271" s="66" t="s">
        <v>63</v>
      </c>
      <c r="P271" s="85" t="str">
        <f>IF(AND('331-CT'!$E$7=TH!H271,OR(N271="331",O271="331")),"x","")</f>
        <v/>
      </c>
      <c r="Q271" s="85" t="str">
        <f>IF(AND(B271='111'!$L$11,OR($N271=$Q$7,$O271=$Q$7)),"x","")</f>
        <v>x</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IF(AND('341-CT'!$H$9=H271,OR(LEFT(N271,3)=$W$7,LEFT(O271,3)=$W$7)),"x","")</f>
        <v/>
      </c>
      <c r="X271" s="85" t="str">
        <f>IF(OR(TH!N271=TH!$X$7,O271=TH!$X$7),"x","")</f>
        <v/>
      </c>
      <c r="Y271" s="85" t="str">
        <f>IF(AND(OR(N271="131",O271="131"),H271='131-CT'!$H$9),"x","")</f>
        <v/>
      </c>
      <c r="Z271" s="85"/>
      <c r="AA271" s="85" t="str">
        <f>IF(AND(MONTH(E271)='IN-NX'!$J$5,'IN-NX'!$D$7=D271),"x","")</f>
        <v/>
      </c>
      <c r="AB271" s="85" t="str">
        <f>IF(AND(OR(LEFT(TH!N271,2)="15",LEFT(TH!O271,2)="15"),'152-CT'!$J$8=TH!F271),"x","")</f>
        <v/>
      </c>
      <c r="AC271" s="85" t="str">
        <f>IF(AND(OR(LEFT(TH!N271,2)="15",LEFT(TH!O271,2)="15"),TK!$E$7=TH!F271),"x","")</f>
        <v/>
      </c>
      <c r="AD271" s="85" t="str">
        <f>IF(AND(N271="1521",MONTH(C271)='BK-NL'!$M$11),"x","")</f>
        <v/>
      </c>
    </row>
    <row r="272" spans="1:30" ht="15.75" customHeight="1">
      <c r="A272" s="343" t="str">
        <f>IF(B272&lt;&gt;"",IF(AND(B272='IN-TC'!$S$4,OR(TH!N272="1111",TH!O272="1111")),TH!D272,""),"")</f>
        <v/>
      </c>
      <c r="B272" s="63">
        <f t="shared" si="52"/>
        <v>1</v>
      </c>
      <c r="C272" s="64">
        <v>42384</v>
      </c>
      <c r="D272" s="64" t="s">
        <v>904</v>
      </c>
      <c r="E272" s="64">
        <v>42384</v>
      </c>
      <c r="F272" s="67" t="s">
        <v>786</v>
      </c>
      <c r="G272" s="67" t="s">
        <v>840</v>
      </c>
      <c r="H272" s="353" t="s">
        <v>819</v>
      </c>
      <c r="I272" s="451"/>
      <c r="J272" s="451"/>
      <c r="K272" s="442"/>
      <c r="L272" s="451"/>
      <c r="M272" s="65">
        <v>593155</v>
      </c>
      <c r="N272" s="66" t="s">
        <v>101</v>
      </c>
      <c r="O272" s="66" t="s">
        <v>63</v>
      </c>
      <c r="P272" s="85" t="str">
        <f>IF(AND('331-CT'!$E$7=TH!H272,OR(N272="331",O272="331")),"x","")</f>
        <v/>
      </c>
      <c r="Q272" s="85" t="str">
        <f>IF(AND(B272='111'!$L$11,OR($N272=$Q$7,$O272=$Q$7)),"x","")</f>
        <v>x</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IF(AND('341-CT'!$H$9=H272,OR(LEFT(N272,3)=$W$7,LEFT(O272,3)=$W$7)),"x","")</f>
        <v/>
      </c>
      <c r="X272" s="85" t="str">
        <f>IF(OR(TH!N272=TH!$X$7,O272=TH!$X$7),"x","")</f>
        <v/>
      </c>
      <c r="Y272" s="85" t="str">
        <f>IF(AND(OR(N272="131",O272="131"),H272='131-CT'!$H$9),"x","")</f>
        <v/>
      </c>
      <c r="Z272" s="85"/>
      <c r="AA272" s="85" t="str">
        <f>IF(AND(MONTH(E272)='IN-NX'!$J$5,'IN-NX'!$D$7=D272),"x","")</f>
        <v/>
      </c>
      <c r="AB272" s="85" t="str">
        <f>IF(AND(OR(LEFT(TH!N272,2)="15",LEFT(TH!O272,2)="15"),'152-CT'!$J$8=TH!F272),"x","")</f>
        <v/>
      </c>
      <c r="AC272" s="85" t="str">
        <f>IF(AND(OR(LEFT(TH!N272,2)="15",LEFT(TH!O272,2)="15"),TK!$E$7=TH!F272),"x","")</f>
        <v/>
      </c>
      <c r="AD272" s="85" t="str">
        <f>IF(AND(N272="1521",MONTH(C272)='BK-NL'!$M$11),"x","")</f>
        <v/>
      </c>
    </row>
    <row r="273" spans="1:30" ht="15.75" customHeight="1">
      <c r="A273" s="343" t="str">
        <f>IF(B273&lt;&gt;"",IF(AND(B273='IN-TC'!$S$4,OR(TH!N273="1111",TH!O273="1111")),TH!D273,""),"")</f>
        <v/>
      </c>
      <c r="B273" s="63">
        <f t="shared" si="52"/>
        <v>1</v>
      </c>
      <c r="C273" s="64">
        <v>42384</v>
      </c>
      <c r="D273" s="64" t="s">
        <v>904</v>
      </c>
      <c r="E273" s="64">
        <v>42384</v>
      </c>
      <c r="F273" s="67" t="s">
        <v>787</v>
      </c>
      <c r="G273" s="67" t="s">
        <v>840</v>
      </c>
      <c r="H273" s="74" t="s">
        <v>819</v>
      </c>
      <c r="I273" s="447"/>
      <c r="J273" s="447"/>
      <c r="K273" s="438"/>
      <c r="L273" s="447"/>
      <c r="M273" s="65">
        <v>59315</v>
      </c>
      <c r="N273" s="66" t="s">
        <v>9</v>
      </c>
      <c r="O273" s="66" t="s">
        <v>63</v>
      </c>
      <c r="P273" s="85" t="str">
        <f>IF(AND('331-CT'!$E$7=TH!H273,OR(N273="331",O273="331")),"x","")</f>
        <v/>
      </c>
      <c r="Q273" s="85" t="str">
        <f>IF(AND(B273='111'!$L$11,OR($N273=$Q$7,$O273=$Q$7)),"x","")</f>
        <v>x</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IF(AND('341-CT'!$H$9=H273,OR(LEFT(N273,3)=$W$7,LEFT(O273,3)=$W$7)),"x","")</f>
        <v/>
      </c>
      <c r="X273" s="85" t="str">
        <f>IF(OR(TH!N273=TH!$X$7,O273=TH!$X$7),"x","")</f>
        <v/>
      </c>
      <c r="Y273" s="85" t="str">
        <f>IF(AND(OR(N273="131",O273="131"),H273='131-CT'!$H$9),"x","")</f>
        <v/>
      </c>
      <c r="Z273" s="85"/>
      <c r="AA273" s="85" t="str">
        <f>IF(AND(MONTH(E273)='IN-NX'!$J$5,'IN-NX'!$D$7=D273),"x","")</f>
        <v/>
      </c>
      <c r="AB273" s="85" t="str">
        <f>IF(AND(OR(LEFT(TH!N273,2)="15",LEFT(TH!O273,2)="15"),'152-CT'!$J$8=TH!F273),"x","")</f>
        <v/>
      </c>
      <c r="AC273" s="85" t="str">
        <f>IF(AND(OR(LEFT(TH!N273,2)="15",LEFT(TH!O273,2)="15"),TK!$E$7=TH!F273),"x","")</f>
        <v/>
      </c>
      <c r="AD273" s="85" t="str">
        <f>IF(AND(N273="1521",MONTH(C273)='BK-NL'!$M$11),"x","")</f>
        <v/>
      </c>
    </row>
    <row r="274" spans="1:30" ht="15.75" customHeight="1">
      <c r="A274" s="343" t="str">
        <f>IF(B274&lt;&gt;"",IF(AND(B274='IN-TC'!$S$4,OR(TH!N274="1111",TH!O274="1111")),TH!D274,""),"")</f>
        <v/>
      </c>
      <c r="B274" s="63">
        <f t="shared" si="52"/>
        <v>1</v>
      </c>
      <c r="C274" s="64">
        <v>42384</v>
      </c>
      <c r="D274" s="64" t="s">
        <v>905</v>
      </c>
      <c r="E274" s="64">
        <v>42384</v>
      </c>
      <c r="F274" s="67" t="s">
        <v>799</v>
      </c>
      <c r="G274" s="67" t="s">
        <v>841</v>
      </c>
      <c r="H274" s="74" t="s">
        <v>842</v>
      </c>
      <c r="I274" s="447"/>
      <c r="J274" s="447"/>
      <c r="K274" s="438"/>
      <c r="L274" s="447"/>
      <c r="M274" s="65">
        <v>400000</v>
      </c>
      <c r="N274" s="66" t="s">
        <v>101</v>
      </c>
      <c r="O274" s="66" t="s">
        <v>63</v>
      </c>
      <c r="P274" s="85" t="str">
        <f>IF(AND('331-CT'!$E$7=TH!H274,OR(N274="331",O274="331")),"x","")</f>
        <v/>
      </c>
      <c r="Q274" s="85" t="str">
        <f>IF(AND(B274='111'!$L$11,OR($N274=$Q$7,$O274=$Q$7)),"x","")</f>
        <v>x</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IF(AND('341-CT'!$H$9=H274,OR(LEFT(N274,3)=$W$7,LEFT(O274,3)=$W$7)),"x","")</f>
        <v/>
      </c>
      <c r="X274" s="85" t="str">
        <f>IF(OR(TH!N274=TH!$X$7,O274=TH!$X$7),"x","")</f>
        <v/>
      </c>
      <c r="Y274" s="85" t="str">
        <f>IF(AND(OR(N274="131",O274="131"),H274='131-CT'!$H$9),"x","")</f>
        <v/>
      </c>
      <c r="Z274" s="85"/>
      <c r="AA274" s="85" t="str">
        <f>IF(AND(MONTH(E274)='IN-NX'!$J$5,'IN-NX'!$D$7=D274),"x","")</f>
        <v/>
      </c>
      <c r="AB274" s="85" t="str">
        <f>IF(AND(OR(LEFT(TH!N274,2)="15",LEFT(TH!O274,2)="15"),'152-CT'!$J$8=TH!F274),"x","")</f>
        <v/>
      </c>
      <c r="AC274" s="85" t="str">
        <f>IF(AND(OR(LEFT(TH!N274,2)="15",LEFT(TH!O274,2)="15"),TK!$E$7=TH!F274),"x","")</f>
        <v/>
      </c>
      <c r="AD274" s="85" t="str">
        <f>IF(AND(N274="1521",MONTH(C274)='BK-NL'!$M$11),"x","")</f>
        <v/>
      </c>
    </row>
    <row r="275" spans="1:30" ht="15.75" customHeight="1">
      <c r="A275" s="343" t="str">
        <f>IF(B275&lt;&gt;"",IF(AND(B275='IN-TC'!$S$4,OR(TH!N275="1111",TH!O275="1111")),TH!D275,""),"")</f>
        <v/>
      </c>
      <c r="B275" s="63">
        <f t="shared" si="52"/>
        <v>1</v>
      </c>
      <c r="C275" s="64">
        <v>42384</v>
      </c>
      <c r="D275" s="64" t="s">
        <v>905</v>
      </c>
      <c r="E275" s="64">
        <v>42384</v>
      </c>
      <c r="F275" s="67" t="s">
        <v>800</v>
      </c>
      <c r="G275" s="67" t="s">
        <v>841</v>
      </c>
      <c r="H275" s="353" t="s">
        <v>842</v>
      </c>
      <c r="I275" s="451"/>
      <c r="J275" s="451"/>
      <c r="K275" s="442"/>
      <c r="L275" s="451"/>
      <c r="M275" s="65">
        <v>20000</v>
      </c>
      <c r="N275" s="66" t="s">
        <v>9</v>
      </c>
      <c r="O275" s="66" t="s">
        <v>63</v>
      </c>
      <c r="P275" s="85" t="str">
        <f>IF(AND('331-CT'!$E$7=TH!H275,OR(N275="331",O275="331")),"x","")</f>
        <v/>
      </c>
      <c r="Q275" s="85" t="str">
        <f>IF(AND(B275='111'!$L$11,OR($N275=$Q$7,$O275=$Q$7)),"x","")</f>
        <v>x</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IF(AND('341-CT'!$H$9=H275,OR(LEFT(N275,3)=$W$7,LEFT(O275,3)=$W$7)),"x","")</f>
        <v/>
      </c>
      <c r="X275" s="85" t="str">
        <f>IF(OR(TH!N275=TH!$X$7,O275=TH!$X$7),"x","")</f>
        <v/>
      </c>
      <c r="Y275" s="85" t="str">
        <f>IF(AND(OR(N275="131",O275="131"),H275='131-CT'!$H$9),"x","")</f>
        <v/>
      </c>
      <c r="Z275" s="85"/>
      <c r="AA275" s="85" t="str">
        <f>IF(AND(MONTH(E275)='IN-NX'!$J$5,'IN-NX'!$D$7=D275),"x","")</f>
        <v/>
      </c>
      <c r="AB275" s="85" t="str">
        <f>IF(AND(OR(LEFT(TH!N275,2)="15",LEFT(TH!O275,2)="15"),'152-CT'!$J$8=TH!F275),"x","")</f>
        <v/>
      </c>
      <c r="AC275" s="85" t="str">
        <f>IF(AND(OR(LEFT(TH!N275,2)="15",LEFT(TH!O275,2)="15"),TK!$E$7=TH!F275),"x","")</f>
        <v/>
      </c>
      <c r="AD275" s="85" t="str">
        <f>IF(AND(N275="1521",MONTH(C275)='BK-NL'!$M$11),"x","")</f>
        <v/>
      </c>
    </row>
    <row r="276" spans="1:30" ht="15.75" customHeight="1">
      <c r="A276" s="343" t="str">
        <f>IF(B276&lt;&gt;"",IF(AND(B276='IN-TC'!$S$4,OR(TH!N276="1111",TH!O276="1111")),TH!D276,""),"")</f>
        <v/>
      </c>
      <c r="B276" s="63">
        <f t="shared" si="52"/>
        <v>1</v>
      </c>
      <c r="C276" s="64">
        <v>42384</v>
      </c>
      <c r="D276" s="64" t="s">
        <v>906</v>
      </c>
      <c r="E276" s="64">
        <v>42384</v>
      </c>
      <c r="F276" s="67" t="s">
        <v>791</v>
      </c>
      <c r="G276" s="67" t="s">
        <v>843</v>
      </c>
      <c r="H276" s="353" t="s">
        <v>830</v>
      </c>
      <c r="I276" s="451"/>
      <c r="J276" s="451"/>
      <c r="K276" s="442"/>
      <c r="L276" s="451"/>
      <c r="M276" s="65">
        <v>17435800</v>
      </c>
      <c r="N276" s="66" t="s">
        <v>101</v>
      </c>
      <c r="O276" s="66" t="s">
        <v>63</v>
      </c>
      <c r="P276" s="85" t="str">
        <f>IF(AND('331-CT'!$E$7=TH!H276,OR(N276="331",O276="331")),"x","")</f>
        <v/>
      </c>
      <c r="Q276" s="85" t="str">
        <f>IF(AND(B276='111'!$L$11,OR($N276=$Q$7,$O276=$Q$7)),"x","")</f>
        <v>x</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IF(AND('341-CT'!$H$9=H276,OR(LEFT(N276,3)=$W$7,LEFT(O276,3)=$W$7)),"x","")</f>
        <v/>
      </c>
      <c r="X276" s="85" t="str">
        <f>IF(OR(TH!N276=TH!$X$7,O276=TH!$X$7),"x","")</f>
        <v/>
      </c>
      <c r="Y276" s="85" t="str">
        <f>IF(AND(OR(N276="131",O276="131"),H276='131-CT'!$H$9),"x","")</f>
        <v/>
      </c>
      <c r="Z276" s="85"/>
      <c r="AA276" s="85" t="str">
        <f>IF(AND(MONTH(E276)='IN-NX'!$J$5,'IN-NX'!$D$7=D276),"x","")</f>
        <v/>
      </c>
      <c r="AB276" s="85" t="str">
        <f>IF(AND(OR(LEFT(TH!N276,2)="15",LEFT(TH!O276,2)="15"),'152-CT'!$J$8=TH!F276),"x","")</f>
        <v/>
      </c>
      <c r="AC276" s="85" t="str">
        <f>IF(AND(OR(LEFT(TH!N276,2)="15",LEFT(TH!O276,2)="15"),TK!$E$7=TH!F276),"x","")</f>
        <v/>
      </c>
      <c r="AD276" s="85" t="str">
        <f>IF(AND(N276="1521",MONTH(C276)='BK-NL'!$M$11),"x","")</f>
        <v/>
      </c>
    </row>
    <row r="277" spans="1:30" ht="15.75" customHeight="1">
      <c r="A277" s="343" t="str">
        <f>IF(B277&lt;&gt;"",IF(AND(B277='IN-TC'!$S$4,OR(TH!N277="1111",TH!O277="1111")),TH!D277,""),"")</f>
        <v/>
      </c>
      <c r="B277" s="63">
        <f t="shared" si="52"/>
        <v>1</v>
      </c>
      <c r="C277" s="64">
        <v>42384</v>
      </c>
      <c r="D277" s="64" t="s">
        <v>906</v>
      </c>
      <c r="E277" s="64">
        <v>42384</v>
      </c>
      <c r="F277" s="67" t="s">
        <v>792</v>
      </c>
      <c r="G277" s="67" t="s">
        <v>843</v>
      </c>
      <c r="H277" s="353" t="s">
        <v>830</v>
      </c>
      <c r="I277" s="451"/>
      <c r="J277" s="451"/>
      <c r="K277" s="442"/>
      <c r="L277" s="451"/>
      <c r="M277" s="65">
        <v>1743580</v>
      </c>
      <c r="N277" s="66" t="s">
        <v>9</v>
      </c>
      <c r="O277" s="66" t="s">
        <v>63</v>
      </c>
      <c r="P277" s="85" t="str">
        <f>IF(AND('331-CT'!$E$7=TH!H277,OR(N277="331",O277="331")),"x","")</f>
        <v/>
      </c>
      <c r="Q277" s="85" t="str">
        <f>IF(AND(B277='111'!$L$11,OR($N277=$Q$7,$O277=$Q$7)),"x","")</f>
        <v>x</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IF(AND('341-CT'!$H$9=H277,OR(LEFT(N277,3)=$W$7,LEFT(O277,3)=$W$7)),"x","")</f>
        <v/>
      </c>
      <c r="X277" s="85" t="str">
        <f>IF(OR(TH!N277=TH!$X$7,O277=TH!$X$7),"x","")</f>
        <v/>
      </c>
      <c r="Y277" s="85" t="str">
        <f>IF(AND(OR(N277="131",O277="131"),H277='131-CT'!$H$9),"x","")</f>
        <v/>
      </c>
      <c r="Z277" s="85"/>
      <c r="AA277" s="85" t="str">
        <f>IF(AND(MONTH(E277)='IN-NX'!$J$5,'IN-NX'!$D$7=D277),"x","")</f>
        <v/>
      </c>
      <c r="AB277" s="85" t="str">
        <f>IF(AND(OR(LEFT(TH!N277,2)="15",LEFT(TH!O277,2)="15"),'152-CT'!$J$8=TH!F277),"x","")</f>
        <v/>
      </c>
      <c r="AC277" s="85" t="str">
        <f>IF(AND(OR(LEFT(TH!N277,2)="15",LEFT(TH!O277,2)="15"),TK!$E$7=TH!F277),"x","")</f>
        <v/>
      </c>
      <c r="AD277" s="85" t="str">
        <f>IF(AND(N277="1521",MONTH(C277)='BK-NL'!$M$11),"x","")</f>
        <v/>
      </c>
    </row>
    <row r="278" spans="1:30" ht="15.75" customHeight="1">
      <c r="A278" s="343" t="str">
        <f>IF(B278&lt;&gt;"",IF(AND(B278='IN-TC'!$S$4,OR(TH!N278="1111",TH!O278="1111")),TH!D278,""),"")</f>
        <v/>
      </c>
      <c r="B278" s="63">
        <f t="shared" si="52"/>
        <v>1</v>
      </c>
      <c r="C278" s="64">
        <v>42387</v>
      </c>
      <c r="D278" s="64" t="s">
        <v>709</v>
      </c>
      <c r="E278" s="64">
        <v>42387</v>
      </c>
      <c r="F278" s="67" t="s">
        <v>756</v>
      </c>
      <c r="G278" s="67" t="s">
        <v>930</v>
      </c>
      <c r="H278" s="67" t="s">
        <v>732</v>
      </c>
      <c r="I278" s="447"/>
      <c r="J278" s="447"/>
      <c r="K278" s="438"/>
      <c r="L278" s="447"/>
      <c r="M278" s="65">
        <v>3087650</v>
      </c>
      <c r="N278" s="66" t="s">
        <v>99</v>
      </c>
      <c r="O278" s="66" t="s">
        <v>26</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
      </c>
      <c r="W278" s="85" t="str">
        <f>IF(AND('341-CT'!$H$9=H278,OR(LEFT(N278,3)=$W$7,LEFT(O278,3)=$W$7)),"x","")</f>
        <v/>
      </c>
      <c r="X278" s="85" t="str">
        <f>IF(OR(TH!N278=TH!$X$7,O278=TH!$X$7),"x","")</f>
        <v/>
      </c>
      <c r="Y278" s="85" t="str">
        <f>IF(AND(OR(N278="131",O278="131"),H278='131-CT'!$H$9),"x","")</f>
        <v/>
      </c>
      <c r="Z278" s="85"/>
      <c r="AA278" s="85" t="str">
        <f>IF(AND(MONTH(E278)='IN-NX'!$J$5,'IN-NX'!$D$7=D278),"x","")</f>
        <v/>
      </c>
      <c r="AB278" s="85" t="str">
        <f>IF(AND(OR(LEFT(TH!N278,2)="15",LEFT(TH!O278,2)="15"),'152-CT'!$J$8=TH!F278),"x","")</f>
        <v/>
      </c>
      <c r="AC278" s="85" t="str">
        <f>IF(AND(OR(LEFT(TH!N278,2)="15",LEFT(TH!O278,2)="15"),TK!$E$7=TH!F278),"x","")</f>
        <v/>
      </c>
      <c r="AD278" s="85" t="str">
        <f>IF(AND(N278="1521",MONTH(C278)='BK-NL'!$M$11),"x","")</f>
        <v/>
      </c>
    </row>
    <row r="279" spans="1:30" ht="15.75" customHeight="1">
      <c r="A279" s="343" t="str">
        <f>IF(B279&lt;&gt;"",IF(AND(B279='IN-TC'!$S$4,OR(TH!N279="1111",TH!O279="1111")),TH!D279,""),"")</f>
        <v/>
      </c>
      <c r="B279" s="63">
        <f t="shared" si="52"/>
        <v>1</v>
      </c>
      <c r="C279" s="64">
        <v>42387</v>
      </c>
      <c r="D279" s="64" t="s">
        <v>709</v>
      </c>
      <c r="E279" s="64">
        <v>42387</v>
      </c>
      <c r="F279" s="67" t="s">
        <v>757</v>
      </c>
      <c r="G279" s="67" t="s">
        <v>930</v>
      </c>
      <c r="H279" s="67" t="s">
        <v>733</v>
      </c>
      <c r="I279" s="447"/>
      <c r="J279" s="447"/>
      <c r="K279" s="438"/>
      <c r="L279" s="447"/>
      <c r="M279" s="65">
        <v>3859450</v>
      </c>
      <c r="N279" s="66" t="s">
        <v>99</v>
      </c>
      <c r="O279" s="66" t="s">
        <v>26</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
      </c>
      <c r="W279" s="85" t="str">
        <f>IF(AND('341-CT'!$H$9=H279,OR(LEFT(N279,3)=$W$7,LEFT(O279,3)=$W$7)),"x","")</f>
        <v/>
      </c>
      <c r="X279" s="85" t="str">
        <f>IF(OR(TH!N279=TH!$X$7,O279=TH!$X$7),"x","")</f>
        <v/>
      </c>
      <c r="Y279" s="85" t="str">
        <f>IF(AND(OR(N279="131",O279="131"),H279='131-CT'!$H$9),"x","")</f>
        <v/>
      </c>
      <c r="Z279" s="85"/>
      <c r="AA279" s="85" t="str">
        <f>IF(AND(MONTH(E279)='IN-NX'!$J$5,'IN-NX'!$D$7=D279),"x","")</f>
        <v/>
      </c>
      <c r="AB279" s="85" t="str">
        <f>IF(AND(OR(LEFT(TH!N279,2)="15",LEFT(TH!O279,2)="15"),'152-CT'!$J$8=TH!F279),"x","")</f>
        <v/>
      </c>
      <c r="AC279" s="85" t="str">
        <f>IF(AND(OR(LEFT(TH!N279,2)="15",LEFT(TH!O279,2)="15"),TK!$E$7=TH!F279),"x","")</f>
        <v/>
      </c>
      <c r="AD279" s="85" t="str">
        <f>IF(AND(N279="1521",MONTH(C279)='BK-NL'!$M$11),"x","")</f>
        <v/>
      </c>
    </row>
    <row r="280" spans="1:30" ht="15.75" customHeight="1">
      <c r="A280" s="343" t="str">
        <f>IF(B280&lt;&gt;"",IF(AND(B280='IN-TC'!$S$4,OR(TH!N280="1111",TH!O280="1111")),TH!D280,""),"")</f>
        <v/>
      </c>
      <c r="B280" s="63">
        <f t="shared" si="52"/>
        <v>1</v>
      </c>
      <c r="C280" s="64">
        <v>42387</v>
      </c>
      <c r="D280" s="64" t="s">
        <v>709</v>
      </c>
      <c r="E280" s="64">
        <v>42387</v>
      </c>
      <c r="F280" s="67" t="s">
        <v>758</v>
      </c>
      <c r="G280" s="67" t="s">
        <v>930</v>
      </c>
      <c r="H280" s="67" t="s">
        <v>725</v>
      </c>
      <c r="I280" s="451"/>
      <c r="J280" s="451"/>
      <c r="K280" s="442"/>
      <c r="L280" s="451"/>
      <c r="M280" s="65">
        <v>7490746</v>
      </c>
      <c r="N280" s="66" t="s">
        <v>99</v>
      </c>
      <c r="O280" s="66" t="s">
        <v>26</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
      </c>
      <c r="W280" s="85" t="str">
        <f>IF(AND('341-CT'!$H$9=H280,OR(LEFT(N280,3)=$W$7,LEFT(O280,3)=$W$7)),"x","")</f>
        <v/>
      </c>
      <c r="X280" s="85" t="str">
        <f>IF(OR(TH!N280=TH!$X$7,O280=TH!$X$7),"x","")</f>
        <v/>
      </c>
      <c r="Y280" s="85" t="str">
        <f>IF(AND(OR(N280="131",O280="131"),H280='131-CT'!$H$9),"x","")</f>
        <v/>
      </c>
      <c r="Z280" s="85"/>
      <c r="AA280" s="85" t="str">
        <f>IF(AND(MONTH(E280)='IN-NX'!$J$5,'IN-NX'!$D$7=D280),"x","")</f>
        <v/>
      </c>
      <c r="AB280" s="85" t="str">
        <f>IF(AND(OR(LEFT(TH!N280,2)="15",LEFT(TH!O280,2)="15"),'152-CT'!$J$8=TH!F280),"x","")</f>
        <v/>
      </c>
      <c r="AC280" s="85" t="str">
        <f>IF(AND(OR(LEFT(TH!N280,2)="15",LEFT(TH!O280,2)="15"),TK!$E$7=TH!F280),"x","")</f>
        <v/>
      </c>
      <c r="AD280" s="85" t="str">
        <f>IF(AND(N280="1521",MONTH(C280)='BK-NL'!$M$11),"x","")</f>
        <v/>
      </c>
    </row>
    <row r="281" spans="1:30" ht="15.75" customHeight="1">
      <c r="A281" s="343" t="str">
        <f>IF(B281&lt;&gt;"",IF(AND(B281='IN-TC'!$S$4,OR(TH!N281="1111",TH!O281="1111")),TH!D281,""),"")</f>
        <v/>
      </c>
      <c r="B281" s="63">
        <f t="shared" si="52"/>
        <v>1</v>
      </c>
      <c r="C281" s="64">
        <v>42387</v>
      </c>
      <c r="D281" s="64" t="s">
        <v>907</v>
      </c>
      <c r="E281" s="64">
        <v>42387</v>
      </c>
      <c r="F281" s="67" t="s">
        <v>801</v>
      </c>
      <c r="G281" s="67" t="s">
        <v>844</v>
      </c>
      <c r="H281" s="353" t="s">
        <v>819</v>
      </c>
      <c r="I281" s="451"/>
      <c r="J281" s="451"/>
      <c r="K281" s="442"/>
      <c r="L281" s="451"/>
      <c r="M281" s="65">
        <v>1346136</v>
      </c>
      <c r="N281" s="66" t="s">
        <v>101</v>
      </c>
      <c r="O281" s="66" t="s">
        <v>63</v>
      </c>
      <c r="P281" s="85" t="str">
        <f>IF(AND('331-CT'!$E$7=TH!H281,OR(N281="331",O281="331")),"x","")</f>
        <v/>
      </c>
      <c r="Q281" s="85" t="str">
        <f>IF(AND(B281='111'!$L$11,OR($N281=$Q$7,$O281=$Q$7)),"x","")</f>
        <v>x</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IF(AND('341-CT'!$H$9=H281,OR(LEFT(N281,3)=$W$7,LEFT(O281,3)=$W$7)),"x","")</f>
        <v/>
      </c>
      <c r="X281" s="85" t="str">
        <f>IF(OR(TH!N281=TH!$X$7,O281=TH!$X$7),"x","")</f>
        <v/>
      </c>
      <c r="Y281" s="85" t="str">
        <f>IF(AND(OR(N281="131",O281="131"),H281='131-CT'!$H$9),"x","")</f>
        <v/>
      </c>
      <c r="Z281" s="85"/>
      <c r="AA281" s="85" t="str">
        <f>IF(AND(MONTH(E281)='IN-NX'!$J$5,'IN-NX'!$D$7=D281),"x","")</f>
        <v/>
      </c>
      <c r="AB281" s="85" t="str">
        <f>IF(AND(OR(LEFT(TH!N281,2)="15",LEFT(TH!O281,2)="15"),'152-CT'!$J$8=TH!F281),"x","")</f>
        <v/>
      </c>
      <c r="AC281" s="85" t="str">
        <f>IF(AND(OR(LEFT(TH!N281,2)="15",LEFT(TH!O281,2)="15"),TK!$E$7=TH!F281),"x","")</f>
        <v/>
      </c>
      <c r="AD281" s="85" t="str">
        <f>IF(AND(N281="1521",MONTH(C281)='BK-NL'!$M$11),"x","")</f>
        <v/>
      </c>
    </row>
    <row r="282" spans="1:30" ht="15.75" customHeight="1">
      <c r="A282" s="343" t="str">
        <f>IF(B282&lt;&gt;"",IF(AND(B282='IN-TC'!$S$4,OR(TH!N282="1111",TH!O282="1111")),TH!D282,""),"")</f>
        <v/>
      </c>
      <c r="B282" s="63">
        <f t="shared" si="52"/>
        <v>1</v>
      </c>
      <c r="C282" s="64">
        <v>42387</v>
      </c>
      <c r="D282" s="64" t="s">
        <v>907</v>
      </c>
      <c r="E282" s="64">
        <v>42387</v>
      </c>
      <c r="F282" s="67" t="s">
        <v>802</v>
      </c>
      <c r="G282" s="67" t="s">
        <v>844</v>
      </c>
      <c r="H282" s="74" t="s">
        <v>819</v>
      </c>
      <c r="I282" s="447"/>
      <c r="J282" s="447"/>
      <c r="K282" s="438"/>
      <c r="L282" s="447"/>
      <c r="M282" s="65">
        <v>134614</v>
      </c>
      <c r="N282" s="66" t="s">
        <v>9</v>
      </c>
      <c r="O282" s="66" t="s">
        <v>63</v>
      </c>
      <c r="P282" s="85" t="str">
        <f>IF(AND('331-CT'!$E$7=TH!H282,OR(N282="331",O282="331")),"x","")</f>
        <v/>
      </c>
      <c r="Q282" s="85" t="str">
        <f>IF(AND(B282='111'!$L$11,OR($N282=$Q$7,$O282=$Q$7)),"x","")</f>
        <v>x</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IF(AND('341-CT'!$H$9=H282,OR(LEFT(N282,3)=$W$7,LEFT(O282,3)=$W$7)),"x","")</f>
        <v/>
      </c>
      <c r="X282" s="85" t="str">
        <f>IF(OR(TH!N282=TH!$X$7,O282=TH!$X$7),"x","")</f>
        <v/>
      </c>
      <c r="Y282" s="85" t="str">
        <f>IF(AND(OR(N282="131",O282="131"),H282='131-CT'!$H$9),"x","")</f>
        <v/>
      </c>
      <c r="Z282" s="85"/>
      <c r="AA282" s="85" t="str">
        <f>IF(AND(MONTH(E282)='IN-NX'!$J$5,'IN-NX'!$D$7=D282),"x","")</f>
        <v/>
      </c>
      <c r="AB282" s="85" t="str">
        <f>IF(AND(OR(LEFT(TH!N282,2)="15",LEFT(TH!O282,2)="15"),'152-CT'!$J$8=TH!F282),"x","")</f>
        <v/>
      </c>
      <c r="AC282" s="85" t="str">
        <f>IF(AND(OR(LEFT(TH!N282,2)="15",LEFT(TH!O282,2)="15"),TK!$E$7=TH!F282),"x","")</f>
        <v/>
      </c>
      <c r="AD282" s="85" t="str">
        <f>IF(AND(N282="1521",MONTH(C282)='BK-NL'!$M$11),"x","")</f>
        <v/>
      </c>
    </row>
    <row r="283" spans="1:30" ht="15.75" customHeight="1">
      <c r="A283" s="343" t="str">
        <f>IF(B283&lt;&gt;"",IF(AND(B283='IN-TC'!$S$4,OR(TH!N283="1111",TH!O283="1111")),TH!D283,""),"")</f>
        <v/>
      </c>
      <c r="B283" s="63">
        <f t="shared" si="52"/>
        <v>1</v>
      </c>
      <c r="C283" s="64">
        <v>42387</v>
      </c>
      <c r="D283" s="64" t="s">
        <v>908</v>
      </c>
      <c r="E283" s="64">
        <v>42387</v>
      </c>
      <c r="F283" s="67" t="s">
        <v>790</v>
      </c>
      <c r="G283" s="67" t="s">
        <v>675</v>
      </c>
      <c r="H283" s="74" t="s">
        <v>679</v>
      </c>
      <c r="I283" s="447"/>
      <c r="J283" s="447"/>
      <c r="K283" s="438"/>
      <c r="L283" s="447"/>
      <c r="M283" s="65">
        <v>15250000</v>
      </c>
      <c r="N283" s="66" t="s">
        <v>8</v>
      </c>
      <c r="O283" s="66" t="s">
        <v>63</v>
      </c>
      <c r="P283" s="85" t="str">
        <f>IF(AND('331-CT'!$E$7=TH!H283,OR(N283="331",O283="331")),"x","")</f>
        <v/>
      </c>
      <c r="Q283" s="85" t="str">
        <f>IF(AND(B283='111'!$L$11,OR($N283=$Q$7,$O283=$Q$7)),"x","")</f>
        <v>x</v>
      </c>
      <c r="R283" s="85" t="str">
        <f>IF(AND($N283=$Q$7,$B283&lt;'111'!$L$11),"x","")</f>
        <v/>
      </c>
      <c r="S283" s="85" t="str">
        <f>IF(AND($O283=$Q$7,$B283&lt;'111'!$L$11),"x","")</f>
        <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IF(AND('341-CT'!$H$9=H283,OR(LEFT(N283,3)=$W$7,LEFT(O283,3)=$W$7)),"x","")</f>
        <v/>
      </c>
      <c r="X283" s="85" t="str">
        <f>IF(OR(TH!N283=TH!$X$7,O283=TH!$X$7),"x","")</f>
        <v/>
      </c>
      <c r="Y283" s="85" t="str">
        <f>IF(AND(OR(N283="131",O283="131"),H283='131-CT'!$H$9),"x","")</f>
        <v/>
      </c>
      <c r="Z283" s="85"/>
      <c r="AA283" s="85" t="str">
        <f>IF(AND(MONTH(E283)='IN-NX'!$J$5,'IN-NX'!$D$7=D283),"x","")</f>
        <v/>
      </c>
      <c r="AB283" s="85" t="str">
        <f>IF(AND(OR(LEFT(TH!N283,2)="15",LEFT(TH!O283,2)="15"),'152-CT'!$J$8=TH!F283),"x","")</f>
        <v/>
      </c>
      <c r="AC283" s="85" t="str">
        <f>IF(AND(OR(LEFT(TH!N283,2)="15",LEFT(TH!O283,2)="15"),TK!$E$7=TH!F283),"x","")</f>
        <v/>
      </c>
      <c r="AD283" s="85" t="str">
        <f>IF(AND(N283="1521",MONTH(C283)='BK-NL'!$M$11),"x","")</f>
        <v/>
      </c>
    </row>
    <row r="284" spans="1:30" ht="15.75" customHeight="1">
      <c r="A284" s="343" t="str">
        <f>IF(B284&lt;&gt;"",IF(AND(B284='IN-TC'!$S$4,OR(TH!N284="1111",TH!O284="1111")),TH!D284,""),"")</f>
        <v/>
      </c>
      <c r="B284" s="63">
        <f t="shared" si="52"/>
        <v>1</v>
      </c>
      <c r="C284" s="64">
        <v>42388</v>
      </c>
      <c r="D284" s="64" t="s">
        <v>909</v>
      </c>
      <c r="E284" s="64">
        <v>42388</v>
      </c>
      <c r="F284" s="67" t="s">
        <v>786</v>
      </c>
      <c r="G284" s="67" t="s">
        <v>845</v>
      </c>
      <c r="H284" s="74" t="s">
        <v>825</v>
      </c>
      <c r="I284" s="447"/>
      <c r="J284" s="447"/>
      <c r="K284" s="438"/>
      <c r="L284" s="447"/>
      <c r="M284" s="65">
        <v>29145</v>
      </c>
      <c r="N284" s="66" t="s">
        <v>101</v>
      </c>
      <c r="O284" s="66" t="s">
        <v>63</v>
      </c>
      <c r="P284" s="85" t="str">
        <f>IF(AND('331-CT'!$E$7=TH!H284,OR(N284="331",O284="331")),"x","")</f>
        <v/>
      </c>
      <c r="Q284" s="85" t="str">
        <f>IF(AND(B284='111'!$L$11,OR($N284=$Q$7,$O284=$Q$7)),"x","")</f>
        <v>x</v>
      </c>
      <c r="R284" s="85" t="str">
        <f>IF(AND($N284=$Q$7,$B284&lt;'111'!$L$11),"x","")</f>
        <v/>
      </c>
      <c r="S284" s="85" t="str">
        <f>IF(AND($O284=$Q$7,$B284&lt;'111'!$L$11),"x","")</f>
        <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IF(AND('341-CT'!$H$9=H284,OR(LEFT(N284,3)=$W$7,LEFT(O284,3)=$W$7)),"x","")</f>
        <v/>
      </c>
      <c r="X284" s="85" t="str">
        <f>IF(OR(TH!N284=TH!$X$7,O284=TH!$X$7),"x","")</f>
        <v/>
      </c>
      <c r="Y284" s="85" t="str">
        <f>IF(AND(OR(N284="131",O284="131"),H284='131-CT'!$H$9),"x","")</f>
        <v/>
      </c>
      <c r="Z284" s="85"/>
      <c r="AA284" s="85" t="str">
        <f>IF(AND(MONTH(E284)='IN-NX'!$J$5,'IN-NX'!$D$7=D284),"x","")</f>
        <v/>
      </c>
      <c r="AB284" s="85" t="str">
        <f>IF(AND(OR(LEFT(TH!N284,2)="15",LEFT(TH!O284,2)="15"),'152-CT'!$J$8=TH!F284),"x","")</f>
        <v/>
      </c>
      <c r="AC284" s="85" t="str">
        <f>IF(AND(OR(LEFT(TH!N284,2)="15",LEFT(TH!O284,2)="15"),TK!$E$7=TH!F284),"x","")</f>
        <v/>
      </c>
      <c r="AD284" s="85" t="str">
        <f>IF(AND(N284="1521",MONTH(C284)='BK-NL'!$M$11),"x","")</f>
        <v/>
      </c>
    </row>
    <row r="285" spans="1:30" ht="15.75" customHeight="1">
      <c r="A285" s="343" t="str">
        <f>IF(B285&lt;&gt;"",IF(AND(B285='IN-TC'!$S$4,OR(TH!N285="1111",TH!O285="1111")),TH!D285,""),"")</f>
        <v/>
      </c>
      <c r="B285" s="63">
        <f t="shared" si="52"/>
        <v>1</v>
      </c>
      <c r="C285" s="64">
        <v>42388</v>
      </c>
      <c r="D285" s="64" t="s">
        <v>909</v>
      </c>
      <c r="E285" s="64">
        <v>42388</v>
      </c>
      <c r="F285" s="67" t="s">
        <v>787</v>
      </c>
      <c r="G285" s="67" t="s">
        <v>845</v>
      </c>
      <c r="H285" s="353" t="s">
        <v>825</v>
      </c>
      <c r="I285" s="451"/>
      <c r="J285" s="451"/>
      <c r="K285" s="442"/>
      <c r="L285" s="451"/>
      <c r="M285" s="65">
        <v>2915</v>
      </c>
      <c r="N285" s="66" t="s">
        <v>9</v>
      </c>
      <c r="O285" s="66" t="s">
        <v>63</v>
      </c>
      <c r="P285" s="85" t="str">
        <f>IF(AND('331-CT'!$E$7=TH!H285,OR(N285="331",O285="331")),"x","")</f>
        <v/>
      </c>
      <c r="Q285" s="85" t="str">
        <f>IF(AND(B285='111'!$L$11,OR($N285=$Q$7,$O285=$Q$7)),"x","")</f>
        <v>x</v>
      </c>
      <c r="R285" s="85" t="str">
        <f>IF(AND($N285=$Q$7,$B285&lt;'111'!$L$11),"x","")</f>
        <v/>
      </c>
      <c r="S285" s="85" t="str">
        <f>IF(AND($O285=$Q$7,$B285&lt;'111'!$L$11),"x","")</f>
        <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IF(AND('341-CT'!$H$9=H285,OR(LEFT(N285,3)=$W$7,LEFT(O285,3)=$W$7)),"x","")</f>
        <v/>
      </c>
      <c r="X285" s="85" t="str">
        <f>IF(OR(TH!N285=TH!$X$7,O285=TH!$X$7),"x","")</f>
        <v/>
      </c>
      <c r="Y285" s="85" t="str">
        <f>IF(AND(OR(N285="131",O285="131"),H285='131-CT'!$H$9),"x","")</f>
        <v/>
      </c>
      <c r="Z285" s="85"/>
      <c r="AA285" s="85" t="str">
        <f>IF(AND(MONTH(E285)='IN-NX'!$J$5,'IN-NX'!$D$7=D285),"x","")</f>
        <v/>
      </c>
      <c r="AB285" s="85" t="str">
        <f>IF(AND(OR(LEFT(TH!N285,2)="15",LEFT(TH!O285,2)="15"),'152-CT'!$J$8=TH!F285),"x","")</f>
        <v/>
      </c>
      <c r="AC285" s="85" t="str">
        <f>IF(AND(OR(LEFT(TH!N285,2)="15",LEFT(TH!O285,2)="15"),TK!$E$7=TH!F285),"x","")</f>
        <v/>
      </c>
      <c r="AD285" s="85" t="str">
        <f>IF(AND(N285="1521",MONTH(C285)='BK-NL'!$M$11),"x","")</f>
        <v/>
      </c>
    </row>
    <row r="286" spans="1:30" ht="15.75" customHeight="1">
      <c r="A286" s="343" t="str">
        <f>IF(B286&lt;&gt;"",IF(AND(B286='IN-TC'!$S$4,OR(TH!N286="1111",TH!O286="1111")),TH!D286,""),"")</f>
        <v/>
      </c>
      <c r="B286" s="63">
        <f t="shared" si="52"/>
        <v>1</v>
      </c>
      <c r="C286" s="64">
        <v>42389</v>
      </c>
      <c r="D286" s="64" t="s">
        <v>910</v>
      </c>
      <c r="E286" s="64">
        <v>42389</v>
      </c>
      <c r="F286" s="67" t="s">
        <v>786</v>
      </c>
      <c r="G286" s="67" t="s">
        <v>846</v>
      </c>
      <c r="H286" s="74" t="s">
        <v>819</v>
      </c>
      <c r="I286" s="447"/>
      <c r="J286" s="447"/>
      <c r="K286" s="438"/>
      <c r="L286" s="447"/>
      <c r="M286" s="65">
        <v>689618</v>
      </c>
      <c r="N286" s="66" t="s">
        <v>101</v>
      </c>
      <c r="O286" s="66" t="s">
        <v>63</v>
      </c>
      <c r="P286" s="85" t="str">
        <f>IF(AND('331-CT'!$E$7=TH!H286,OR(N286="331",O286="331")),"x","")</f>
        <v/>
      </c>
      <c r="Q286" s="85" t="str">
        <f>IF(AND(B286='111'!$L$11,OR($N286=$Q$7,$O286=$Q$7)),"x","")</f>
        <v>x</v>
      </c>
      <c r="R286" s="85" t="str">
        <f>IF(AND($N286=$Q$7,$B286&lt;'111'!$L$11),"x","")</f>
        <v/>
      </c>
      <c r="S286" s="85" t="str">
        <f>IF(AND($O286=$Q$7,$B286&lt;'111'!$L$11),"x","")</f>
        <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IF(AND('341-CT'!$H$9=H286,OR(LEFT(N286,3)=$W$7,LEFT(O286,3)=$W$7)),"x","")</f>
        <v/>
      </c>
      <c r="X286" s="85" t="str">
        <f>IF(OR(TH!N286=TH!$X$7,O286=TH!$X$7),"x","")</f>
        <v/>
      </c>
      <c r="Y286" s="85" t="str">
        <f>IF(AND(OR(N286="131",O286="131"),H286='131-CT'!$H$9),"x","")</f>
        <v/>
      </c>
      <c r="Z286" s="85"/>
      <c r="AA286" s="85" t="str">
        <f>IF(AND(MONTH(E286)='IN-NX'!$J$5,'IN-NX'!$D$7=D286),"x","")</f>
        <v/>
      </c>
      <c r="AB286" s="85" t="str">
        <f>IF(AND(OR(LEFT(TH!N286,2)="15",LEFT(TH!O286,2)="15"),'152-CT'!$J$8=TH!F286),"x","")</f>
        <v/>
      </c>
      <c r="AC286" s="85" t="str">
        <f>IF(AND(OR(LEFT(TH!N286,2)="15",LEFT(TH!O286,2)="15"),TK!$E$7=TH!F286),"x","")</f>
        <v/>
      </c>
      <c r="AD286" s="85" t="str">
        <f>IF(AND(N286="1521",MONTH(C286)='BK-NL'!$M$11),"x","")</f>
        <v/>
      </c>
    </row>
    <row r="287" spans="1:30" ht="15.75" customHeight="1">
      <c r="A287" s="343" t="str">
        <f>IF(B287&lt;&gt;"",IF(AND(B287='IN-TC'!$S$4,OR(TH!N287="1111",TH!O287="1111")),TH!D287,""),"")</f>
        <v/>
      </c>
      <c r="B287" s="63">
        <f t="shared" si="52"/>
        <v>1</v>
      </c>
      <c r="C287" s="64">
        <v>42389</v>
      </c>
      <c r="D287" s="64" t="s">
        <v>910</v>
      </c>
      <c r="E287" s="64">
        <v>42389</v>
      </c>
      <c r="F287" s="67" t="s">
        <v>787</v>
      </c>
      <c r="G287" s="67" t="s">
        <v>846</v>
      </c>
      <c r="H287" s="74" t="s">
        <v>819</v>
      </c>
      <c r="I287" s="447"/>
      <c r="J287" s="447"/>
      <c r="K287" s="438"/>
      <c r="L287" s="447"/>
      <c r="M287" s="65">
        <v>68962</v>
      </c>
      <c r="N287" s="66" t="s">
        <v>9</v>
      </c>
      <c r="O287" s="66" t="s">
        <v>63</v>
      </c>
      <c r="P287" s="85" t="str">
        <f>IF(AND('331-CT'!$E$7=TH!H287,OR(N287="331",O287="331")),"x","")</f>
        <v/>
      </c>
      <c r="Q287" s="85" t="str">
        <f>IF(AND(B287='111'!$L$11,OR($N287=$Q$7,$O287=$Q$7)),"x","")</f>
        <v>x</v>
      </c>
      <c r="R287" s="85" t="str">
        <f>IF(AND($N287=$Q$7,$B287&lt;'111'!$L$11),"x","")</f>
        <v/>
      </c>
      <c r="S287" s="85" t="str">
        <f>IF(AND($O287=$Q$7,$B287&lt;'111'!$L$11),"x","")</f>
        <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IF(AND('341-CT'!$H$9=H287,OR(LEFT(N287,3)=$W$7,LEFT(O287,3)=$W$7)),"x","")</f>
        <v/>
      </c>
      <c r="X287" s="85" t="str">
        <f>IF(OR(TH!N287=TH!$X$7,O287=TH!$X$7),"x","")</f>
        <v/>
      </c>
      <c r="Y287" s="85" t="str">
        <f>IF(AND(OR(N287="131",O287="131"),H287='131-CT'!$H$9),"x","")</f>
        <v/>
      </c>
      <c r="Z287" s="85"/>
      <c r="AA287" s="85" t="str">
        <f>IF(AND(MONTH(E287)='IN-NX'!$J$5,'IN-NX'!$D$7=D287),"x","")</f>
        <v/>
      </c>
      <c r="AB287" s="85" t="str">
        <f>IF(AND(OR(LEFT(TH!N287,2)="15",LEFT(TH!O287,2)="15"),'152-CT'!$J$8=TH!F287),"x","")</f>
        <v/>
      </c>
      <c r="AC287" s="85" t="str">
        <f>IF(AND(OR(LEFT(TH!N287,2)="15",LEFT(TH!O287,2)="15"),TK!$E$7=TH!F287),"x","")</f>
        <v/>
      </c>
      <c r="AD287" s="85" t="str">
        <f>IF(AND(N287="1521",MONTH(C287)='BK-NL'!$M$11),"x","")</f>
        <v/>
      </c>
    </row>
    <row r="288" spans="1:30" ht="15.75" customHeight="1">
      <c r="A288" s="343" t="str">
        <f>IF(B288&lt;&gt;"",IF(AND(B288='IN-TC'!$S$4,OR(TH!N288="1111",TH!O288="1111")),TH!D288,""),"")</f>
        <v/>
      </c>
      <c r="B288" s="63">
        <f t="shared" si="52"/>
        <v>1</v>
      </c>
      <c r="C288" s="64">
        <v>42390</v>
      </c>
      <c r="D288" s="64" t="s">
        <v>911</v>
      </c>
      <c r="E288" s="64">
        <v>42390</v>
      </c>
      <c r="F288" s="67" t="s">
        <v>781</v>
      </c>
      <c r="G288" s="67" t="s">
        <v>847</v>
      </c>
      <c r="H288" s="353" t="s">
        <v>819</v>
      </c>
      <c r="I288" s="451"/>
      <c r="J288" s="451"/>
      <c r="K288" s="442"/>
      <c r="L288" s="451"/>
      <c r="M288" s="65">
        <v>380182</v>
      </c>
      <c r="N288" s="66" t="s">
        <v>101</v>
      </c>
      <c r="O288" s="66" t="s">
        <v>63</v>
      </c>
      <c r="P288" s="85" t="str">
        <f>IF(AND('331-CT'!$E$7=TH!H288,OR(N288="331",O288="331")),"x","")</f>
        <v/>
      </c>
      <c r="Q288" s="85" t="str">
        <f>IF(AND(B288='111'!$L$11,OR($N288=$Q$7,$O288=$Q$7)),"x","")</f>
        <v>x</v>
      </c>
      <c r="R288" s="85" t="str">
        <f>IF(AND($N288=$Q$7,$B288&lt;'111'!$L$11),"x","")</f>
        <v/>
      </c>
      <c r="S288" s="85" t="str">
        <f>IF(AND($O288=$Q$7,$B288&lt;'111'!$L$11),"x","")</f>
        <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IF(AND('341-CT'!$H$9=H288,OR(LEFT(N288,3)=$W$7,LEFT(O288,3)=$W$7)),"x","")</f>
        <v/>
      </c>
      <c r="X288" s="85" t="str">
        <f>IF(OR(TH!N288=TH!$X$7,O288=TH!$X$7),"x","")</f>
        <v/>
      </c>
      <c r="Y288" s="85" t="str">
        <f>IF(AND(OR(N288="131",O288="131"),H288='131-CT'!$H$9),"x","")</f>
        <v/>
      </c>
      <c r="Z288" s="85"/>
      <c r="AA288" s="85" t="str">
        <f>IF(AND(MONTH(E288)='IN-NX'!$J$5,'IN-NX'!$D$7=D288),"x","")</f>
        <v/>
      </c>
      <c r="AB288" s="85" t="str">
        <f>IF(AND(OR(LEFT(TH!N288,2)="15",LEFT(TH!O288,2)="15"),'152-CT'!$J$8=TH!F288),"x","")</f>
        <v/>
      </c>
      <c r="AC288" s="85" t="str">
        <f>IF(AND(OR(LEFT(TH!N288,2)="15",LEFT(TH!O288,2)="15"),TK!$E$7=TH!F288),"x","")</f>
        <v/>
      </c>
      <c r="AD288" s="85" t="str">
        <f>IF(AND(N288="1521",MONTH(C288)='BK-NL'!$M$11),"x","")</f>
        <v/>
      </c>
    </row>
    <row r="289" spans="1:30" ht="15.75" customHeight="1">
      <c r="A289" s="343" t="str">
        <f>IF(B289&lt;&gt;"",IF(AND(B289='IN-TC'!$S$4,OR(TH!N289="1111",TH!O289="1111")),TH!D289,""),"")</f>
        <v/>
      </c>
      <c r="B289" s="63">
        <f t="shared" si="52"/>
        <v>1</v>
      </c>
      <c r="C289" s="64">
        <v>42390</v>
      </c>
      <c r="D289" s="64" t="s">
        <v>911</v>
      </c>
      <c r="E289" s="64">
        <v>42390</v>
      </c>
      <c r="F289" s="67" t="s">
        <v>782</v>
      </c>
      <c r="G289" s="67" t="s">
        <v>847</v>
      </c>
      <c r="H289" s="74" t="s">
        <v>819</v>
      </c>
      <c r="I289" s="447"/>
      <c r="J289" s="447"/>
      <c r="K289" s="438"/>
      <c r="L289" s="447"/>
      <c r="M289" s="65">
        <v>38018</v>
      </c>
      <c r="N289" s="66" t="s">
        <v>9</v>
      </c>
      <c r="O289" s="66" t="s">
        <v>63</v>
      </c>
      <c r="P289" s="85" t="str">
        <f>IF(AND('331-CT'!$E$7=TH!H289,OR(N289="331",O289="331")),"x","")</f>
        <v/>
      </c>
      <c r="Q289" s="85" t="str">
        <f>IF(AND(B289='111'!$L$11,OR($N289=$Q$7,$O289=$Q$7)),"x","")</f>
        <v>x</v>
      </c>
      <c r="R289" s="85" t="str">
        <f>IF(AND($N289=$Q$7,$B289&lt;'111'!$L$11),"x","")</f>
        <v/>
      </c>
      <c r="S289" s="85" t="str">
        <f>IF(AND($O289=$Q$7,$B289&lt;'111'!$L$11),"x","")</f>
        <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IF(AND('341-CT'!$H$9=H289,OR(LEFT(N289,3)=$W$7,LEFT(O289,3)=$W$7)),"x","")</f>
        <v/>
      </c>
      <c r="X289" s="85" t="str">
        <f>IF(OR(TH!N289=TH!$X$7,O289=TH!$X$7),"x","")</f>
        <v/>
      </c>
      <c r="Y289" s="85" t="str">
        <f>IF(AND(OR(N289="131",O289="131"),H289='131-CT'!$H$9),"x","")</f>
        <v/>
      </c>
      <c r="Z289" s="85"/>
      <c r="AA289" s="85" t="str">
        <f>IF(AND(MONTH(E289)='IN-NX'!$J$5,'IN-NX'!$D$7=D289),"x","")</f>
        <v/>
      </c>
      <c r="AB289" s="85" t="str">
        <f>IF(AND(OR(LEFT(TH!N289,2)="15",LEFT(TH!O289,2)="15"),'152-CT'!$J$8=TH!F289),"x","")</f>
        <v/>
      </c>
      <c r="AC289" s="85" t="str">
        <f>IF(AND(OR(LEFT(TH!N289,2)="15",LEFT(TH!O289,2)="15"),TK!$E$7=TH!F289),"x","")</f>
        <v/>
      </c>
      <c r="AD289" s="85" t="str">
        <f>IF(AND(N289="1521",MONTH(C289)='BK-NL'!$M$11),"x","")</f>
        <v/>
      </c>
    </row>
    <row r="290" spans="1:30" ht="15.75" customHeight="1">
      <c r="A290" s="343" t="str">
        <f>IF(B290&lt;&gt;"",IF(AND(B290='IN-TC'!$S$4,OR(TH!N290="1111",TH!O290="1111")),TH!D290,""),"")</f>
        <v/>
      </c>
      <c r="B290" s="63">
        <f t="shared" si="52"/>
        <v>1</v>
      </c>
      <c r="C290" s="81">
        <f>E290</f>
        <v>42390</v>
      </c>
      <c r="D290" s="64" t="s">
        <v>912</v>
      </c>
      <c r="E290" s="81">
        <v>42390</v>
      </c>
      <c r="F290" s="82" t="s">
        <v>975</v>
      </c>
      <c r="G290" s="82"/>
      <c r="H290" s="83" t="s">
        <v>974</v>
      </c>
      <c r="I290" s="445"/>
      <c r="J290" s="445"/>
      <c r="K290" s="436"/>
      <c r="L290" s="445"/>
      <c r="M290" s="84">
        <v>500000000</v>
      </c>
      <c r="N290" s="85" t="s">
        <v>273</v>
      </c>
      <c r="O290" s="85" t="s">
        <v>63</v>
      </c>
      <c r="P290" s="85" t="str">
        <f>IF(AND('331-CT'!$E$7=TH!H290,OR(N290="331",O290="331")),"x","")</f>
        <v/>
      </c>
      <c r="Q290" s="85" t="str">
        <f>IF(AND(B290='111'!$L$11,OR($N290=$Q$7,$O290=$Q$7)),"x","")</f>
        <v>x</v>
      </c>
      <c r="R290" s="85" t="str">
        <f>IF(AND($N290=$Q$7,$B290&lt;'111'!$L$11),"x","")</f>
        <v/>
      </c>
      <c r="S290" s="85" t="str">
        <f>IF(AND($O290=$Q$7,$B290&lt;'111'!$L$11),"x","")</f>
        <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IF(AND('341-CT'!$H$9=H290,OR(LEFT(N290,3)=$W$7,LEFT(O290,3)=$W$7)),"x","")</f>
        <v/>
      </c>
      <c r="X290" s="85" t="str">
        <f>IF(OR(TH!N290=TH!$X$7,O290=TH!$X$7),"x","")</f>
        <v/>
      </c>
      <c r="Y290" s="85" t="str">
        <f>IF(AND(OR(N290="131",O290="131"),H290='131-CT'!$H$9),"x","")</f>
        <v/>
      </c>
      <c r="Z290" s="85"/>
      <c r="AA290" s="85" t="str">
        <f>IF(AND(MONTH(E290)='IN-NX'!$J$5,'IN-NX'!$D$7=D290),"x","")</f>
        <v/>
      </c>
      <c r="AB290" s="85" t="str">
        <f>IF(AND(OR(LEFT(TH!N290,2)="15",LEFT(TH!O290,2)="15"),'152-CT'!$J$8=TH!F290),"x","")</f>
        <v/>
      </c>
      <c r="AC290" s="85" t="str">
        <f>IF(AND(OR(LEFT(TH!N290,2)="15",LEFT(TH!O290,2)="15"),TK!$E$7=TH!F290),"x","")</f>
        <v/>
      </c>
      <c r="AD290" s="85" t="str">
        <f>IF(AND(N290="1521",MONTH(C290)='BK-NL'!$M$11),"x","")</f>
        <v/>
      </c>
    </row>
    <row r="291" spans="1:30" ht="15.75" customHeight="1">
      <c r="A291" s="343" t="str">
        <f>IF(B291&lt;&gt;"",IF(AND(B291='IN-TC'!$S$4,OR(TH!N291="1111",TH!O291="1111")),TH!D291,""),"")</f>
        <v/>
      </c>
      <c r="B291" s="63">
        <f t="shared" si="52"/>
        <v>1</v>
      </c>
      <c r="C291" s="64">
        <v>42391</v>
      </c>
      <c r="D291" s="64" t="s">
        <v>913</v>
      </c>
      <c r="E291" s="64">
        <v>42391</v>
      </c>
      <c r="F291" s="67" t="s">
        <v>748</v>
      </c>
      <c r="G291" s="67" t="s">
        <v>929</v>
      </c>
      <c r="H291" s="67" t="s">
        <v>773</v>
      </c>
      <c r="I291" s="449"/>
      <c r="J291" s="449"/>
      <c r="K291" s="440"/>
      <c r="L291" s="449"/>
      <c r="M291" s="65">
        <v>20000000</v>
      </c>
      <c r="N291" s="66" t="s">
        <v>26</v>
      </c>
      <c r="O291" s="66" t="s">
        <v>63</v>
      </c>
      <c r="P291" s="85" t="str">
        <f>IF(AND('331-CT'!$E$7=TH!H291,OR(N291="331",O291="331")),"x","")</f>
        <v/>
      </c>
      <c r="Q291" s="85" t="str">
        <f>IF(AND(B291='111'!$L$11,OR($N291=$Q$7,$O291=$Q$7)),"x","")</f>
        <v>x</v>
      </c>
      <c r="R291" s="85" t="str">
        <f>IF(AND($N291=$Q$7,$B291&lt;'111'!$L$11),"x","")</f>
        <v/>
      </c>
      <c r="S291" s="85" t="str">
        <f>IF(AND($O291=$Q$7,$B291&lt;'111'!$L$11),"x","")</f>
        <v/>
      </c>
      <c r="T291" s="85" t="str">
        <f>IF(ISERROR(FIND('112'!$M$9,G291,1)),"",IF((AND(FIND('112'!$M$9,G291,1)&gt;=1,B291='112'!$K$9,OR($N291='112'!$I$6,$O291='112'!$I$6))),"x",""))</f>
        <v/>
      </c>
      <c r="U291" s="85" t="str">
        <f>IF(ISERROR(FIND('112'!$M$9,G291,1)),"",IF((AND(LEFT(G291,2)=LEFT('112'!$M$9,2),B291&lt;'112'!$K$9,$N291='112'!$I$6)),"x",""))</f>
        <v/>
      </c>
      <c r="V291" s="85" t="str">
        <f>IF(ISERROR(FIND('112'!$M$9,G291,1)),"",IF((AND(RIGHT(G291,2)=RIGHT('112'!$M$9,2),B291&lt;'112'!$K$9,$O291='112'!$I$6)),"x",""))</f>
        <v/>
      </c>
      <c r="W291" s="85" t="str">
        <f>IF(AND('341-CT'!$H$9=H291,OR(LEFT(N291,3)=$W$7,LEFT(O291,3)=$W$7)),"x","")</f>
        <v/>
      </c>
      <c r="X291" s="85" t="str">
        <f>IF(OR(TH!N291=TH!$X$7,O291=TH!$X$7),"x","")</f>
        <v/>
      </c>
      <c r="Y291" s="85" t="str">
        <f>IF(AND(OR(N291="131",O291="131"),H291='131-CT'!$H$9),"x","")</f>
        <v/>
      </c>
      <c r="Z291" s="85"/>
      <c r="AA291" s="85" t="str">
        <f>IF(AND(MONTH(E291)='IN-NX'!$J$5,'IN-NX'!$D$7=D291),"x","")</f>
        <v/>
      </c>
      <c r="AB291" s="85" t="str">
        <f>IF(AND(OR(LEFT(TH!N291,2)="15",LEFT(TH!O291,2)="15"),'152-CT'!$J$8=TH!F291),"x","")</f>
        <v/>
      </c>
      <c r="AC291" s="85" t="str">
        <f>IF(AND(OR(LEFT(TH!N291,2)="15",LEFT(TH!O291,2)="15"),TK!$E$7=TH!F291),"x","")</f>
        <v/>
      </c>
      <c r="AD291" s="85" t="str">
        <f>IF(AND(N291="1521",MONTH(C291)='BK-NL'!$M$11),"x","")</f>
        <v/>
      </c>
    </row>
    <row r="292" spans="1:30" ht="15.75" customHeight="1">
      <c r="A292" s="343" t="str">
        <f>IF(B292&lt;&gt;"",IF(AND(B292='IN-TC'!$S$4,OR(TH!N292="1111",TH!O292="1111")),TH!D292,""),"")</f>
        <v/>
      </c>
      <c r="B292" s="63">
        <f t="shared" si="52"/>
        <v>1</v>
      </c>
      <c r="C292" s="64">
        <v>42391</v>
      </c>
      <c r="D292" s="64" t="s">
        <v>709</v>
      </c>
      <c r="E292" s="64">
        <v>42391</v>
      </c>
      <c r="F292" s="67" t="s">
        <v>766</v>
      </c>
      <c r="G292" s="67" t="s">
        <v>929</v>
      </c>
      <c r="H292" s="74" t="s">
        <v>727</v>
      </c>
      <c r="I292" s="447"/>
      <c r="J292" s="447"/>
      <c r="K292" s="438"/>
      <c r="L292" s="447"/>
      <c r="M292" s="65">
        <v>4045251</v>
      </c>
      <c r="N292" s="66" t="s">
        <v>99</v>
      </c>
      <c r="O292" s="66" t="s">
        <v>26</v>
      </c>
      <c r="P292" s="85" t="str">
        <f>IF(AND('331-CT'!$E$7=TH!H292,OR(N292="331",O292="331")),"x","")</f>
        <v/>
      </c>
      <c r="Q292" s="85" t="str">
        <f>IF(AND(B292='111'!$L$11,OR($N292=$Q$7,$O292=$Q$7)),"x","")</f>
        <v/>
      </c>
      <c r="R292" s="85" t="str">
        <f>IF(AND($N292=$Q$7,$B292&lt;'111'!$L$11),"x","")</f>
        <v/>
      </c>
      <c r="S292" s="85" t="str">
        <f>IF(AND($O292=$Q$7,$B292&lt;'111'!$L$11),"x","")</f>
        <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
      </c>
      <c r="W292" s="85" t="str">
        <f>IF(AND('341-CT'!$H$9=H292,OR(LEFT(N292,3)=$W$7,LEFT(O292,3)=$W$7)),"x","")</f>
        <v/>
      </c>
      <c r="X292" s="85" t="str">
        <f>IF(OR(TH!N292=TH!$X$7,O292=TH!$X$7),"x","")</f>
        <v/>
      </c>
      <c r="Y292" s="85" t="str">
        <f>IF(AND(OR(N292="131",O292="131"),H292='131-CT'!$H$9),"x","")</f>
        <v/>
      </c>
      <c r="Z292" s="85"/>
      <c r="AA292" s="85" t="str">
        <f>IF(AND(MONTH(E292)='IN-NX'!$J$5,'IN-NX'!$D$7=D292),"x","")</f>
        <v/>
      </c>
      <c r="AB292" s="85" t="str">
        <f>IF(AND(OR(LEFT(TH!N292,2)="15",LEFT(TH!O292,2)="15"),'152-CT'!$J$8=TH!F292),"x","")</f>
        <v/>
      </c>
      <c r="AC292" s="85" t="str">
        <f>IF(AND(OR(LEFT(TH!N292,2)="15",LEFT(TH!O292,2)="15"),TK!$E$7=TH!F292),"x","")</f>
        <v/>
      </c>
      <c r="AD292" s="85" t="str">
        <f>IF(AND(N292="1521",MONTH(C292)='BK-NL'!$M$11),"x","")</f>
        <v/>
      </c>
    </row>
    <row r="293" spans="1:30" ht="15.75" customHeight="1">
      <c r="A293" s="343" t="str">
        <f>IF(B293&lt;&gt;"",IF(AND(B293='IN-TC'!$S$4,OR(TH!N293="1111",TH!O293="1111")),TH!D293,""),"")</f>
        <v/>
      </c>
      <c r="B293" s="63">
        <f t="shared" si="52"/>
        <v>1</v>
      </c>
      <c r="C293" s="64">
        <v>42391</v>
      </c>
      <c r="D293" s="64" t="s">
        <v>709</v>
      </c>
      <c r="E293" s="64">
        <v>42391</v>
      </c>
      <c r="F293" s="67" t="s">
        <v>767</v>
      </c>
      <c r="G293" s="67" t="s">
        <v>929</v>
      </c>
      <c r="H293" s="74" t="s">
        <v>738</v>
      </c>
      <c r="I293" s="447"/>
      <c r="J293" s="447"/>
      <c r="K293" s="438"/>
      <c r="L293" s="447"/>
      <c r="M293" s="65">
        <v>7783659</v>
      </c>
      <c r="N293" s="66" t="s">
        <v>99</v>
      </c>
      <c r="O293" s="66" t="s">
        <v>26</v>
      </c>
      <c r="P293" s="85" t="str">
        <f>IF(AND('331-CT'!$E$7=TH!H293,OR(N293="331",O293="331")),"x","")</f>
        <v/>
      </c>
      <c r="Q293" s="85" t="str">
        <f>IF(AND(B293='111'!$L$11,OR($N293=$Q$7,$O293=$Q$7)),"x","")</f>
        <v/>
      </c>
      <c r="R293" s="85" t="str">
        <f>IF(AND($N293=$Q$7,$B293&lt;'111'!$L$11),"x","")</f>
        <v/>
      </c>
      <c r="S293" s="85" t="str">
        <f>IF(AND($O293=$Q$7,$B293&lt;'111'!$L$11),"x","")</f>
        <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
      </c>
      <c r="W293" s="85" t="str">
        <f>IF(AND('341-CT'!$H$9=H293,OR(LEFT(N293,3)=$W$7,LEFT(O293,3)=$W$7)),"x","")</f>
        <v/>
      </c>
      <c r="X293" s="85" t="str">
        <f>IF(OR(TH!N293=TH!$X$7,O293=TH!$X$7),"x","")</f>
        <v/>
      </c>
      <c r="Y293" s="85" t="str">
        <f>IF(AND(OR(N293="131",O293="131"),H293='131-CT'!$H$9),"x","")</f>
        <v/>
      </c>
      <c r="Z293" s="85"/>
      <c r="AA293" s="85" t="str">
        <f>IF(AND(MONTH(E293)='IN-NX'!$J$5,'IN-NX'!$D$7=D293),"x","")</f>
        <v/>
      </c>
      <c r="AB293" s="85" t="str">
        <f>IF(AND(OR(LEFT(TH!N293,2)="15",LEFT(TH!O293,2)="15"),'152-CT'!$J$8=TH!F293),"x","")</f>
        <v/>
      </c>
      <c r="AC293" s="85" t="str">
        <f>IF(AND(OR(LEFT(TH!N293,2)="15",LEFT(TH!O293,2)="15"),TK!$E$7=TH!F293),"x","")</f>
        <v/>
      </c>
      <c r="AD293" s="85" t="str">
        <f>IF(AND(N293="1521",MONTH(C293)='BK-NL'!$M$11),"x","")</f>
        <v/>
      </c>
    </row>
    <row r="294" spans="1:30" ht="15.75" customHeight="1">
      <c r="A294" s="343" t="str">
        <f>IF(B294&lt;&gt;"",IF(AND(B294='IN-TC'!$S$4,OR(TH!N294="1111",TH!O294="1111")),TH!D294,""),"")</f>
        <v/>
      </c>
      <c r="B294" s="63">
        <f t="shared" si="52"/>
        <v>1</v>
      </c>
      <c r="C294" s="64">
        <v>42391</v>
      </c>
      <c r="D294" s="64" t="s">
        <v>709</v>
      </c>
      <c r="E294" s="64">
        <v>42391</v>
      </c>
      <c r="F294" s="67" t="s">
        <v>768</v>
      </c>
      <c r="G294" s="67" t="s">
        <v>929</v>
      </c>
      <c r="H294" s="74" t="s">
        <v>739</v>
      </c>
      <c r="I294" s="447"/>
      <c r="J294" s="447"/>
      <c r="K294" s="438"/>
      <c r="L294" s="447"/>
      <c r="M294" s="65">
        <v>5878679</v>
      </c>
      <c r="N294" s="66" t="s">
        <v>99</v>
      </c>
      <c r="O294" s="66" t="s">
        <v>26</v>
      </c>
      <c r="P294" s="85" t="str">
        <f>IF(AND('331-CT'!$E$7=TH!H294,OR(N294="331",O294="331")),"x","")</f>
        <v/>
      </c>
      <c r="Q294" s="85" t="str">
        <f>IF(AND(B294='111'!$L$11,OR($N294=$Q$7,$O294=$Q$7)),"x","")</f>
        <v/>
      </c>
      <c r="R294" s="85" t="str">
        <f>IF(AND($N294=$Q$7,$B294&lt;'111'!$L$11),"x","")</f>
        <v/>
      </c>
      <c r="S294" s="85" t="str">
        <f>IF(AND($O294=$Q$7,$B294&lt;'111'!$L$11),"x","")</f>
        <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
      </c>
      <c r="W294" s="85" t="str">
        <f>IF(AND('341-CT'!$H$9=H294,OR(LEFT(N294,3)=$W$7,LEFT(O294,3)=$W$7)),"x","")</f>
        <v/>
      </c>
      <c r="X294" s="85" t="str">
        <f>IF(OR(TH!N294=TH!$X$7,O294=TH!$X$7),"x","")</f>
        <v/>
      </c>
      <c r="Y294" s="85" t="str">
        <f>IF(AND(OR(N294="131",O294="131"),H294='131-CT'!$H$9),"x","")</f>
        <v/>
      </c>
      <c r="Z294" s="85"/>
      <c r="AA294" s="85" t="str">
        <f>IF(AND(MONTH(E294)='IN-NX'!$J$5,'IN-NX'!$D$7=D294),"x","")</f>
        <v/>
      </c>
      <c r="AB294" s="85" t="str">
        <f>IF(AND(OR(LEFT(TH!N294,2)="15",LEFT(TH!O294,2)="15"),'152-CT'!$J$8=TH!F294),"x","")</f>
        <v/>
      </c>
      <c r="AC294" s="85" t="str">
        <f>IF(AND(OR(LEFT(TH!N294,2)="15",LEFT(TH!O294,2)="15"),TK!$E$7=TH!F294),"x","")</f>
        <v/>
      </c>
      <c r="AD294" s="85" t="str">
        <f>IF(AND(N294="1521",MONTH(C294)='BK-NL'!$M$11),"x","")</f>
        <v/>
      </c>
    </row>
    <row r="295" spans="1:30" ht="15.75" customHeight="1">
      <c r="A295" s="343" t="str">
        <f>IF(B295&lt;&gt;"",IF(AND(B295='IN-TC'!$S$4,OR(TH!N295="1111",TH!O295="1111")),TH!D295,""),"")</f>
        <v/>
      </c>
      <c r="B295" s="63">
        <f t="shared" si="52"/>
        <v>1</v>
      </c>
      <c r="C295" s="64">
        <v>42391</v>
      </c>
      <c r="D295" s="64" t="s">
        <v>709</v>
      </c>
      <c r="E295" s="64">
        <v>42391</v>
      </c>
      <c r="F295" s="67" t="s">
        <v>769</v>
      </c>
      <c r="G295" s="67" t="s">
        <v>929</v>
      </c>
      <c r="H295" s="74" t="s">
        <v>740</v>
      </c>
      <c r="I295" s="447"/>
      <c r="J295" s="447"/>
      <c r="K295" s="438"/>
      <c r="L295" s="447"/>
      <c r="M295" s="65">
        <v>2964125</v>
      </c>
      <c r="N295" s="66" t="s">
        <v>99</v>
      </c>
      <c r="O295" s="66" t="s">
        <v>26</v>
      </c>
      <c r="P295" s="85" t="str">
        <f>IF(AND('331-CT'!$E$7=TH!H295,OR(N295="331",O295="331")),"x","")</f>
        <v/>
      </c>
      <c r="Q295" s="85" t="str">
        <f>IF(AND(B295='111'!$L$11,OR($N295=$Q$7,$O295=$Q$7)),"x","")</f>
        <v/>
      </c>
      <c r="R295" s="85" t="str">
        <f>IF(AND($N295=$Q$7,$B295&lt;'111'!$L$11),"x","")</f>
        <v/>
      </c>
      <c r="S295" s="85" t="str">
        <f>IF(AND($O295=$Q$7,$B295&lt;'111'!$L$11),"x","")</f>
        <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
      </c>
      <c r="W295" s="85" t="str">
        <f>IF(AND('341-CT'!$H$9=H295,OR(LEFT(N295,3)=$W$7,LEFT(O295,3)=$W$7)),"x","")</f>
        <v/>
      </c>
      <c r="X295" s="85" t="str">
        <f>IF(OR(TH!N295=TH!$X$7,O295=TH!$X$7),"x","")</f>
        <v/>
      </c>
      <c r="Y295" s="85" t="str">
        <f>IF(AND(OR(N295="131",O295="131"),H295='131-CT'!$H$9),"x","")</f>
        <v/>
      </c>
      <c r="Z295" s="85"/>
      <c r="AA295" s="85" t="str">
        <f>IF(AND(MONTH(E295)='IN-NX'!$J$5,'IN-NX'!$D$7=D295),"x","")</f>
        <v/>
      </c>
      <c r="AB295" s="85" t="str">
        <f>IF(AND(OR(LEFT(TH!N295,2)="15",LEFT(TH!O295,2)="15"),'152-CT'!$J$8=TH!F295),"x","")</f>
        <v/>
      </c>
      <c r="AC295" s="85" t="str">
        <f>IF(AND(OR(LEFT(TH!N295,2)="15",LEFT(TH!O295,2)="15"),TK!$E$7=TH!F295),"x","")</f>
        <v/>
      </c>
      <c r="AD295" s="85" t="str">
        <f>IF(AND(N295="1521",MONTH(C295)='BK-NL'!$M$11),"x","")</f>
        <v/>
      </c>
    </row>
    <row r="296" spans="1:30" ht="15.75" customHeight="1">
      <c r="A296" s="343" t="str">
        <f>IF(B296&lt;&gt;"",IF(AND(B296='IN-TC'!$S$4,OR(TH!N296="1111",TH!O296="1111")),TH!D296,""),"")</f>
        <v/>
      </c>
      <c r="B296" s="63">
        <f t="shared" si="52"/>
        <v>1</v>
      </c>
      <c r="C296" s="64">
        <v>42392</v>
      </c>
      <c r="D296" s="64" t="s">
        <v>706</v>
      </c>
      <c r="E296" s="64">
        <v>42392</v>
      </c>
      <c r="F296" s="67" t="s">
        <v>747</v>
      </c>
      <c r="G296" s="67" t="s">
        <v>930</v>
      </c>
      <c r="H296" s="74"/>
      <c r="I296" s="447"/>
      <c r="J296" s="447"/>
      <c r="K296" s="438"/>
      <c r="L296" s="447"/>
      <c r="M296" s="65">
        <v>4172</v>
      </c>
      <c r="N296" s="66" t="s">
        <v>26</v>
      </c>
      <c r="O296" s="66" t="s">
        <v>43</v>
      </c>
      <c r="P296" s="85" t="str">
        <f>IF(AND('331-CT'!$E$7=TH!H296,OR(N296="331",O296="331")),"x","")</f>
        <v/>
      </c>
      <c r="Q296" s="85" t="str">
        <f>IF(AND(B296='111'!$L$11,OR($N296=$Q$7,$O296=$Q$7)),"x","")</f>
        <v/>
      </c>
      <c r="R296" s="85" t="str">
        <f>IF(AND($N296=$Q$7,$B296&lt;'111'!$L$11),"x","")</f>
        <v/>
      </c>
      <c r="S296" s="85" t="str">
        <f>IF(AND($O296=$Q$7,$B296&lt;'111'!$L$11),"x","")</f>
        <v/>
      </c>
      <c r="T296" s="85" t="str">
        <f>IF(ISERROR(FIND('112'!$M$9,G296,1)),"",IF((AND(FIND('112'!$M$9,G296,1)&gt;=1,B296='112'!$K$9,OR($N296='112'!$I$6,$O296='112'!$I$6))),"x",""))</f>
        <v/>
      </c>
      <c r="U296" s="85" t="str">
        <f>IF(ISERROR(FIND('112'!$M$9,G296,1)),"",IF((AND(LEFT(G296,2)=LEFT('112'!$M$9,2),B296&lt;'112'!$K$9,$N296='112'!$I$6)),"x",""))</f>
        <v/>
      </c>
      <c r="V296" s="85" t="str">
        <f>IF(ISERROR(FIND('112'!$M$9,G296,1)),"",IF((AND(RIGHT(G296,2)=RIGHT('112'!$M$9,2),B296&lt;'112'!$K$9,$O296='112'!$I$6)),"x",""))</f>
        <v/>
      </c>
      <c r="W296" s="85" t="str">
        <f>IF(AND('341-CT'!$H$9=H296,OR(LEFT(N296,3)=$W$7,LEFT(O296,3)=$W$7)),"x","")</f>
        <v/>
      </c>
      <c r="X296" s="85" t="str">
        <f>IF(OR(TH!N296=TH!$X$7,O296=TH!$X$7),"x","")</f>
        <v/>
      </c>
      <c r="Y296" s="85" t="str">
        <f>IF(AND(OR(N296="131",O296="131"),H296='131-CT'!$H$9),"x","")</f>
        <v/>
      </c>
      <c r="Z296" s="85"/>
      <c r="AA296" s="85" t="str">
        <f>IF(AND(MONTH(E296)='IN-NX'!$J$5,'IN-NX'!$D$7=D296),"x","")</f>
        <v/>
      </c>
      <c r="AB296" s="85" t="str">
        <f>IF(AND(OR(LEFT(TH!N296,2)="15",LEFT(TH!O296,2)="15"),'152-CT'!$J$8=TH!F296),"x","")</f>
        <v/>
      </c>
      <c r="AC296" s="85" t="str">
        <f>IF(AND(OR(LEFT(TH!N296,2)="15",LEFT(TH!O296,2)="15"),TK!$E$7=TH!F296),"x","")</f>
        <v/>
      </c>
      <c r="AD296" s="85" t="str">
        <f>IF(AND(N296="1521",MONTH(C296)='BK-NL'!$M$11),"x","")</f>
        <v/>
      </c>
    </row>
    <row r="297" spans="1:30" ht="15.75" customHeight="1">
      <c r="A297" s="343" t="str">
        <f>IF(B297&lt;&gt;"",IF(AND(B297='IN-TC'!$S$4,OR(TH!N297="1111",TH!O297="1111")),TH!D297,""),"")</f>
        <v/>
      </c>
      <c r="B297" s="63">
        <f t="shared" si="52"/>
        <v>1</v>
      </c>
      <c r="C297" s="64">
        <v>42392</v>
      </c>
      <c r="D297" s="64" t="s">
        <v>706</v>
      </c>
      <c r="E297" s="64">
        <v>42392</v>
      </c>
      <c r="F297" s="67" t="s">
        <v>749</v>
      </c>
      <c r="G297" s="67" t="s">
        <v>929</v>
      </c>
      <c r="H297" s="67"/>
      <c r="I297" s="447"/>
      <c r="J297" s="447"/>
      <c r="K297" s="438"/>
      <c r="L297" s="447"/>
      <c r="M297" s="65">
        <v>1541</v>
      </c>
      <c r="N297" s="66" t="s">
        <v>26</v>
      </c>
      <c r="O297" s="66" t="s">
        <v>43</v>
      </c>
      <c r="P297" s="85" t="str">
        <f>IF(AND('331-CT'!$E$7=TH!H297,OR(N297="331",O297="331")),"x","")</f>
        <v/>
      </c>
      <c r="Q297" s="85" t="str">
        <f>IF(AND(B297='111'!$L$11,OR($N297=$Q$7,$O297=$Q$7)),"x","")</f>
        <v/>
      </c>
      <c r="R297" s="85" t="str">
        <f>IF(AND($N297=$Q$7,$B297&lt;'111'!$L$11),"x","")</f>
        <v/>
      </c>
      <c r="S297" s="85" t="str">
        <f>IF(AND($O297=$Q$7,$B297&lt;'111'!$L$11),"x","")</f>
        <v/>
      </c>
      <c r="T297" s="85" t="str">
        <f>IF(ISERROR(FIND('112'!$M$9,G297,1)),"",IF((AND(FIND('112'!$M$9,G297,1)&gt;=1,B297='112'!$K$9,OR($N297='112'!$I$6,$O297='112'!$I$6))),"x",""))</f>
        <v/>
      </c>
      <c r="U297" s="85" t="str">
        <f>IF(ISERROR(FIND('112'!$M$9,G297,1)),"",IF((AND(LEFT(G297,2)=LEFT('112'!$M$9,2),B297&lt;'112'!$K$9,$N297='112'!$I$6)),"x",""))</f>
        <v/>
      </c>
      <c r="V297" s="85" t="str">
        <f>IF(ISERROR(FIND('112'!$M$9,G297,1)),"",IF((AND(RIGHT(G297,2)=RIGHT('112'!$M$9,2),B297&lt;'112'!$K$9,$O297='112'!$I$6)),"x",""))</f>
        <v/>
      </c>
      <c r="W297" s="85" t="str">
        <f>IF(AND('341-CT'!$H$9=H297,OR(LEFT(N297,3)=$W$7,LEFT(O297,3)=$W$7)),"x","")</f>
        <v/>
      </c>
      <c r="X297" s="85" t="str">
        <f>IF(OR(TH!N297=TH!$X$7,O297=TH!$X$7),"x","")</f>
        <v/>
      </c>
      <c r="Y297" s="85" t="str">
        <f>IF(AND(OR(N297="131",O297="131"),H297='131-CT'!$H$9),"x","")</f>
        <v/>
      </c>
      <c r="Z297" s="85"/>
      <c r="AA297" s="85" t="str">
        <f>IF(AND(MONTH(E297)='IN-NX'!$J$5,'IN-NX'!$D$7=D297),"x","")</f>
        <v/>
      </c>
      <c r="AB297" s="85" t="str">
        <f>IF(AND(OR(LEFT(TH!N297,2)="15",LEFT(TH!O297,2)="15"),'152-CT'!$J$8=TH!F297),"x","")</f>
        <v/>
      </c>
      <c r="AC297" s="85" t="str">
        <f>IF(AND(OR(LEFT(TH!N297,2)="15",LEFT(TH!O297,2)="15"),TK!$E$7=TH!F297),"x","")</f>
        <v/>
      </c>
      <c r="AD297" s="85" t="str">
        <f>IF(AND(N297="1521",MONTH(C297)='BK-NL'!$M$11),"x","")</f>
        <v/>
      </c>
    </row>
    <row r="298" spans="1:30" s="354" customFormat="1" ht="15.75" customHeight="1">
      <c r="A298" s="343" t="str">
        <f>IF(B298&lt;&gt;"",IF(AND(B298='IN-TC'!$S$4,OR(TH!N298="1111",TH!O298="1111")),TH!D298,""),"")</f>
        <v/>
      </c>
      <c r="B298" s="63">
        <f t="shared" si="52"/>
        <v>1</v>
      </c>
      <c r="C298" s="81">
        <f>E298</f>
        <v>42392</v>
      </c>
      <c r="D298" s="81" t="s">
        <v>915</v>
      </c>
      <c r="E298" s="81">
        <v>42392</v>
      </c>
      <c r="F298" s="82" t="s">
        <v>975</v>
      </c>
      <c r="G298" s="82"/>
      <c r="H298" s="83" t="s">
        <v>974</v>
      </c>
      <c r="I298" s="445"/>
      <c r="J298" s="445"/>
      <c r="K298" s="436"/>
      <c r="L298" s="445"/>
      <c r="M298" s="84">
        <v>500000000</v>
      </c>
      <c r="N298" s="85" t="s">
        <v>273</v>
      </c>
      <c r="O298" s="85" t="s">
        <v>63</v>
      </c>
      <c r="P298" s="85" t="str">
        <f>IF(AND('331-CT'!$E$7=TH!H298,OR(N298="331",O298="331")),"x","")</f>
        <v/>
      </c>
      <c r="Q298" s="85" t="str">
        <f>IF(AND(B298='111'!$L$11,OR($N298=$Q$7,$O298=$Q$7)),"x","")</f>
        <v>x</v>
      </c>
      <c r="R298" s="85" t="str">
        <f>IF(AND($N298=$Q$7,$B298&lt;'111'!$L$11),"x","")</f>
        <v/>
      </c>
      <c r="S298" s="85" t="str">
        <f>IF(AND($O298=$Q$7,$B298&lt;'111'!$L$11),"x","")</f>
        <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IF(AND('341-CT'!$H$9=H298,OR(LEFT(N298,3)=$W$7,LEFT(O298,3)=$W$7)),"x","")</f>
        <v/>
      </c>
      <c r="X298" s="85" t="str">
        <f>IF(OR(TH!N298=TH!$X$7,O298=TH!$X$7),"x","")</f>
        <v/>
      </c>
      <c r="Y298" s="85" t="str">
        <f>IF(AND(OR(N298="131",O298="131"),H298='131-CT'!$H$9),"x","")</f>
        <v/>
      </c>
      <c r="Z298" s="85"/>
      <c r="AA298" s="85" t="str">
        <f>IF(AND(MONTH(E298)='IN-NX'!$J$5,'IN-NX'!$D$7=D298),"x","")</f>
        <v/>
      </c>
      <c r="AB298" s="85" t="str">
        <f>IF(AND(OR(LEFT(TH!N298,2)="15",LEFT(TH!O298,2)="15"),'152-CT'!$J$8=TH!F298),"x","")</f>
        <v/>
      </c>
      <c r="AC298" s="85" t="str">
        <f>IF(AND(OR(LEFT(TH!N298,2)="15",LEFT(TH!O298,2)="15"),TK!$E$7=TH!F298),"x","")</f>
        <v/>
      </c>
      <c r="AD298" s="85" t="str">
        <f>IF(AND(N298="1521",MONTH(C298)='BK-NL'!$M$11),"x","")</f>
        <v/>
      </c>
    </row>
    <row r="299" spans="1:30" ht="15.75" customHeight="1">
      <c r="A299" s="343" t="str">
        <f>IF(B299&lt;&gt;"",IF(AND(B299='IN-TC'!$S$4,OR(TH!N299="1111",TH!O299="1111")),TH!D299,""),"")</f>
        <v/>
      </c>
      <c r="B299" s="63">
        <f t="shared" si="52"/>
        <v>1</v>
      </c>
      <c r="C299" s="64">
        <v>42393</v>
      </c>
      <c r="D299" s="64" t="s">
        <v>916</v>
      </c>
      <c r="E299" s="64">
        <v>42393</v>
      </c>
      <c r="F299" s="67" t="s">
        <v>801</v>
      </c>
      <c r="G299" s="67" t="s">
        <v>848</v>
      </c>
      <c r="H299" s="74" t="s">
        <v>819</v>
      </c>
      <c r="I299" s="447"/>
      <c r="J299" s="447"/>
      <c r="K299" s="438"/>
      <c r="L299" s="447"/>
      <c r="M299" s="65">
        <v>1137764</v>
      </c>
      <c r="N299" s="66" t="s">
        <v>101</v>
      </c>
      <c r="O299" s="66" t="s">
        <v>63</v>
      </c>
      <c r="P299" s="85" t="str">
        <f>IF(AND('331-CT'!$E$7=TH!H299,OR(N299="331",O299="331")),"x","")</f>
        <v/>
      </c>
      <c r="Q299" s="85" t="str">
        <f>IF(AND(B299='111'!$L$11,OR($N299=$Q$7,$O299=$Q$7)),"x","")</f>
        <v>x</v>
      </c>
      <c r="R299" s="85" t="str">
        <f>IF(AND($N299=$Q$7,$B299&lt;'111'!$L$11),"x","")</f>
        <v/>
      </c>
      <c r="S299" s="85" t="str">
        <f>IF(AND($O299=$Q$7,$B299&lt;'111'!$L$11),"x","")</f>
        <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IF(AND('341-CT'!$H$9=H299,OR(LEFT(N299,3)=$W$7,LEFT(O299,3)=$W$7)),"x","")</f>
        <v/>
      </c>
      <c r="X299" s="85" t="str">
        <f>IF(OR(TH!N299=TH!$X$7,O299=TH!$X$7),"x","")</f>
        <v/>
      </c>
      <c r="Y299" s="85" t="str">
        <f>IF(AND(OR(N299="131",O299="131"),H299='131-CT'!$H$9),"x","")</f>
        <v/>
      </c>
      <c r="Z299" s="85"/>
      <c r="AA299" s="85" t="str">
        <f>IF(AND(MONTH(E299)='IN-NX'!$J$5,'IN-NX'!$D$7=D299),"x","")</f>
        <v/>
      </c>
      <c r="AB299" s="85" t="str">
        <f>IF(AND(OR(LEFT(TH!N299,2)="15",LEFT(TH!O299,2)="15"),'152-CT'!$J$8=TH!F299),"x","")</f>
        <v/>
      </c>
      <c r="AC299" s="85" t="str">
        <f>IF(AND(OR(LEFT(TH!N299,2)="15",LEFT(TH!O299,2)="15"),TK!$E$7=TH!F299),"x","")</f>
        <v/>
      </c>
      <c r="AD299" s="85" t="str">
        <f>IF(AND(N299="1521",MONTH(C299)='BK-NL'!$M$11),"x","")</f>
        <v/>
      </c>
    </row>
    <row r="300" spans="1:30" ht="15.75" customHeight="1">
      <c r="A300" s="343" t="str">
        <f>IF(B300&lt;&gt;"",IF(AND(B300='IN-TC'!$S$4,OR(TH!N300="1111",TH!O300="1111")),TH!D300,""),"")</f>
        <v/>
      </c>
      <c r="B300" s="63">
        <f t="shared" si="52"/>
        <v>1</v>
      </c>
      <c r="C300" s="64">
        <v>42393</v>
      </c>
      <c r="D300" s="64" t="s">
        <v>916</v>
      </c>
      <c r="E300" s="64">
        <v>42393</v>
      </c>
      <c r="F300" s="67" t="s">
        <v>802</v>
      </c>
      <c r="G300" s="67" t="s">
        <v>848</v>
      </c>
      <c r="H300" s="353" t="s">
        <v>819</v>
      </c>
      <c r="I300" s="451"/>
      <c r="J300" s="451"/>
      <c r="K300" s="442"/>
      <c r="L300" s="451"/>
      <c r="M300" s="65">
        <v>113776</v>
      </c>
      <c r="N300" s="66" t="s">
        <v>9</v>
      </c>
      <c r="O300" s="66" t="s">
        <v>63</v>
      </c>
      <c r="P300" s="85" t="str">
        <f>IF(AND('331-CT'!$E$7=TH!H300,OR(N300="331",O300="331")),"x","")</f>
        <v/>
      </c>
      <c r="Q300" s="85" t="str">
        <f>IF(AND(B300='111'!$L$11,OR($N300=$Q$7,$O300=$Q$7)),"x","")</f>
        <v>x</v>
      </c>
      <c r="R300" s="85" t="str">
        <f>IF(AND($N300=$Q$7,$B300&lt;'111'!$L$11),"x","")</f>
        <v/>
      </c>
      <c r="S300" s="85" t="str">
        <f>IF(AND($O300=$Q$7,$B300&lt;'111'!$L$11),"x","")</f>
        <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IF(AND('341-CT'!$H$9=H300,OR(LEFT(N300,3)=$W$7,LEFT(O300,3)=$W$7)),"x","")</f>
        <v/>
      </c>
      <c r="X300" s="85" t="str">
        <f>IF(OR(TH!N300=TH!$X$7,O300=TH!$X$7),"x","")</f>
        <v/>
      </c>
      <c r="Y300" s="85" t="str">
        <f>IF(AND(OR(N300="131",O300="131"),H300='131-CT'!$H$9),"x","")</f>
        <v/>
      </c>
      <c r="Z300" s="85"/>
      <c r="AA300" s="85" t="str">
        <f>IF(AND(MONTH(E300)='IN-NX'!$J$5,'IN-NX'!$D$7=D300),"x","")</f>
        <v/>
      </c>
      <c r="AB300" s="85" t="str">
        <f>IF(AND(OR(LEFT(TH!N300,2)="15",LEFT(TH!O300,2)="15"),'152-CT'!$J$8=TH!F300),"x","")</f>
        <v/>
      </c>
      <c r="AC300" s="85" t="str">
        <f>IF(AND(OR(LEFT(TH!N300,2)="15",LEFT(TH!O300,2)="15"),TK!$E$7=TH!F300),"x","")</f>
        <v/>
      </c>
      <c r="AD300" s="85" t="str">
        <f>IF(AND(N300="1521",MONTH(C300)='BK-NL'!$M$11),"x","")</f>
        <v/>
      </c>
    </row>
    <row r="301" spans="1:30" ht="15.75" customHeight="1">
      <c r="A301" s="343" t="str">
        <f>IF(B301&lt;&gt;"",IF(AND(B301='IN-TC'!$S$4,OR(TH!N301="1111",TH!O301="1111")),TH!D301,""),"")</f>
        <v/>
      </c>
      <c r="B301" s="63">
        <f t="shared" si="52"/>
        <v>1</v>
      </c>
      <c r="C301" s="64">
        <v>42394</v>
      </c>
      <c r="D301" s="64" t="s">
        <v>709</v>
      </c>
      <c r="E301" s="64">
        <v>42394</v>
      </c>
      <c r="F301" s="67" t="s">
        <v>714</v>
      </c>
      <c r="G301" s="67" t="s">
        <v>930</v>
      </c>
      <c r="H301" s="74"/>
      <c r="I301" s="447"/>
      <c r="J301" s="447"/>
      <c r="K301" s="438">
        <v>15</v>
      </c>
      <c r="L301" s="447">
        <v>22370</v>
      </c>
      <c r="M301" s="84">
        <f>ROUND(K301*L301,0)</f>
        <v>335550</v>
      </c>
      <c r="N301" s="66" t="s">
        <v>101</v>
      </c>
      <c r="O301" s="66" t="s">
        <v>267</v>
      </c>
      <c r="P301" s="85" t="str">
        <f>IF(AND('331-CT'!$E$7=TH!H301,OR(N301="331",O301="331")),"x","")</f>
        <v/>
      </c>
      <c r="Q301" s="85" t="str">
        <f>IF(AND(B301='111'!$L$11,OR($N301=$Q$7,$O301=$Q$7)),"x","")</f>
        <v/>
      </c>
      <c r="R301" s="85" t="str">
        <f>IF(AND($N301=$Q$7,$B301&lt;'111'!$L$11),"x","")</f>
        <v/>
      </c>
      <c r="S301" s="85" t="str">
        <f>IF(AND($O301=$Q$7,$B301&lt;'111'!$L$11),"x","")</f>
        <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IF(AND('341-CT'!$H$9=H301,OR(LEFT(N301,3)=$W$7,LEFT(O301,3)=$W$7)),"x","")</f>
        <v/>
      </c>
      <c r="X301" s="85" t="str">
        <f>IF(OR(TH!N301=TH!$X$7,O301=TH!$X$7),"x","")</f>
        <v/>
      </c>
      <c r="Y301" s="85" t="str">
        <f>IF(AND(OR(N301="131",O301="131"),H301='131-CT'!$H$9),"x","")</f>
        <v/>
      </c>
      <c r="Z301" s="85"/>
      <c r="AA301" s="85" t="str">
        <f>IF(AND(MONTH(E301)='IN-NX'!$J$5,'IN-NX'!$D$7=D301),"x","")</f>
        <v/>
      </c>
      <c r="AB301" s="85" t="str">
        <f>IF(AND(OR(LEFT(TH!N301,2)="15",LEFT(TH!O301,2)="15"),'152-CT'!$J$8=TH!F301),"x","")</f>
        <v/>
      </c>
      <c r="AC301" s="85" t="str">
        <f>IF(AND(OR(LEFT(TH!N301,2)="15",LEFT(TH!O301,2)="15"),TK!$E$7=TH!F301),"x","")</f>
        <v/>
      </c>
      <c r="AD301" s="85" t="str">
        <f>IF(AND(N301="1521",MONTH(C301)='BK-NL'!$M$11),"x","")</f>
        <v/>
      </c>
    </row>
    <row r="302" spans="1:30" ht="15.75" customHeight="1">
      <c r="A302" s="343" t="str">
        <f>IF(B302&lt;&gt;"",IF(AND(B302='IN-TC'!$S$4,OR(TH!N302="1111",TH!O302="1111")),TH!D302,""),"")</f>
        <v/>
      </c>
      <c r="B302" s="63">
        <f t="shared" si="52"/>
        <v>1</v>
      </c>
      <c r="C302" s="64">
        <v>42394</v>
      </c>
      <c r="D302" s="64" t="s">
        <v>709</v>
      </c>
      <c r="E302" s="64">
        <v>42394</v>
      </c>
      <c r="F302" s="67" t="s">
        <v>715</v>
      </c>
      <c r="G302" s="67" t="s">
        <v>930</v>
      </c>
      <c r="H302" s="74"/>
      <c r="I302" s="447"/>
      <c r="J302" s="447"/>
      <c r="K302" s="438">
        <v>1.5</v>
      </c>
      <c r="L302" s="447">
        <v>22370</v>
      </c>
      <c r="M302" s="84">
        <f>ROUND(K302*L302,0)</f>
        <v>33555</v>
      </c>
      <c r="N302" s="66" t="s">
        <v>9</v>
      </c>
      <c r="O302" s="66" t="s">
        <v>267</v>
      </c>
      <c r="P302" s="85" t="str">
        <f>IF(AND('331-CT'!$E$7=TH!H302,OR(N302="331",O302="331")),"x","")</f>
        <v/>
      </c>
      <c r="Q302" s="85" t="str">
        <f>IF(AND(B302='111'!$L$11,OR($N302=$Q$7,$O302=$Q$7)),"x","")</f>
        <v/>
      </c>
      <c r="R302" s="85" t="str">
        <f>IF(AND($N302=$Q$7,$B302&lt;'111'!$L$11),"x","")</f>
        <v/>
      </c>
      <c r="S302" s="85" t="str">
        <f>IF(AND($O302=$Q$7,$B302&lt;'111'!$L$11),"x","")</f>
        <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IF(AND('341-CT'!$H$9=H302,OR(LEFT(N302,3)=$W$7,LEFT(O302,3)=$W$7)),"x","")</f>
        <v/>
      </c>
      <c r="X302" s="85" t="str">
        <f>IF(OR(TH!N302=TH!$X$7,O302=TH!$X$7),"x","")</f>
        <v/>
      </c>
      <c r="Y302" s="85" t="str">
        <f>IF(AND(OR(N302="131",O302="131"),H302='131-CT'!$H$9),"x","")</f>
        <v/>
      </c>
      <c r="Z302" s="85"/>
      <c r="AA302" s="85" t="str">
        <f>IF(AND(MONTH(E302)='IN-NX'!$J$5,'IN-NX'!$D$7=D302),"x","")</f>
        <v/>
      </c>
      <c r="AB302" s="85" t="str">
        <f>IF(AND(OR(LEFT(TH!N302,2)="15",LEFT(TH!O302,2)="15"),'152-CT'!$J$8=TH!F302),"x","")</f>
        <v/>
      </c>
      <c r="AC302" s="85" t="str">
        <f>IF(AND(OR(LEFT(TH!N302,2)="15",LEFT(TH!O302,2)="15"),TK!$E$7=TH!F302),"x","")</f>
        <v/>
      </c>
      <c r="AD302" s="85" t="str">
        <f>IF(AND(N302="1521",MONTH(C302)='BK-NL'!$M$11),"x","")</f>
        <v/>
      </c>
    </row>
    <row r="303" spans="1:30" ht="15.75" customHeight="1">
      <c r="A303" s="343" t="str">
        <f>IF(B303&lt;&gt;"",IF(AND(B303='IN-TC'!$S$4,OR(TH!N303="1111",TH!O303="1111")),TH!D303,""),"")</f>
        <v/>
      </c>
      <c r="B303" s="63">
        <f t="shared" si="52"/>
        <v>1</v>
      </c>
      <c r="C303" s="64">
        <v>42394</v>
      </c>
      <c r="D303" s="64" t="s">
        <v>918</v>
      </c>
      <c r="E303" s="64">
        <v>42394</v>
      </c>
      <c r="F303" s="67" t="s">
        <v>746</v>
      </c>
      <c r="G303" s="67" t="s">
        <v>930</v>
      </c>
      <c r="H303" s="74" t="s">
        <v>230</v>
      </c>
      <c r="I303" s="447"/>
      <c r="J303" s="447"/>
      <c r="K303" s="438"/>
      <c r="L303" s="447"/>
      <c r="M303" s="65">
        <v>2168920000</v>
      </c>
      <c r="N303" s="66" t="s">
        <v>26</v>
      </c>
      <c r="O303" s="66" t="s">
        <v>63</v>
      </c>
      <c r="P303" s="85" t="str">
        <f>IF(AND('331-CT'!$E$7=TH!H303,OR(N303="331",O303="331")),"x","")</f>
        <v/>
      </c>
      <c r="Q303" s="85" t="str">
        <f>IF(AND(B303='111'!$L$11,OR($N303=$Q$7,$O303=$Q$7)),"x","")</f>
        <v>x</v>
      </c>
      <c r="R303" s="85" t="str">
        <f>IF(AND($N303=$Q$7,$B303&lt;'111'!$L$11),"x","")</f>
        <v/>
      </c>
      <c r="S303" s="85" t="str">
        <f>IF(AND($O303=$Q$7,$B303&lt;'111'!$L$11),"x","")</f>
        <v/>
      </c>
      <c r="T303" s="85" t="str">
        <f>IF(ISERROR(FIND('112'!$M$9,G303,1)),"",IF((AND(FIND('112'!$M$9,G303,1)&gt;=1,B303='112'!$K$9,OR($N303='112'!$I$6,$O303='112'!$I$6))),"x",""))</f>
        <v/>
      </c>
      <c r="U303" s="85" t="str">
        <f>IF(ISERROR(FIND('112'!$M$9,G303,1)),"",IF((AND(LEFT(G303,2)=LEFT('112'!$M$9,2),B303&lt;'112'!$K$9,$N303='112'!$I$6)),"x",""))</f>
        <v/>
      </c>
      <c r="V303" s="85" t="str">
        <f>IF(ISERROR(FIND('112'!$M$9,G303,1)),"",IF((AND(RIGHT(G303,2)=RIGHT('112'!$M$9,2),B303&lt;'112'!$K$9,$O303='112'!$I$6)),"x",""))</f>
        <v/>
      </c>
      <c r="W303" s="85" t="str">
        <f>IF(AND('341-CT'!$H$9=H303,OR(LEFT(N303,3)=$W$7,LEFT(O303,3)=$W$7)),"x","")</f>
        <v/>
      </c>
      <c r="X303" s="85" t="str">
        <f>IF(OR(TH!N303=TH!$X$7,O303=TH!$X$7),"x","")</f>
        <v/>
      </c>
      <c r="Y303" s="85" t="str">
        <f>IF(AND(OR(N303="131",O303="131"),H303='131-CT'!$H$9),"x","")</f>
        <v/>
      </c>
      <c r="Z303" s="85"/>
      <c r="AA303" s="85" t="str">
        <f>IF(AND(MONTH(E303)='IN-NX'!$J$5,'IN-NX'!$D$7=D303),"x","")</f>
        <v/>
      </c>
      <c r="AB303" s="85" t="str">
        <f>IF(AND(OR(LEFT(TH!N303,2)="15",LEFT(TH!O303,2)="15"),'152-CT'!$J$8=TH!F303),"x","")</f>
        <v/>
      </c>
      <c r="AC303" s="85" t="str">
        <f>IF(AND(OR(LEFT(TH!N303,2)="15",LEFT(TH!O303,2)="15"),TK!$E$7=TH!F303),"x","")</f>
        <v/>
      </c>
      <c r="AD303" s="85" t="str">
        <f>IF(AND(N303="1521",MONTH(C303)='BK-NL'!$M$11),"x","")</f>
        <v/>
      </c>
    </row>
    <row r="304" spans="1:30" ht="15.75" customHeight="1">
      <c r="A304" s="343" t="str">
        <f>IF(B304&lt;&gt;"",IF(AND(B304='IN-TC'!$S$4,OR(TH!N304="1111",TH!O304="1111")),TH!D304,""),"")</f>
        <v/>
      </c>
      <c r="B304" s="63">
        <f t="shared" si="52"/>
        <v>1</v>
      </c>
      <c r="C304" s="64">
        <v>42394</v>
      </c>
      <c r="D304" s="64" t="s">
        <v>706</v>
      </c>
      <c r="E304" s="64">
        <v>42394</v>
      </c>
      <c r="F304" s="67" t="s">
        <v>708</v>
      </c>
      <c r="G304" s="67" t="s">
        <v>930</v>
      </c>
      <c r="H304" s="74"/>
      <c r="I304" s="447"/>
      <c r="J304" s="447"/>
      <c r="K304" s="438">
        <v>97000</v>
      </c>
      <c r="L304" s="447">
        <v>22360</v>
      </c>
      <c r="M304" s="84">
        <f>ROUND(K304*L304,0)</f>
        <v>2168920000</v>
      </c>
      <c r="N304" s="66" t="s">
        <v>267</v>
      </c>
      <c r="O304" s="66" t="s">
        <v>26</v>
      </c>
      <c r="P304" s="85" t="str">
        <f>IF(AND('331-CT'!$E$7=TH!H304,OR(N304="331",O304="331")),"x","")</f>
        <v/>
      </c>
      <c r="Q304" s="85" t="str">
        <f>IF(AND(B304='111'!$L$11,OR($N304=$Q$7,$O304=$Q$7)),"x","")</f>
        <v/>
      </c>
      <c r="R304" s="85" t="str">
        <f>IF(AND($N304=$Q$7,$B304&lt;'111'!$L$11),"x","")</f>
        <v/>
      </c>
      <c r="S304" s="85" t="str">
        <f>IF(AND($O304=$Q$7,$B304&lt;'111'!$L$11),"x","")</f>
        <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
      </c>
      <c r="W304" s="85" t="str">
        <f>IF(AND('341-CT'!$H$9=H304,OR(LEFT(N304,3)=$W$7,LEFT(O304,3)=$W$7)),"x","")</f>
        <v/>
      </c>
      <c r="X304" s="85" t="str">
        <f>IF(OR(TH!N304=TH!$X$7,O304=TH!$X$7),"x","")</f>
        <v/>
      </c>
      <c r="Y304" s="85" t="str">
        <f>IF(AND(OR(N304="131",O304="131"),H304='131-CT'!$H$9),"x","")</f>
        <v/>
      </c>
      <c r="Z304" s="85"/>
      <c r="AA304" s="85" t="str">
        <f>IF(AND(MONTH(E304)='IN-NX'!$J$5,'IN-NX'!$D$7=D304),"x","")</f>
        <v/>
      </c>
      <c r="AB304" s="85" t="str">
        <f>IF(AND(OR(LEFT(TH!N304,2)="15",LEFT(TH!O304,2)="15"),'152-CT'!$J$8=TH!F304),"x","")</f>
        <v/>
      </c>
      <c r="AC304" s="85" t="str">
        <f>IF(AND(OR(LEFT(TH!N304,2)="15",LEFT(TH!O304,2)="15"),TK!$E$7=TH!F304),"x","")</f>
        <v/>
      </c>
      <c r="AD304" s="85" t="str">
        <f>IF(AND(N304="1521",MONTH(C304)='BK-NL'!$M$11),"x","")</f>
        <v/>
      </c>
    </row>
    <row r="305" spans="1:30" ht="15.75" customHeight="1">
      <c r="A305" s="343" t="str">
        <f>IF(B305&lt;&gt;"",IF(AND(B305='IN-TC'!$S$4,OR(TH!N305="1111",TH!O305="1111")),TH!D305,""),"")</f>
        <v/>
      </c>
      <c r="B305" s="63">
        <f t="shared" si="52"/>
        <v>1</v>
      </c>
      <c r="C305" s="64">
        <v>42394</v>
      </c>
      <c r="D305" s="64" t="s">
        <v>709</v>
      </c>
      <c r="E305" s="64">
        <v>42394</v>
      </c>
      <c r="F305" s="67" t="s">
        <v>759</v>
      </c>
      <c r="G305" s="67" t="s">
        <v>930</v>
      </c>
      <c r="H305" s="353" t="s">
        <v>725</v>
      </c>
      <c r="I305" s="447"/>
      <c r="J305" s="447"/>
      <c r="K305" s="438"/>
      <c r="L305" s="447"/>
      <c r="M305" s="65">
        <v>2171830</v>
      </c>
      <c r="N305" s="66" t="s">
        <v>99</v>
      </c>
      <c r="O305" s="66" t="s">
        <v>26</v>
      </c>
      <c r="P305" s="85" t="str">
        <f>IF(AND('331-CT'!$E$7=TH!H305,OR(N305="331",O305="331")),"x","")</f>
        <v/>
      </c>
      <c r="Q305" s="85" t="str">
        <f>IF(AND(B305='111'!$L$11,OR($N305=$Q$7,$O305=$Q$7)),"x","")</f>
        <v/>
      </c>
      <c r="R305" s="85" t="str">
        <f>IF(AND($N305=$Q$7,$B305&lt;'111'!$L$11),"x","")</f>
        <v/>
      </c>
      <c r="S305" s="85" t="str">
        <f>IF(AND($O305=$Q$7,$B305&lt;'111'!$L$11),"x","")</f>
        <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
      </c>
      <c r="W305" s="85" t="str">
        <f>IF(AND('341-CT'!$H$9=H305,OR(LEFT(N305,3)=$W$7,LEFT(O305,3)=$W$7)),"x","")</f>
        <v/>
      </c>
      <c r="X305" s="85" t="str">
        <f>IF(OR(TH!N305=TH!$X$7,O305=TH!$X$7),"x","")</f>
        <v/>
      </c>
      <c r="Y305" s="85" t="str">
        <f>IF(AND(OR(N305="131",O305="131"),H305='131-CT'!$H$9),"x","")</f>
        <v/>
      </c>
      <c r="Z305" s="85"/>
      <c r="AA305" s="85" t="str">
        <f>IF(AND(MONTH(E305)='IN-NX'!$J$5,'IN-NX'!$D$7=D305),"x","")</f>
        <v/>
      </c>
      <c r="AB305" s="85" t="str">
        <f>IF(AND(OR(LEFT(TH!N305,2)="15",LEFT(TH!O305,2)="15"),'152-CT'!$J$8=TH!F305),"x","")</f>
        <v/>
      </c>
      <c r="AC305" s="85" t="str">
        <f>IF(AND(OR(LEFT(TH!N305,2)="15",LEFT(TH!O305,2)="15"),TK!$E$7=TH!F305),"x","")</f>
        <v/>
      </c>
      <c r="AD305" s="85" t="str">
        <f>IF(AND(N305="1521",MONTH(C305)='BK-NL'!$M$11),"x","")</f>
        <v/>
      </c>
    </row>
    <row r="306" spans="1:30" ht="15.75" customHeight="1">
      <c r="A306" s="343" t="str">
        <f>IF(B306&lt;&gt;"",IF(AND(B306='IN-TC'!$S$4,OR(TH!N306="1111",TH!O306="1111")),TH!D306,""),"")</f>
        <v/>
      </c>
      <c r="B306" s="63">
        <f t="shared" si="52"/>
        <v>1</v>
      </c>
      <c r="C306" s="64">
        <v>42394</v>
      </c>
      <c r="D306" s="64" t="s">
        <v>709</v>
      </c>
      <c r="E306" s="64">
        <v>42394</v>
      </c>
      <c r="F306" s="352" t="s">
        <v>724</v>
      </c>
      <c r="G306" s="67" t="s">
        <v>930</v>
      </c>
      <c r="H306" s="353" t="s">
        <v>725</v>
      </c>
      <c r="I306" s="451"/>
      <c r="J306" s="451"/>
      <c r="K306" s="442">
        <v>97000</v>
      </c>
      <c r="L306" s="451">
        <v>22360</v>
      </c>
      <c r="M306" s="84">
        <f>ROUND(K306*L306,0)</f>
        <v>2168920000</v>
      </c>
      <c r="N306" s="66" t="s">
        <v>261</v>
      </c>
      <c r="O306" s="66" t="s">
        <v>267</v>
      </c>
      <c r="P306" s="85" t="str">
        <f>IF(AND('331-CT'!$E$7=TH!H306,OR(N306="331",O306="331")),"x","")</f>
        <v/>
      </c>
      <c r="Q306" s="85" t="str">
        <f>IF(AND(B306='111'!$L$11,OR($N306=$Q$7,$O306=$Q$7)),"x","")</f>
        <v/>
      </c>
      <c r="R306" s="85" t="str">
        <f>IF(AND($N306=$Q$7,$B306&lt;'111'!$L$11),"x","")</f>
        <v/>
      </c>
      <c r="S306" s="85" t="str">
        <f>IF(AND($O306=$Q$7,$B306&lt;'111'!$L$11),"x","")</f>
        <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IF(AND('341-CT'!$H$9=H306,OR(LEFT(N306,3)=$W$7,LEFT(O306,3)=$W$7)),"x","")</f>
        <v/>
      </c>
      <c r="X306" s="85" t="str">
        <f>IF(OR(TH!N306=TH!$X$7,O306=TH!$X$7),"x","")</f>
        <v/>
      </c>
      <c r="Y306" s="85" t="str">
        <f>IF(AND(OR(N306="131",O306="131"),H306='131-CT'!$H$9),"x","")</f>
        <v/>
      </c>
      <c r="Z306" s="85"/>
      <c r="AA306" s="85" t="str">
        <f>IF(AND(MONTH(E306)='IN-NX'!$J$5,'IN-NX'!$D$7=D306),"x","")</f>
        <v/>
      </c>
      <c r="AB306" s="85" t="str">
        <f>IF(AND(OR(LEFT(TH!N306,2)="15",LEFT(TH!O306,2)="15"),'152-CT'!$J$8=TH!F306),"x","")</f>
        <v/>
      </c>
      <c r="AC306" s="85" t="str">
        <f>IF(AND(OR(LEFT(TH!N306,2)="15",LEFT(TH!O306,2)="15"),TK!$E$7=TH!F306),"x","")</f>
        <v/>
      </c>
      <c r="AD306" s="85" t="str">
        <f>IF(AND(N306="1521",MONTH(C306)='BK-NL'!$M$11),"x","")</f>
        <v/>
      </c>
    </row>
    <row r="307" spans="1:30" ht="15.75" customHeight="1">
      <c r="A307" s="343" t="str">
        <f>IF(B307&lt;&gt;"",IF(AND(B307='IN-TC'!$S$4,OR(TH!N307="1111",TH!O307="1111")),TH!D307,""),"")</f>
        <v/>
      </c>
      <c r="B307" s="63">
        <f t="shared" si="52"/>
        <v>1</v>
      </c>
      <c r="C307" s="64">
        <v>42394</v>
      </c>
      <c r="D307" s="64" t="s">
        <v>585</v>
      </c>
      <c r="E307" s="64">
        <v>42394</v>
      </c>
      <c r="F307" s="352" t="s">
        <v>743</v>
      </c>
      <c r="G307" s="67" t="s">
        <v>930</v>
      </c>
      <c r="H307" s="353" t="s">
        <v>725</v>
      </c>
      <c r="I307" s="447"/>
      <c r="J307" s="447"/>
      <c r="K307" s="438"/>
      <c r="L307" s="447"/>
      <c r="M307" s="65">
        <v>51895000</v>
      </c>
      <c r="N307" s="66" t="s">
        <v>99</v>
      </c>
      <c r="O307" s="66" t="s">
        <v>261</v>
      </c>
      <c r="P307" s="85" t="str">
        <f>IF(AND('331-CT'!$E$7=TH!H307,OR(N307="331",O307="331")),"x","")</f>
        <v/>
      </c>
      <c r="Q307" s="85" t="str">
        <f>IF(AND(B307='111'!$L$11,OR($N307=$Q$7,$O307=$Q$7)),"x","")</f>
        <v/>
      </c>
      <c r="R307" s="85" t="str">
        <f>IF(AND($N307=$Q$7,$B307&lt;'111'!$L$11),"x","")</f>
        <v/>
      </c>
      <c r="S307" s="85" t="str">
        <f>IF(AND($O307=$Q$7,$B307&lt;'111'!$L$11),"x","")</f>
        <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IF(AND('341-CT'!$H$9=H307,OR(LEFT(N307,3)=$W$7,LEFT(O307,3)=$W$7)),"x","")</f>
        <v/>
      </c>
      <c r="X307" s="85" t="str">
        <f>IF(OR(TH!N307=TH!$X$7,O307=TH!$X$7),"x","")</f>
        <v/>
      </c>
      <c r="Y307" s="85" t="str">
        <f>IF(AND(OR(N307="131",O307="131"),H307='131-CT'!$H$9),"x","")</f>
        <v/>
      </c>
      <c r="Z307" s="85"/>
      <c r="AA307" s="85" t="str">
        <f>IF(AND(MONTH(E307)='IN-NX'!$J$5,'IN-NX'!$D$7=D307),"x","")</f>
        <v/>
      </c>
      <c r="AB307" s="85" t="str">
        <f>IF(AND(OR(LEFT(TH!N307,2)="15",LEFT(TH!O307,2)="15"),'152-CT'!$J$8=TH!F307),"x","")</f>
        <v/>
      </c>
      <c r="AC307" s="85" t="str">
        <f>IF(AND(OR(LEFT(TH!N307,2)="15",LEFT(TH!O307,2)="15"),TK!$E$7=TH!F307),"x","")</f>
        <v/>
      </c>
      <c r="AD307" s="85" t="str">
        <f>IF(AND(N307="1521",MONTH(C307)='BK-NL'!$M$11),"x","")</f>
        <v/>
      </c>
    </row>
    <row r="308" spans="1:30" ht="15.75" customHeight="1">
      <c r="A308" s="343" t="str">
        <f>IF(B308&lt;&gt;"",IF(AND(B308='IN-TC'!$S$4,OR(TH!N308="1111",TH!O308="1111")),TH!D308,""),"")</f>
        <v/>
      </c>
      <c r="B308" s="63">
        <f t="shared" si="52"/>
        <v>1</v>
      </c>
      <c r="C308" s="349">
        <v>42394</v>
      </c>
      <c r="D308" s="64" t="s">
        <v>709</v>
      </c>
      <c r="E308" s="64">
        <v>42394</v>
      </c>
      <c r="F308" s="67" t="s">
        <v>710</v>
      </c>
      <c r="G308" s="67" t="s">
        <v>930</v>
      </c>
      <c r="H308" s="74" t="s">
        <v>745</v>
      </c>
      <c r="I308" s="447"/>
      <c r="J308" s="447"/>
      <c r="K308" s="438">
        <v>97000</v>
      </c>
      <c r="L308" s="447">
        <v>22360</v>
      </c>
      <c r="M308" s="84">
        <f>ROUND(K308*L308,0)</f>
        <v>2168920000</v>
      </c>
      <c r="N308" s="66" t="s">
        <v>267</v>
      </c>
      <c r="O308" s="66" t="s">
        <v>261</v>
      </c>
      <c r="P308" s="85" t="str">
        <f>IF(AND('331-CT'!$E$7=TH!H308,OR(N308="331",O308="331")),"x","")</f>
        <v/>
      </c>
      <c r="Q308" s="85" t="str">
        <f>IF(AND(B308='111'!$L$11,OR($N308=$Q$7,$O308=$Q$7)),"x","")</f>
        <v/>
      </c>
      <c r="R308" s="85" t="str">
        <f>IF(AND($N308=$Q$7,$B308&lt;'111'!$L$11),"x","")</f>
        <v/>
      </c>
      <c r="S308" s="85" t="str">
        <f>IF(AND($O308=$Q$7,$B308&lt;'111'!$L$11),"x","")</f>
        <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IF(AND('341-CT'!$H$9=H308,OR(LEFT(N308,3)=$W$7,LEFT(O308,3)=$W$7)),"x","")</f>
        <v/>
      </c>
      <c r="X308" s="85" t="str">
        <f>IF(OR(TH!N308=TH!$X$7,O308=TH!$X$7),"x","")</f>
        <v/>
      </c>
      <c r="Y308" s="85" t="str">
        <f>IF(AND(OR(N308="131",O308="131"),H308='131-CT'!$H$9),"x","")</f>
        <v/>
      </c>
      <c r="Z308" s="85"/>
      <c r="AA308" s="85" t="str">
        <f>IF(AND(MONTH(E308)='IN-NX'!$J$5,'IN-NX'!$D$7=D308),"x","")</f>
        <v/>
      </c>
      <c r="AB308" s="85" t="str">
        <f>IF(AND(OR(LEFT(TH!N308,2)="15",LEFT(TH!O308,2)="15"),'152-CT'!$J$8=TH!F308),"x","")</f>
        <v/>
      </c>
      <c r="AC308" s="85" t="str">
        <f>IF(AND(OR(LEFT(TH!N308,2)="15",LEFT(TH!O308,2)="15"),TK!$E$7=TH!F308),"x","")</f>
        <v/>
      </c>
      <c r="AD308" s="85" t="str">
        <f>IF(AND(N308="1521",MONTH(C308)='BK-NL'!$M$11),"x","")</f>
        <v/>
      </c>
    </row>
    <row r="309" spans="1:30" ht="15.75" customHeight="1">
      <c r="A309" s="343" t="str">
        <f>IF(B309&lt;&gt;"",IF(AND(B309='IN-TC'!$S$4,OR(TH!N309="1111",TH!O309="1111")),TH!D309,""),"")</f>
        <v/>
      </c>
      <c r="B309" s="63">
        <f t="shared" si="52"/>
        <v>1</v>
      </c>
      <c r="C309" s="64">
        <v>42394</v>
      </c>
      <c r="D309" s="64" t="s">
        <v>706</v>
      </c>
      <c r="E309" s="64">
        <v>42394</v>
      </c>
      <c r="F309" s="67" t="s">
        <v>716</v>
      </c>
      <c r="G309" s="67" t="s">
        <v>930</v>
      </c>
      <c r="H309" s="74"/>
      <c r="I309" s="447"/>
      <c r="J309" s="447"/>
      <c r="K309" s="438">
        <v>97000</v>
      </c>
      <c r="L309" s="447">
        <v>22360</v>
      </c>
      <c r="M309" s="84">
        <f>ROUND(K309*L309,0)</f>
        <v>2168920000</v>
      </c>
      <c r="N309" s="66" t="s">
        <v>26</v>
      </c>
      <c r="O309" s="66" t="s">
        <v>267</v>
      </c>
      <c r="P309" s="85" t="str">
        <f>IF(AND('331-CT'!$E$7=TH!H309,OR(N309="331",O309="331")),"x","")</f>
        <v/>
      </c>
      <c r="Q309" s="85" t="str">
        <f>IF(AND(B309='111'!$L$11,OR($N309=$Q$7,$O309=$Q$7)),"x","")</f>
        <v/>
      </c>
      <c r="R309" s="85" t="str">
        <f>IF(AND($N309=$Q$7,$B309&lt;'111'!$L$11),"x","")</f>
        <v/>
      </c>
      <c r="S309" s="85" t="str">
        <f>IF(AND($O309=$Q$7,$B309&lt;'111'!$L$11),"x","")</f>
        <v/>
      </c>
      <c r="T309" s="85" t="str">
        <f>IF(ISERROR(FIND('112'!$M$9,G309,1)),"",IF((AND(FIND('112'!$M$9,G309,1)&gt;=1,B309='112'!$K$9,OR($N309='112'!$I$6,$O309='112'!$I$6))),"x",""))</f>
        <v/>
      </c>
      <c r="U309" s="85" t="str">
        <f>IF(ISERROR(FIND('112'!$M$9,G309,1)),"",IF((AND(LEFT(G309,2)=LEFT('112'!$M$9,2),B309&lt;'112'!$K$9,$N309='112'!$I$6)),"x",""))</f>
        <v/>
      </c>
      <c r="V309" s="85" t="str">
        <f>IF(ISERROR(FIND('112'!$M$9,G309,1)),"",IF((AND(RIGHT(G309,2)=RIGHT('112'!$M$9,2),B309&lt;'112'!$K$9,$O309='112'!$I$6)),"x",""))</f>
        <v/>
      </c>
      <c r="W309" s="85" t="str">
        <f>IF(AND('341-CT'!$H$9=H309,OR(LEFT(N309,3)=$W$7,LEFT(O309,3)=$W$7)),"x","")</f>
        <v/>
      </c>
      <c r="X309" s="85" t="str">
        <f>IF(OR(TH!N309=TH!$X$7,O309=TH!$X$7),"x","")</f>
        <v/>
      </c>
      <c r="Y309" s="85" t="str">
        <f>IF(AND(OR(N309="131",O309="131"),H309='131-CT'!$H$9),"x","")</f>
        <v/>
      </c>
      <c r="Z309" s="85"/>
      <c r="AA309" s="85" t="str">
        <f>IF(AND(MONTH(E309)='IN-NX'!$J$5,'IN-NX'!$D$7=D309),"x","")</f>
        <v/>
      </c>
      <c r="AB309" s="85" t="str">
        <f>IF(AND(OR(LEFT(TH!N309,2)="15",LEFT(TH!O309,2)="15"),'152-CT'!$J$8=TH!F309),"x","")</f>
        <v/>
      </c>
      <c r="AC309" s="85" t="str">
        <f>IF(AND(OR(LEFT(TH!N309,2)="15",LEFT(TH!O309,2)="15"),TK!$E$7=TH!F309),"x","")</f>
        <v/>
      </c>
      <c r="AD309" s="85" t="str">
        <f>IF(AND(N309="1521",MONTH(C309)='BK-NL'!$M$11),"x","")</f>
        <v/>
      </c>
    </row>
    <row r="310" spans="1:30" ht="15.75" customHeight="1">
      <c r="A310" s="343" t="str">
        <f>IF(B310&lt;&gt;"",IF(AND(B310='IN-TC'!$S$4,OR(TH!N310="1111",TH!O310="1111")),TH!D310,""),"")</f>
        <v/>
      </c>
      <c r="B310" s="63">
        <f t="shared" si="52"/>
        <v>1</v>
      </c>
      <c r="C310" s="64">
        <v>42394</v>
      </c>
      <c r="D310" s="64" t="s">
        <v>917</v>
      </c>
      <c r="E310" s="64">
        <v>42394</v>
      </c>
      <c r="F310" s="67" t="s">
        <v>755</v>
      </c>
      <c r="G310" s="67" t="s">
        <v>930</v>
      </c>
      <c r="H310" s="75" t="s">
        <v>773</v>
      </c>
      <c r="I310" s="451"/>
      <c r="J310" s="451"/>
      <c r="K310" s="442"/>
      <c r="L310" s="451"/>
      <c r="M310" s="65">
        <v>2168920000</v>
      </c>
      <c r="N310" s="66" t="s">
        <v>63</v>
      </c>
      <c r="O310" s="66" t="s">
        <v>26</v>
      </c>
      <c r="P310" s="85" t="str">
        <f>IF(AND('331-CT'!$E$7=TH!H310,OR(N310="331",O310="331")),"x","")</f>
        <v/>
      </c>
      <c r="Q310" s="85" t="str">
        <f>IF(AND(B310='111'!$L$11,OR($N310=$Q$7,$O310=$Q$7)),"x","")</f>
        <v>x</v>
      </c>
      <c r="R310" s="85" t="str">
        <f>IF(AND($N310=$Q$7,$B310&lt;'111'!$L$11),"x","")</f>
        <v/>
      </c>
      <c r="S310" s="85" t="str">
        <f>IF(AND($O310=$Q$7,$B310&lt;'111'!$L$11),"x","")</f>
        <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
      </c>
      <c r="W310" s="85" t="str">
        <f>IF(AND('341-CT'!$H$9=H310,OR(LEFT(N310,3)=$W$7,LEFT(O310,3)=$W$7)),"x","")</f>
        <v/>
      </c>
      <c r="X310" s="85" t="str">
        <f>IF(OR(TH!N310=TH!$X$7,O310=TH!$X$7),"x","")</f>
        <v/>
      </c>
      <c r="Y310" s="85" t="str">
        <f>IF(AND(OR(N310="131",O310="131"),H310='131-CT'!$H$9),"x","")</f>
        <v/>
      </c>
      <c r="Z310" s="85"/>
      <c r="AA310" s="85" t="str">
        <f>IF(AND(MONTH(E310)='IN-NX'!$J$5,'IN-NX'!$D$7=D310),"x","")</f>
        <v/>
      </c>
      <c r="AB310" s="85" t="str">
        <f>IF(AND(OR(LEFT(TH!N310,2)="15",LEFT(TH!O310,2)="15"),'152-CT'!$J$8=TH!F310),"x","")</f>
        <v/>
      </c>
      <c r="AC310" s="85" t="str">
        <f>IF(AND(OR(LEFT(TH!N310,2)="15",LEFT(TH!O310,2)="15"),TK!$E$7=TH!F310),"x","")</f>
        <v/>
      </c>
      <c r="AD310" s="85" t="str">
        <f>IF(AND(N310="1521",MONTH(C310)='BK-NL'!$M$11),"x","")</f>
        <v/>
      </c>
    </row>
    <row r="311" spans="1:30" ht="15.75" customHeight="1">
      <c r="A311" s="343" t="str">
        <f>IF(B311&lt;&gt;"",IF(AND(B311='IN-TC'!$S$4,OR(TH!N311="1111",TH!O311="1111")),TH!D311,""),"")</f>
        <v/>
      </c>
      <c r="B311" s="63">
        <f t="shared" si="52"/>
        <v>1</v>
      </c>
      <c r="C311" s="64">
        <v>42394</v>
      </c>
      <c r="D311" s="64" t="s">
        <v>919</v>
      </c>
      <c r="E311" s="64">
        <v>42394</v>
      </c>
      <c r="F311" s="67" t="s">
        <v>803</v>
      </c>
      <c r="G311" s="67" t="s">
        <v>849</v>
      </c>
      <c r="H311" s="74" t="s">
        <v>850</v>
      </c>
      <c r="I311" s="447"/>
      <c r="J311" s="447"/>
      <c r="K311" s="438"/>
      <c r="L311" s="447"/>
      <c r="M311" s="65">
        <v>15000000</v>
      </c>
      <c r="N311" s="66" t="s">
        <v>101</v>
      </c>
      <c r="O311" s="66" t="s">
        <v>63</v>
      </c>
      <c r="P311" s="85" t="str">
        <f>IF(AND('331-CT'!$E$7=TH!H311,OR(N311="331",O311="331")),"x","")</f>
        <v/>
      </c>
      <c r="Q311" s="85" t="str">
        <f>IF(AND(B311='111'!$L$11,OR($N311=$Q$7,$O311=$Q$7)),"x","")</f>
        <v>x</v>
      </c>
      <c r="R311" s="85" t="str">
        <f>IF(AND($N311=$Q$7,$B311&lt;'111'!$L$11),"x","")</f>
        <v/>
      </c>
      <c r="S311" s="85" t="str">
        <f>IF(AND($O311=$Q$7,$B311&lt;'111'!$L$11),"x","")</f>
        <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IF(AND('341-CT'!$H$9=H311,OR(LEFT(N311,3)=$W$7,LEFT(O311,3)=$W$7)),"x","")</f>
        <v/>
      </c>
      <c r="X311" s="85" t="str">
        <f>IF(OR(TH!N311=TH!$X$7,O311=TH!$X$7),"x","")</f>
        <v/>
      </c>
      <c r="Y311" s="85" t="str">
        <f>IF(AND(OR(N311="131",O311="131"),H311='131-CT'!$H$9),"x","")</f>
        <v/>
      </c>
      <c r="Z311" s="85"/>
      <c r="AA311" s="85" t="str">
        <f>IF(AND(MONTH(E311)='IN-NX'!$J$5,'IN-NX'!$D$7=D311),"x","")</f>
        <v/>
      </c>
      <c r="AB311" s="85" t="str">
        <f>IF(AND(OR(LEFT(TH!N311,2)="15",LEFT(TH!O311,2)="15"),'152-CT'!$J$8=TH!F311),"x","")</f>
        <v/>
      </c>
      <c r="AC311" s="85" t="str">
        <f>IF(AND(OR(LEFT(TH!N311,2)="15",LEFT(TH!O311,2)="15"),TK!$E$7=TH!F311),"x","")</f>
        <v/>
      </c>
      <c r="AD311" s="85" t="str">
        <f>IF(AND(N311="1521",MONTH(C311)='BK-NL'!$M$11),"x","")</f>
        <v/>
      </c>
    </row>
    <row r="312" spans="1:30" ht="15.75" customHeight="1">
      <c r="A312" s="343" t="str">
        <f>IF(B312&lt;&gt;"",IF(AND(B312='IN-TC'!$S$4,OR(TH!N312="1111",TH!O312="1111")),TH!D312,""),"")</f>
        <v/>
      </c>
      <c r="B312" s="63">
        <f t="shared" si="52"/>
        <v>1</v>
      </c>
      <c r="C312" s="64">
        <v>42394</v>
      </c>
      <c r="D312" s="64" t="s">
        <v>919</v>
      </c>
      <c r="E312" s="64">
        <v>42394</v>
      </c>
      <c r="F312" s="67" t="s">
        <v>804</v>
      </c>
      <c r="G312" s="67" t="s">
        <v>849</v>
      </c>
      <c r="H312" s="74" t="s">
        <v>850</v>
      </c>
      <c r="I312" s="447"/>
      <c r="J312" s="447"/>
      <c r="K312" s="438"/>
      <c r="L312" s="447"/>
      <c r="M312" s="65">
        <v>1500000</v>
      </c>
      <c r="N312" s="66" t="s">
        <v>9</v>
      </c>
      <c r="O312" s="66" t="s">
        <v>63</v>
      </c>
      <c r="P312" s="85" t="str">
        <f>IF(AND('331-CT'!$E$7=TH!H312,OR(N312="331",O312="331")),"x","")</f>
        <v/>
      </c>
      <c r="Q312" s="85" t="str">
        <f>IF(AND(B312='111'!$L$11,OR($N312=$Q$7,$O312=$Q$7)),"x","")</f>
        <v>x</v>
      </c>
      <c r="R312" s="85" t="str">
        <f>IF(AND($N312=$Q$7,$B312&lt;'111'!$L$11),"x","")</f>
        <v/>
      </c>
      <c r="S312" s="85" t="str">
        <f>IF(AND($O312=$Q$7,$B312&lt;'111'!$L$11),"x","")</f>
        <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IF(AND('341-CT'!$H$9=H312,OR(LEFT(N312,3)=$W$7,LEFT(O312,3)=$W$7)),"x","")</f>
        <v/>
      </c>
      <c r="X312" s="85" t="str">
        <f>IF(OR(TH!N312=TH!$X$7,O312=TH!$X$7),"x","")</f>
        <v/>
      </c>
      <c r="Y312" s="85" t="str">
        <f>IF(AND(OR(N312="131",O312="131"),H312='131-CT'!$H$9),"x","")</f>
        <v/>
      </c>
      <c r="Z312" s="85"/>
      <c r="AA312" s="85" t="str">
        <f>IF(AND(MONTH(E312)='IN-NX'!$J$5,'IN-NX'!$D$7=D312),"x","")</f>
        <v/>
      </c>
      <c r="AB312" s="85" t="str">
        <f>IF(AND(OR(LEFT(TH!N312,2)="15",LEFT(TH!O312,2)="15"),'152-CT'!$J$8=TH!F312),"x","")</f>
        <v/>
      </c>
      <c r="AC312" s="85" t="str">
        <f>IF(AND(OR(LEFT(TH!N312,2)="15",LEFT(TH!O312,2)="15"),TK!$E$7=TH!F312),"x","")</f>
        <v/>
      </c>
      <c r="AD312" s="85" t="str">
        <f>IF(AND(N312="1521",MONTH(C312)='BK-NL'!$M$11),"x","")</f>
        <v/>
      </c>
    </row>
    <row r="313" spans="1:30" ht="15.75" customHeight="1">
      <c r="A313" s="343" t="str">
        <f>IF(B313&lt;&gt;"",IF(AND(B313='IN-TC'!$S$4,OR(TH!N313="1111",TH!O313="1111")),TH!D313,""),"")</f>
        <v/>
      </c>
      <c r="B313" s="63">
        <f t="shared" si="52"/>
        <v>1</v>
      </c>
      <c r="C313" s="64">
        <v>42395</v>
      </c>
      <c r="D313" s="64" t="s">
        <v>922</v>
      </c>
      <c r="E313" s="64">
        <v>42395</v>
      </c>
      <c r="F313" s="67" t="s">
        <v>746</v>
      </c>
      <c r="G313" s="67" t="s">
        <v>930</v>
      </c>
      <c r="H313" s="74" t="s">
        <v>774</v>
      </c>
      <c r="I313" s="8"/>
      <c r="J313" s="8"/>
      <c r="K313" s="438"/>
      <c r="L313" s="447"/>
      <c r="M313" s="65">
        <v>45000000</v>
      </c>
      <c r="N313" s="66" t="s">
        <v>26</v>
      </c>
      <c r="O313" s="66" t="s">
        <v>63</v>
      </c>
      <c r="P313" s="85" t="str">
        <f>IF(AND('331-CT'!$E$7=TH!H313,OR(N313="331",O313="331")),"x","")</f>
        <v/>
      </c>
      <c r="Q313" s="85" t="str">
        <f>IF(AND(B313='111'!$L$11,OR($N313=$Q$7,$O313=$Q$7)),"x","")</f>
        <v>x</v>
      </c>
      <c r="R313" s="85" t="str">
        <f>IF(AND($N313=$Q$7,$B313&lt;'111'!$L$11),"x","")</f>
        <v/>
      </c>
      <c r="S313" s="85" t="str">
        <f>IF(AND($O313=$Q$7,$B313&lt;'111'!$L$11),"x","")</f>
        <v/>
      </c>
      <c r="T313" s="85" t="str">
        <f>IF(ISERROR(FIND('112'!$M$9,G313,1)),"",IF((AND(FIND('112'!$M$9,G313,1)&gt;=1,B313='112'!$K$9,OR($N313='112'!$I$6,$O313='112'!$I$6))),"x",""))</f>
        <v/>
      </c>
      <c r="U313" s="85" t="str">
        <f>IF(ISERROR(FIND('112'!$M$9,G313,1)),"",IF((AND(LEFT(G313,2)=LEFT('112'!$M$9,2),B313&lt;'112'!$K$9,$N313='112'!$I$6)),"x",""))</f>
        <v/>
      </c>
      <c r="V313" s="85" t="str">
        <f>IF(ISERROR(FIND('112'!$M$9,G313,1)),"",IF((AND(RIGHT(G313,2)=RIGHT('112'!$M$9,2),B313&lt;'112'!$K$9,$O313='112'!$I$6)),"x",""))</f>
        <v/>
      </c>
      <c r="W313" s="85" t="str">
        <f>IF(AND('341-CT'!$H$9=H313,OR(LEFT(N313,3)=$W$7,LEFT(O313,3)=$W$7)),"x","")</f>
        <v/>
      </c>
      <c r="X313" s="85" t="str">
        <f>IF(OR(TH!N313=TH!$X$7,O313=TH!$X$7),"x","")</f>
        <v/>
      </c>
      <c r="Y313" s="85" t="str">
        <f>IF(AND(OR(N313="131",O313="131"),H313='131-CT'!$H$9),"x","")</f>
        <v/>
      </c>
      <c r="Z313" s="85"/>
      <c r="AA313" s="85" t="str">
        <f>IF(AND(MONTH(E313)='IN-NX'!$J$5,'IN-NX'!$D$7=D313),"x","")</f>
        <v/>
      </c>
      <c r="AB313" s="85" t="str">
        <f>IF(AND(OR(LEFT(TH!N313,2)="15",LEFT(TH!O313,2)="15"),'152-CT'!$J$8=TH!F313),"x","")</f>
        <v/>
      </c>
      <c r="AC313" s="85" t="str">
        <f>IF(AND(OR(LEFT(TH!N313,2)="15",LEFT(TH!O313,2)="15"),TK!$E$7=TH!F313),"x","")</f>
        <v/>
      </c>
      <c r="AD313" s="85" t="str">
        <f>IF(AND(N313="1521",MONTH(C313)='BK-NL'!$M$11),"x","")</f>
        <v/>
      </c>
    </row>
    <row r="314" spans="1:30" ht="15.75" customHeight="1">
      <c r="A314" s="343" t="str">
        <f>IF(B314&lt;&gt;"",IF(AND(B314='IN-TC'!$S$4,OR(TH!N314="1111",TH!O314="1111")),TH!D314,""),"")</f>
        <v/>
      </c>
      <c r="B314" s="63">
        <f t="shared" si="52"/>
        <v>1</v>
      </c>
      <c r="C314" s="64">
        <v>42395</v>
      </c>
      <c r="D314" s="64" t="s">
        <v>709</v>
      </c>
      <c r="E314" s="64">
        <v>42395</v>
      </c>
      <c r="F314" s="67" t="s">
        <v>760</v>
      </c>
      <c r="G314" s="67" t="s">
        <v>930</v>
      </c>
      <c r="H314" s="520" t="s">
        <v>731</v>
      </c>
      <c r="I314" s="447"/>
      <c r="J314" s="447"/>
      <c r="K314" s="438"/>
      <c r="L314" s="447"/>
      <c r="M314" s="65">
        <v>6323855</v>
      </c>
      <c r="N314" s="66" t="s">
        <v>99</v>
      </c>
      <c r="O314" s="66" t="s">
        <v>26</v>
      </c>
      <c r="P314" s="85" t="str">
        <f>IF(AND('331-CT'!$E$7=TH!H314,OR(N314="331",O314="331")),"x","")</f>
        <v/>
      </c>
      <c r="Q314" s="85" t="str">
        <f>IF(AND(B314='111'!$L$11,OR($N314=$Q$7,$O314=$Q$7)),"x","")</f>
        <v/>
      </c>
      <c r="R314" s="85" t="str">
        <f>IF(AND($N314=$Q$7,$B314&lt;'111'!$L$11),"x","")</f>
        <v/>
      </c>
      <c r="S314" s="85" t="str">
        <f>IF(AND($O314=$Q$7,$B314&lt;'111'!$L$11),"x","")</f>
        <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
      </c>
      <c r="W314" s="85" t="str">
        <f>IF(AND('341-CT'!$H$9=H314,OR(LEFT(N314,3)=$W$7,LEFT(O314,3)=$W$7)),"x","")</f>
        <v/>
      </c>
      <c r="X314" s="85" t="str">
        <f>IF(OR(TH!N314=TH!$X$7,O314=TH!$X$7),"x","")</f>
        <v/>
      </c>
      <c r="Y314" s="85" t="str">
        <f>IF(AND(OR(N314="131",O314="131"),H314='131-CT'!$H$9),"x","")</f>
        <v/>
      </c>
      <c r="Z314" s="85"/>
      <c r="AA314" s="85" t="str">
        <f>IF(AND(MONTH(E314)='IN-NX'!$J$5,'IN-NX'!$D$7=D314),"x","")</f>
        <v/>
      </c>
      <c r="AB314" s="85" t="str">
        <f>IF(AND(OR(LEFT(TH!N314,2)="15",LEFT(TH!O314,2)="15"),'152-CT'!$J$8=TH!F314),"x","")</f>
        <v/>
      </c>
      <c r="AC314" s="85" t="str">
        <f>IF(AND(OR(LEFT(TH!N314,2)="15",LEFT(TH!O314,2)="15"),TK!$E$7=TH!F314),"x","")</f>
        <v/>
      </c>
      <c r="AD314" s="85" t="str">
        <f>IF(AND(N314="1521",MONTH(C314)='BK-NL'!$M$11),"x","")</f>
        <v/>
      </c>
    </row>
    <row r="315" spans="1:30" ht="15.75" customHeight="1">
      <c r="A315" s="343" t="str">
        <f>IF(B315&lt;&gt;"",IF(AND(B315='IN-TC'!$S$4,OR(TH!N315="1111",TH!O315="1111")),TH!D315,""),"")</f>
        <v/>
      </c>
      <c r="B315" s="63">
        <f t="shared" si="52"/>
        <v>1</v>
      </c>
      <c r="C315" s="64">
        <v>42395</v>
      </c>
      <c r="D315" s="64" t="s">
        <v>709</v>
      </c>
      <c r="E315" s="64">
        <v>42395</v>
      </c>
      <c r="F315" s="520" t="s">
        <v>761</v>
      </c>
      <c r="G315" s="67" t="s">
        <v>930</v>
      </c>
      <c r="H315" s="520" t="s">
        <v>734</v>
      </c>
      <c r="I315" s="447"/>
      <c r="J315" s="447"/>
      <c r="K315" s="438"/>
      <c r="L315" s="447"/>
      <c r="M315" s="65">
        <v>6902308</v>
      </c>
      <c r="N315" s="66" t="s">
        <v>99</v>
      </c>
      <c r="O315" s="66" t="s">
        <v>26</v>
      </c>
      <c r="P315" s="85" t="str">
        <f>IF(AND('331-CT'!$E$7=TH!H315,OR(N315="331",O315="331")),"x","")</f>
        <v/>
      </c>
      <c r="Q315" s="85" t="str">
        <f>IF(AND(B315='111'!$L$11,OR($N315=$Q$7,$O315=$Q$7)),"x","")</f>
        <v/>
      </c>
      <c r="R315" s="85" t="str">
        <f>IF(AND($N315=$Q$7,$B315&lt;'111'!$L$11),"x","")</f>
        <v/>
      </c>
      <c r="S315" s="85" t="str">
        <f>IF(AND($O315=$Q$7,$B315&lt;'111'!$L$11),"x","")</f>
        <v/>
      </c>
      <c r="T315" s="85" t="str">
        <f>IF(ISERROR(FIND('112'!$M$9,G315,1)),"",IF((AND(FIND('112'!$M$9,G315,1)&gt;=1,B315='112'!$K$9,OR($N315='112'!$I$6,$O315='112'!$I$6))),"x",""))</f>
        <v/>
      </c>
      <c r="U315" s="85" t="str">
        <f>IF(ISERROR(FIND('112'!$M$9,G315,1)),"",IF((AND(LEFT(G315,2)=LEFT('112'!$M$9,2),B315&lt;'112'!$K$9,$N315='112'!$I$6)),"x",""))</f>
        <v/>
      </c>
      <c r="V315" s="85" t="str">
        <f>IF(ISERROR(FIND('112'!$M$9,G315,1)),"",IF((AND(RIGHT(G315,2)=RIGHT('112'!$M$9,2),B315&lt;'112'!$K$9,$O315='112'!$I$6)),"x",""))</f>
        <v/>
      </c>
      <c r="W315" s="85" t="str">
        <f>IF(AND('341-CT'!$H$9=H315,OR(LEFT(N315,3)=$W$7,LEFT(O315,3)=$W$7)),"x","")</f>
        <v/>
      </c>
      <c r="X315" s="85" t="str">
        <f>IF(OR(TH!N315=TH!$X$7,O315=TH!$X$7),"x","")</f>
        <v/>
      </c>
      <c r="Y315" s="85" t="str">
        <f>IF(AND(OR(N315="131",O315="131"),H315='131-CT'!$H$9),"x","")</f>
        <v/>
      </c>
      <c r="Z315" s="85"/>
      <c r="AA315" s="85" t="str">
        <f>IF(AND(MONTH(E315)='IN-NX'!$J$5,'IN-NX'!$D$7=D315),"x","")</f>
        <v/>
      </c>
      <c r="AB315" s="85" t="str">
        <f>IF(AND(OR(LEFT(TH!N315,2)="15",LEFT(TH!O315,2)="15"),'152-CT'!$J$8=TH!F315),"x","")</f>
        <v/>
      </c>
      <c r="AC315" s="85" t="str">
        <f>IF(AND(OR(LEFT(TH!N315,2)="15",LEFT(TH!O315,2)="15"),TK!$E$7=TH!F315),"x","")</f>
        <v/>
      </c>
      <c r="AD315" s="85" t="str">
        <f>IF(AND(N315="1521",MONTH(C315)='BK-NL'!$M$11),"x","")</f>
        <v/>
      </c>
    </row>
    <row r="316" spans="1:30" ht="15.75" customHeight="1">
      <c r="A316" s="343" t="str">
        <f>IF(B316&lt;&gt;"",IF(AND(B316='IN-TC'!$S$4,OR(TH!N316="1111",TH!O316="1111")),TH!D316,""),"")</f>
        <v/>
      </c>
      <c r="B316" s="63">
        <f t="shared" si="52"/>
        <v>1</v>
      </c>
      <c r="C316" s="64">
        <v>42395</v>
      </c>
      <c r="D316" s="64" t="s">
        <v>709</v>
      </c>
      <c r="E316" s="64">
        <v>42395</v>
      </c>
      <c r="F316" s="520" t="s">
        <v>762</v>
      </c>
      <c r="G316" s="67" t="s">
        <v>930</v>
      </c>
      <c r="H316" s="520" t="s">
        <v>735</v>
      </c>
      <c r="I316" s="451"/>
      <c r="J316" s="447"/>
      <c r="K316" s="442"/>
      <c r="L316" s="451"/>
      <c r="M316" s="65">
        <v>6863849</v>
      </c>
      <c r="N316" s="66" t="s">
        <v>99</v>
      </c>
      <c r="O316" s="66" t="s">
        <v>26</v>
      </c>
      <c r="P316" s="85" t="str">
        <f>IF(AND('331-CT'!$E$7=TH!H316,OR(N316="331",O316="331")),"x","")</f>
        <v/>
      </c>
      <c r="Q316" s="85" t="str">
        <f>IF(AND(B316='111'!$L$11,OR($N316=$Q$7,$O316=$Q$7)),"x","")</f>
        <v/>
      </c>
      <c r="R316" s="85" t="str">
        <f>IF(AND($N316=$Q$7,$B316&lt;'111'!$L$11),"x","")</f>
        <v/>
      </c>
      <c r="S316" s="85" t="str">
        <f>IF(AND($O316=$Q$7,$B316&lt;'111'!$L$11),"x","")</f>
        <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
      </c>
      <c r="W316" s="85" t="str">
        <f>IF(AND('341-CT'!$H$9=H316,OR(LEFT(N316,3)=$W$7,LEFT(O316,3)=$W$7)),"x","")</f>
        <v/>
      </c>
      <c r="X316" s="85" t="str">
        <f>IF(OR(TH!N316=TH!$X$7,O316=TH!$X$7),"x","")</f>
        <v/>
      </c>
      <c r="Y316" s="85" t="str">
        <f>IF(AND(OR(N316="131",O316="131"),H316='131-CT'!$H$9),"x","")</f>
        <v/>
      </c>
      <c r="Z316" s="85"/>
      <c r="AA316" s="85" t="str">
        <f>IF(AND(MONTH(E316)='IN-NX'!$J$5,'IN-NX'!$D$7=D316),"x","")</f>
        <v/>
      </c>
      <c r="AB316" s="85" t="str">
        <f>IF(AND(OR(LEFT(TH!N316,2)="15",LEFT(TH!O316,2)="15"),'152-CT'!$J$8=TH!F316),"x","")</f>
        <v/>
      </c>
      <c r="AC316" s="85" t="str">
        <f>IF(AND(OR(LEFT(TH!N316,2)="15",LEFT(TH!O316,2)="15"),TK!$E$7=TH!F316),"x","")</f>
        <v/>
      </c>
      <c r="AD316" s="85" t="str">
        <f>IF(AND(N316="1521",MONTH(C316)='BK-NL'!$M$11),"x","")</f>
        <v/>
      </c>
    </row>
    <row r="317" spans="1:30" ht="15.75" customHeight="1">
      <c r="A317" s="343" t="str">
        <f>IF(B317&lt;&gt;"",IF(AND(B317='IN-TC'!$S$4,OR(TH!N317="1111",TH!O317="1111")),TH!D317,""),"")</f>
        <v/>
      </c>
      <c r="B317" s="63">
        <f t="shared" si="52"/>
        <v>1</v>
      </c>
      <c r="C317" s="64">
        <v>42395</v>
      </c>
      <c r="D317" s="64" t="s">
        <v>709</v>
      </c>
      <c r="E317" s="64">
        <v>42395</v>
      </c>
      <c r="F317" s="520" t="s">
        <v>763</v>
      </c>
      <c r="G317" s="67" t="s">
        <v>930</v>
      </c>
      <c r="H317" s="520" t="s">
        <v>742</v>
      </c>
      <c r="I317" s="447"/>
      <c r="J317" s="447"/>
      <c r="K317" s="438"/>
      <c r="L317" s="447"/>
      <c r="M317" s="65">
        <v>8954733</v>
      </c>
      <c r="N317" s="66" t="s">
        <v>99</v>
      </c>
      <c r="O317" s="66" t="s">
        <v>26</v>
      </c>
      <c r="P317" s="85" t="str">
        <f>IF(AND('331-CT'!$E$7=TH!H317,OR(N317="331",O317="331")),"x","")</f>
        <v/>
      </c>
      <c r="Q317" s="85" t="str">
        <f>IF(AND(B317='111'!$L$11,OR($N317=$Q$7,$O317=$Q$7)),"x","")</f>
        <v/>
      </c>
      <c r="R317" s="85" t="str">
        <f>IF(AND($N317=$Q$7,$B317&lt;'111'!$L$11),"x","")</f>
        <v/>
      </c>
      <c r="S317" s="85" t="str">
        <f>IF(AND($O317=$Q$7,$B317&lt;'111'!$L$11),"x","")</f>
        <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
      </c>
      <c r="W317" s="85" t="str">
        <f>IF(AND('341-CT'!$H$9=H317,OR(LEFT(N317,3)=$W$7,LEFT(O317,3)=$W$7)),"x","")</f>
        <v/>
      </c>
      <c r="X317" s="85" t="str">
        <f>IF(OR(TH!N317=TH!$X$7,O317=TH!$X$7),"x","")</f>
        <v/>
      </c>
      <c r="Y317" s="85" t="str">
        <f>IF(AND(OR(N317="131",O317="131"),H317='131-CT'!$H$9),"x","")</f>
        <v/>
      </c>
      <c r="Z317" s="85"/>
      <c r="AA317" s="85" t="str">
        <f>IF(AND(MONTH(E317)='IN-NX'!$J$5,'IN-NX'!$D$7=D317),"x","")</f>
        <v/>
      </c>
      <c r="AB317" s="85" t="str">
        <f>IF(AND(OR(LEFT(TH!N317,2)="15",LEFT(TH!O317,2)="15"),'152-CT'!$J$8=TH!F317),"x","")</f>
        <v/>
      </c>
      <c r="AC317" s="85" t="str">
        <f>IF(AND(OR(LEFT(TH!N317,2)="15",LEFT(TH!O317,2)="15"),TK!$E$7=TH!F317),"x","")</f>
        <v/>
      </c>
      <c r="AD317" s="85" t="str">
        <f>IF(AND(N317="1521",MONTH(C317)='BK-NL'!$M$11),"x","")</f>
        <v/>
      </c>
    </row>
    <row r="318" spans="1:30" ht="15.75" customHeight="1">
      <c r="A318" s="343" t="str">
        <f>IF(B318&lt;&gt;"",IF(AND(B318='IN-TC'!$S$4,OR(TH!N318="1111",TH!O318="1111")),TH!D318,""),"")</f>
        <v/>
      </c>
      <c r="B318" s="63">
        <f t="shared" si="52"/>
        <v>1</v>
      </c>
      <c r="C318" s="64">
        <v>42395</v>
      </c>
      <c r="D318" s="64" t="s">
        <v>709</v>
      </c>
      <c r="E318" s="64">
        <v>42395</v>
      </c>
      <c r="F318" s="520" t="s">
        <v>764</v>
      </c>
      <c r="G318" s="67" t="s">
        <v>930</v>
      </c>
      <c r="H318" s="520" t="s">
        <v>736</v>
      </c>
      <c r="I318" s="447"/>
      <c r="J318" s="447"/>
      <c r="K318" s="438"/>
      <c r="L318" s="447"/>
      <c r="M318" s="65">
        <v>10627708</v>
      </c>
      <c r="N318" s="66" t="s">
        <v>99</v>
      </c>
      <c r="O318" s="66" t="s">
        <v>26</v>
      </c>
      <c r="P318" s="85" t="str">
        <f>IF(AND('331-CT'!$E$7=TH!H318,OR(N318="331",O318="331")),"x","")</f>
        <v/>
      </c>
      <c r="Q318" s="85" t="str">
        <f>IF(AND(B318='111'!$L$11,OR($N318=$Q$7,$O318=$Q$7)),"x","")</f>
        <v/>
      </c>
      <c r="R318" s="85" t="str">
        <f>IF(AND($N318=$Q$7,$B318&lt;'111'!$L$11),"x","")</f>
        <v/>
      </c>
      <c r="S318" s="85" t="str">
        <f>IF(AND($O318=$Q$7,$B318&lt;'111'!$L$11),"x","")</f>
        <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
      </c>
      <c r="W318" s="85" t="str">
        <f>IF(AND('341-CT'!$H$9=H318,OR(LEFT(N318,3)=$W$7,LEFT(O318,3)=$W$7)),"x","")</f>
        <v/>
      </c>
      <c r="X318" s="85" t="str">
        <f>IF(OR(TH!N318=TH!$X$7,O318=TH!$X$7),"x","")</f>
        <v/>
      </c>
      <c r="Y318" s="85" t="str">
        <f>IF(AND(OR(N318="131",O318="131"),H318='131-CT'!$H$9),"x","")</f>
        <v/>
      </c>
      <c r="Z318" s="85"/>
      <c r="AA318" s="85" t="str">
        <f>IF(AND(MONTH(E318)='IN-NX'!$J$5,'IN-NX'!$D$7=D318),"x","")</f>
        <v/>
      </c>
      <c r="AB318" s="85" t="str">
        <f>IF(AND(OR(LEFT(TH!N318,2)="15",LEFT(TH!O318,2)="15"),'152-CT'!$J$8=TH!F318),"x","")</f>
        <v/>
      </c>
      <c r="AC318" s="85" t="str">
        <f>IF(AND(OR(LEFT(TH!N318,2)="15",LEFT(TH!O318,2)="15"),TK!$E$7=TH!F318),"x","")</f>
        <v/>
      </c>
      <c r="AD318" s="85" t="str">
        <f>IF(AND(N318="1521",MONTH(C318)='BK-NL'!$M$11),"x","")</f>
        <v/>
      </c>
    </row>
    <row r="319" spans="1:30" ht="15.75" customHeight="1">
      <c r="A319" s="343" t="str">
        <f>IF(B319&lt;&gt;"",IF(AND(B319='IN-TC'!$S$4,OR(TH!N319="1111",TH!O319="1111")),TH!D319,""),"")</f>
        <v/>
      </c>
      <c r="B319" s="63">
        <f t="shared" si="52"/>
        <v>1</v>
      </c>
      <c r="C319" s="64">
        <v>42396</v>
      </c>
      <c r="D319" s="64" t="s">
        <v>706</v>
      </c>
      <c r="E319" s="64">
        <v>42396</v>
      </c>
      <c r="F319" s="67" t="s">
        <v>711</v>
      </c>
      <c r="G319" s="67" t="s">
        <v>930</v>
      </c>
      <c r="H319" s="74" t="s">
        <v>601</v>
      </c>
      <c r="I319" s="447"/>
      <c r="J319" s="447"/>
      <c r="K319" s="438">
        <v>39553.120000000003</v>
      </c>
      <c r="L319" s="447">
        <v>22310</v>
      </c>
      <c r="M319" s="84">
        <f>ROUND(K319*L319,0)</f>
        <v>882430107</v>
      </c>
      <c r="N319" s="66" t="s">
        <v>267</v>
      </c>
      <c r="O319" s="66" t="s">
        <v>591</v>
      </c>
      <c r="P319" s="85" t="str">
        <f>IF(AND('331-CT'!$E$7=TH!H319,OR(N319="331",O319="331")),"x","")</f>
        <v/>
      </c>
      <c r="Q319" s="85" t="str">
        <f>IF(AND(B319='111'!$L$11,OR($N319=$Q$7,$O319=$Q$7)),"x","")</f>
        <v/>
      </c>
      <c r="R319" s="85" t="str">
        <f>IF(AND($N319=$Q$7,$B319&lt;'111'!$L$11),"x","")</f>
        <v/>
      </c>
      <c r="S319" s="85" t="str">
        <f>IF(AND($O319=$Q$7,$B319&lt;'111'!$L$11),"x","")</f>
        <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IF(AND('341-CT'!$H$9=H319,OR(LEFT(N319,3)=$W$7,LEFT(O319,3)=$W$7)),"x","")</f>
        <v/>
      </c>
      <c r="X319" s="85" t="str">
        <f>IF(OR(TH!N319=TH!$X$7,O319=TH!$X$7),"x","")</f>
        <v/>
      </c>
      <c r="Y319" s="85" t="str">
        <f>IF(AND(OR(N319="131",O319="131"),H319='131-CT'!$H$9),"x","")</f>
        <v/>
      </c>
      <c r="Z319" s="85"/>
      <c r="AA319" s="85" t="str">
        <f>IF(AND(MONTH(E319)='IN-NX'!$J$5,'IN-NX'!$D$7=D319),"x","")</f>
        <v/>
      </c>
      <c r="AB319" s="85" t="str">
        <f>IF(AND(OR(LEFT(TH!N319,2)="15",LEFT(TH!O319,2)="15"),'152-CT'!$J$8=TH!F319),"x","")</f>
        <v/>
      </c>
      <c r="AC319" s="85" t="str">
        <f>IF(AND(OR(LEFT(TH!N319,2)="15",LEFT(TH!O319,2)="15"),TK!$E$7=TH!F319),"x","")</f>
        <v/>
      </c>
      <c r="AD319" s="85" t="str">
        <f>IF(AND(N319="1521",MONTH(C319)='BK-NL'!$M$11),"x","")</f>
        <v/>
      </c>
    </row>
    <row r="320" spans="1:30" s="348" customFormat="1" ht="15.75" customHeight="1">
      <c r="A320" s="343" t="str">
        <f>IF(B320&lt;&gt;"",IF(AND(B320='IN-TC'!$S$4,OR(TH!N320="1111",TH!O320="1111")),TH!D320,""),"")</f>
        <v/>
      </c>
      <c r="B320" s="63">
        <f t="shared" si="52"/>
        <v>1</v>
      </c>
      <c r="C320" s="64">
        <f>E320</f>
        <v>42396</v>
      </c>
      <c r="D320" s="64" t="s">
        <v>585</v>
      </c>
      <c r="E320" s="64">
        <v>42396</v>
      </c>
      <c r="F320" s="67" t="s">
        <v>617</v>
      </c>
      <c r="G320" s="67" t="s">
        <v>930</v>
      </c>
      <c r="H320" s="74" t="s">
        <v>601</v>
      </c>
      <c r="I320" s="447"/>
      <c r="J320" s="447"/>
      <c r="K320" s="438">
        <v>11</v>
      </c>
      <c r="L320" s="447">
        <v>22310</v>
      </c>
      <c r="M320" s="65">
        <f>ROUND(K320*L320,0)</f>
        <v>245410</v>
      </c>
      <c r="N320" s="66" t="s">
        <v>101</v>
      </c>
      <c r="O320" s="66" t="s">
        <v>591</v>
      </c>
      <c r="P320" s="85" t="str">
        <f>IF(AND('331-CT'!$E$7=TH!H320,OR(N320="331",O320="331")),"x","")</f>
        <v/>
      </c>
      <c r="Q320" s="85" t="str">
        <f>IF(AND(B320='111'!$L$11,OR($N320=$Q$7,$O320=$Q$7)),"x","")</f>
        <v/>
      </c>
      <c r="R320" s="85" t="str">
        <f>IF(AND($N320=$Q$7,$B320&lt;'111'!$L$11),"x","")</f>
        <v/>
      </c>
      <c r="S320" s="85" t="str">
        <f>IF(AND($O320=$Q$7,$B320&lt;'111'!$L$11),"x","")</f>
        <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IF(AND('341-CT'!$H$9=H320,OR(LEFT(N320,3)=$W$7,LEFT(O320,3)=$W$7)),"x","")</f>
        <v/>
      </c>
      <c r="X320" s="85" t="str">
        <f>IF(OR(TH!N320=TH!$X$7,O320=TH!$X$7),"x","")</f>
        <v/>
      </c>
      <c r="Y320" s="85" t="str">
        <f>IF(AND(OR(N320="131",O320="131"),H320='131-CT'!$H$9),"x","")</f>
        <v/>
      </c>
      <c r="Z320" s="85"/>
      <c r="AA320" s="85" t="str">
        <f>IF(AND(MONTH(E320)='IN-NX'!$J$5,'IN-NX'!$D$7=D320),"x","")</f>
        <v/>
      </c>
      <c r="AB320" s="85" t="str">
        <f>IF(AND(OR(LEFT(TH!N320,2)="15",LEFT(TH!O320,2)="15"),'152-CT'!$J$8=TH!F320),"x","")</f>
        <v/>
      </c>
      <c r="AC320" s="85" t="str">
        <f>IF(AND(OR(LEFT(TH!N320,2)="15",LEFT(TH!O320,2)="15"),TK!$E$7=TH!F320),"x","")</f>
        <v/>
      </c>
      <c r="AD320" s="85" t="str">
        <f>IF(AND(N320="1521",MONTH(C320)='BK-NL'!$M$11),"x","")</f>
        <v/>
      </c>
    </row>
    <row r="321" spans="1:30" s="348" customFormat="1" ht="15.75" customHeight="1">
      <c r="A321" s="343" t="str">
        <f>IF(B321&lt;&gt;"",IF(AND(B321='IN-TC'!$S$4,OR(TH!N321="1111",TH!O321="1111")),TH!D321,""),"")</f>
        <v/>
      </c>
      <c r="B321" s="63">
        <f t="shared" si="52"/>
        <v>1</v>
      </c>
      <c r="C321" s="64">
        <f>E321</f>
        <v>42396</v>
      </c>
      <c r="D321" s="64" t="s">
        <v>585</v>
      </c>
      <c r="E321" s="64">
        <v>42396</v>
      </c>
      <c r="F321" s="67" t="s">
        <v>618</v>
      </c>
      <c r="G321" s="67" t="s">
        <v>930</v>
      </c>
      <c r="H321" s="74" t="s">
        <v>601</v>
      </c>
      <c r="I321" s="447"/>
      <c r="J321" s="447"/>
      <c r="K321" s="438">
        <v>30.38</v>
      </c>
      <c r="L321" s="447">
        <v>22310</v>
      </c>
      <c r="M321" s="65">
        <f>ROUND(K321*L321,0)</f>
        <v>677778</v>
      </c>
      <c r="N321" s="66" t="s">
        <v>101</v>
      </c>
      <c r="O321" s="66" t="s">
        <v>591</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IF(AND('341-CT'!$H$9=H321,OR(LEFT(N321,3)=$W$7,LEFT(O321,3)=$W$7)),"x","")</f>
        <v/>
      </c>
      <c r="X321" s="85" t="str">
        <f>IF(OR(TH!N321=TH!$X$7,O321=TH!$X$7),"x","")</f>
        <v/>
      </c>
      <c r="Y321" s="85" t="str">
        <f>IF(AND(OR(N321="131",O321="131"),H321='131-CT'!$H$9),"x","")</f>
        <v/>
      </c>
      <c r="Z321" s="85"/>
      <c r="AA321" s="85" t="str">
        <f>IF(AND(MONTH(E321)='IN-NX'!$J$5,'IN-NX'!$D$7=D321),"x","")</f>
        <v/>
      </c>
      <c r="AB321" s="85" t="str">
        <f>IF(AND(OR(LEFT(TH!N321,2)="15",LEFT(TH!O321,2)="15"),'152-CT'!$J$8=TH!F321),"x","")</f>
        <v/>
      </c>
      <c r="AC321" s="85" t="str">
        <f>IF(AND(OR(LEFT(TH!N321,2)="15",LEFT(TH!O321,2)="15"),TK!$E$7=TH!F321),"x","")</f>
        <v/>
      </c>
      <c r="AD321" s="85" t="str">
        <f>IF(AND(N321="1521",MONTH(C321)='BK-NL'!$M$11),"x","")</f>
        <v/>
      </c>
    </row>
    <row r="322" spans="1:30" s="348" customFormat="1" ht="15.75" customHeight="1">
      <c r="A322" s="343" t="str">
        <f>IF(B322&lt;&gt;"",IF(AND(B322='IN-TC'!$S$4,OR(TH!N322="1111",TH!O322="1111")),TH!D322,""),"")</f>
        <v/>
      </c>
      <c r="B322" s="63">
        <f t="shared" si="52"/>
        <v>1</v>
      </c>
      <c r="C322" s="64">
        <f>E322</f>
        <v>42396</v>
      </c>
      <c r="D322" s="64" t="s">
        <v>585</v>
      </c>
      <c r="E322" s="64">
        <v>42396</v>
      </c>
      <c r="F322" s="69" t="s">
        <v>619</v>
      </c>
      <c r="G322" s="67" t="s">
        <v>930</v>
      </c>
      <c r="H322" s="73" t="s">
        <v>601</v>
      </c>
      <c r="I322" s="448"/>
      <c r="J322" s="448"/>
      <c r="K322" s="439">
        <v>5.5</v>
      </c>
      <c r="L322" s="448">
        <v>22310</v>
      </c>
      <c r="M322" s="65">
        <f>ROUND(K322*L322,0)</f>
        <v>122705</v>
      </c>
      <c r="N322" s="66" t="s">
        <v>101</v>
      </c>
      <c r="O322" s="66" t="s">
        <v>591</v>
      </c>
      <c r="P322" s="85" t="str">
        <f>IF(AND('331-CT'!$E$7=TH!H322,OR(N322="331",O322="331")),"x","")</f>
        <v/>
      </c>
      <c r="Q322" s="85" t="str">
        <f>IF(AND(B322='111'!$L$11,OR($N322=$Q$7,$O322=$Q$7)),"x","")</f>
        <v/>
      </c>
      <c r="R322" s="85" t="str">
        <f>IF(AND($N322=$Q$7,$B322&lt;'111'!$L$11),"x","")</f>
        <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IF(AND('341-CT'!$H$9=H322,OR(LEFT(N322,3)=$W$7,LEFT(O322,3)=$W$7)),"x","")</f>
        <v/>
      </c>
      <c r="X322" s="85" t="str">
        <f>IF(OR(TH!N322=TH!$X$7,O322=TH!$X$7),"x","")</f>
        <v/>
      </c>
      <c r="Y322" s="85" t="str">
        <f>IF(AND(OR(N322="131",O322="131"),H322='131-CT'!$H$9),"x","")</f>
        <v/>
      </c>
      <c r="Z322" s="85"/>
      <c r="AA322" s="85" t="str">
        <f>IF(AND(MONTH(E322)='IN-NX'!$J$5,'IN-NX'!$D$7=D322),"x","")</f>
        <v/>
      </c>
      <c r="AB322" s="85" t="str">
        <f>IF(AND(OR(LEFT(TH!N322,2)="15",LEFT(TH!O322,2)="15"),'152-CT'!$J$8=TH!F322),"x","")</f>
        <v/>
      </c>
      <c r="AC322" s="85" t="str">
        <f>IF(AND(OR(LEFT(TH!N322,2)="15",LEFT(TH!O322,2)="15"),TK!$E$7=TH!F322),"x","")</f>
        <v/>
      </c>
      <c r="AD322" s="85" t="str">
        <f>IF(AND(N322="1521",MONTH(C322)='BK-NL'!$M$11),"x","")</f>
        <v/>
      </c>
    </row>
    <row r="323" spans="1:30" ht="15.75" customHeight="1">
      <c r="A323" s="343" t="str">
        <f>IF(B323&lt;&gt;"",IF(AND(B323='IN-TC'!$S$4,OR(TH!N323="1111",TH!O323="1111")),TH!D323,""),"")</f>
        <v/>
      </c>
      <c r="B323" s="63">
        <f t="shared" si="52"/>
        <v>1</v>
      </c>
      <c r="C323" s="64">
        <v>42396</v>
      </c>
      <c r="D323" s="64" t="s">
        <v>709</v>
      </c>
      <c r="E323" s="64">
        <v>42396</v>
      </c>
      <c r="F323" s="67" t="s">
        <v>716</v>
      </c>
      <c r="G323" s="67" t="s">
        <v>930</v>
      </c>
      <c r="H323" s="74"/>
      <c r="I323" s="447"/>
      <c r="J323" s="447"/>
      <c r="K323" s="438">
        <v>39400</v>
      </c>
      <c r="L323" s="447">
        <v>22280</v>
      </c>
      <c r="M323" s="84">
        <f>ROUND(K323*L323,0)</f>
        <v>877832000</v>
      </c>
      <c r="N323" s="66" t="s">
        <v>26</v>
      </c>
      <c r="O323" s="66" t="s">
        <v>267</v>
      </c>
      <c r="P323" s="85" t="str">
        <f>IF(AND('331-CT'!$E$7=TH!H323,OR(N323="331",O323="331")),"x","")</f>
        <v/>
      </c>
      <c r="Q323" s="85" t="str">
        <f>IF(AND(B323='111'!$L$11,OR($N323=$Q$7,$O323=$Q$7)),"x","")</f>
        <v/>
      </c>
      <c r="R323" s="85" t="str">
        <f>IF(AND($N323=$Q$7,$B323&lt;'111'!$L$11),"x","")</f>
        <v/>
      </c>
      <c r="S323" s="85" t="str">
        <f>IF(AND($O323=$Q$7,$B323&lt;'111'!$L$11),"x","")</f>
        <v/>
      </c>
      <c r="T323" s="85" t="str">
        <f>IF(ISERROR(FIND('112'!$M$9,G323,1)),"",IF((AND(FIND('112'!$M$9,G323,1)&gt;=1,B323='112'!$K$9,OR($N323='112'!$I$6,$O323='112'!$I$6))),"x",""))</f>
        <v/>
      </c>
      <c r="U323" s="85" t="str">
        <f>IF(ISERROR(FIND('112'!$M$9,G323,1)),"",IF((AND(LEFT(G323,2)=LEFT('112'!$M$9,2),B323&lt;'112'!$K$9,$N323='112'!$I$6)),"x",""))</f>
        <v/>
      </c>
      <c r="V323" s="85" t="str">
        <f>IF(ISERROR(FIND('112'!$M$9,G323,1)),"",IF((AND(RIGHT(G323,2)=RIGHT('112'!$M$9,2),B323&lt;'112'!$K$9,$O323='112'!$I$6)),"x",""))</f>
        <v/>
      </c>
      <c r="W323" s="85" t="str">
        <f>IF(AND('341-CT'!$H$9=H323,OR(LEFT(N323,3)=$W$7,LEFT(O323,3)=$W$7)),"x","")</f>
        <v/>
      </c>
      <c r="X323" s="85" t="str">
        <f>IF(OR(TH!N323=TH!$X$7,O323=TH!$X$7),"x","")</f>
        <v/>
      </c>
      <c r="Y323" s="85" t="str">
        <f>IF(AND(OR(N323="131",O323="131"),H323='131-CT'!$H$9),"x","")</f>
        <v/>
      </c>
      <c r="Z323" s="85"/>
      <c r="AA323" s="85" t="str">
        <f>IF(AND(MONTH(E323)='IN-NX'!$J$5,'IN-NX'!$D$7=D323),"x","")</f>
        <v/>
      </c>
      <c r="AB323" s="85" t="str">
        <f>IF(AND(OR(LEFT(TH!N323,2)="15",LEFT(TH!O323,2)="15"),'152-CT'!$J$8=TH!F323),"x","")</f>
        <v/>
      </c>
      <c r="AC323" s="85" t="str">
        <f>IF(AND(OR(LEFT(TH!N323,2)="15",LEFT(TH!O323,2)="15"),TK!$E$7=TH!F323),"x","")</f>
        <v/>
      </c>
      <c r="AD323" s="85" t="str">
        <f>IF(AND(N323="1521",MONTH(C323)='BK-NL'!$M$11),"x","")</f>
        <v/>
      </c>
    </row>
    <row r="324" spans="1:30" ht="15.75" customHeight="1">
      <c r="A324" s="343" t="str">
        <f>IF(B324&lt;&gt;"",IF(AND(B324='IN-TC'!$S$4,OR(TH!N324="1111",TH!O324="1111")),TH!D324,""),"")</f>
        <v/>
      </c>
      <c r="B324" s="63">
        <f t="shared" si="52"/>
        <v>1</v>
      </c>
      <c r="C324" s="64">
        <v>42396</v>
      </c>
      <c r="D324" s="64" t="s">
        <v>920</v>
      </c>
      <c r="E324" s="64">
        <v>42396</v>
      </c>
      <c r="F324" s="520" t="s">
        <v>755</v>
      </c>
      <c r="G324" s="67" t="s">
        <v>930</v>
      </c>
      <c r="H324" s="75" t="s">
        <v>773</v>
      </c>
      <c r="I324" s="450"/>
      <c r="J324" s="447"/>
      <c r="K324" s="441"/>
      <c r="L324" s="450"/>
      <c r="M324" s="65">
        <v>850000000</v>
      </c>
      <c r="N324" s="66" t="s">
        <v>63</v>
      </c>
      <c r="O324" s="66" t="s">
        <v>26</v>
      </c>
      <c r="P324" s="85" t="str">
        <f>IF(AND('331-CT'!$E$7=TH!H324,OR(N324="331",O324="331")),"x","")</f>
        <v/>
      </c>
      <c r="Q324" s="85" t="str">
        <f>IF(AND(B324='111'!$L$11,OR($N324=$Q$7,$O324=$Q$7)),"x","")</f>
        <v>x</v>
      </c>
      <c r="R324" s="85" t="str">
        <f>IF(AND($N324=$Q$7,$B324&lt;'111'!$L$11),"x","")</f>
        <v/>
      </c>
      <c r="S324" s="85" t="str">
        <f>IF(AND($O324=$Q$7,$B324&lt;'111'!$L$11),"x","")</f>
        <v/>
      </c>
      <c r="T324" s="85" t="str">
        <f>IF(ISERROR(FIND('112'!$M$9,G324,1)),"",IF((AND(FIND('112'!$M$9,G324,1)&gt;=1,B324='112'!$K$9,OR($N324='112'!$I$6,$O324='112'!$I$6))),"x",""))</f>
        <v/>
      </c>
      <c r="U324" s="85" t="str">
        <f>IF(ISERROR(FIND('112'!$M$9,G324,1)),"",IF((AND(LEFT(G324,2)=LEFT('112'!$M$9,2),B324&lt;'112'!$K$9,$N324='112'!$I$6)),"x",""))</f>
        <v/>
      </c>
      <c r="V324" s="85" t="str">
        <f>IF(ISERROR(FIND('112'!$M$9,G324,1)),"",IF((AND(RIGHT(G324,2)=RIGHT('112'!$M$9,2),B324&lt;'112'!$K$9,$O324='112'!$I$6)),"x",""))</f>
        <v/>
      </c>
      <c r="W324" s="85" t="str">
        <f>IF(AND('341-CT'!$H$9=H324,OR(LEFT(N324,3)=$W$7,LEFT(O324,3)=$W$7)),"x","")</f>
        <v/>
      </c>
      <c r="X324" s="85" t="str">
        <f>IF(OR(TH!N324=TH!$X$7,O324=TH!$X$7),"x","")</f>
        <v/>
      </c>
      <c r="Y324" s="85" t="str">
        <f>IF(AND(OR(N324="131",O324="131"),H324='131-CT'!$H$9),"x","")</f>
        <v/>
      </c>
      <c r="Z324" s="85"/>
      <c r="AA324" s="85" t="str">
        <f>IF(AND(MONTH(E324)='IN-NX'!$J$5,'IN-NX'!$D$7=D324),"x","")</f>
        <v/>
      </c>
      <c r="AB324" s="85" t="str">
        <f>IF(AND(OR(LEFT(TH!N324,2)="15",LEFT(TH!O324,2)="15"),'152-CT'!$J$8=TH!F324),"x","")</f>
        <v/>
      </c>
      <c r="AC324" s="85" t="str">
        <f>IF(AND(OR(LEFT(TH!N324,2)="15",LEFT(TH!O324,2)="15"),TK!$E$7=TH!F324),"x","")</f>
        <v/>
      </c>
      <c r="AD324" s="85" t="str">
        <f>IF(AND(N324="1521",MONTH(C324)='BK-NL'!$M$11),"x","")</f>
        <v/>
      </c>
    </row>
    <row r="325" spans="1:30" ht="15.75" customHeight="1">
      <c r="A325" s="343" t="str">
        <f>IF(B325&lt;&gt;"",IF(AND(B325='IN-TC'!$S$4,OR(TH!N325="1111",TH!O325="1111")),TH!D325,""),"")</f>
        <v/>
      </c>
      <c r="B325" s="63">
        <f t="shared" si="52"/>
        <v>1</v>
      </c>
      <c r="C325" s="64">
        <v>42396</v>
      </c>
      <c r="D325" s="64" t="s">
        <v>709</v>
      </c>
      <c r="E325" s="64">
        <v>42396</v>
      </c>
      <c r="F325" s="520" t="s">
        <v>1107</v>
      </c>
      <c r="G325" s="67" t="s">
        <v>930</v>
      </c>
      <c r="H325" s="520" t="s">
        <v>636</v>
      </c>
      <c r="I325" s="447"/>
      <c r="J325" s="447"/>
      <c r="K325" s="438"/>
      <c r="L325" s="447"/>
      <c r="M325" s="65">
        <v>27118300</v>
      </c>
      <c r="N325" s="66" t="s">
        <v>19</v>
      </c>
      <c r="O325" s="66" t="s">
        <v>26</v>
      </c>
      <c r="P325" s="85" t="str">
        <f>IF(AND('331-CT'!$E$7=TH!H325,OR(N325="331",O325="331")),"x","")</f>
        <v/>
      </c>
      <c r="Q325" s="85" t="str">
        <f>IF(AND(B325='111'!$L$11,OR($N325=$Q$7,$O325=$Q$7)),"x","")</f>
        <v/>
      </c>
      <c r="R325" s="85" t="str">
        <f>IF(AND($N325=$Q$7,$B325&lt;'111'!$L$11),"x","")</f>
        <v/>
      </c>
      <c r="S325" s="85" t="str">
        <f>IF(AND($O325=$Q$7,$B325&lt;'111'!$L$11),"x","")</f>
        <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
      </c>
      <c r="W325" s="85" t="str">
        <f>IF(AND('341-CT'!$H$9=H325,OR(LEFT(N325,3)=$W$7,LEFT(O325,3)=$W$7)),"x","")</f>
        <v/>
      </c>
      <c r="X325" s="85" t="str">
        <f>IF(OR(TH!N325=TH!$X$7,O325=TH!$X$7),"x","")</f>
        <v/>
      </c>
      <c r="Y325" s="85" t="str">
        <f>IF(AND(OR(N325="131",O325="131"),H325='131-CT'!$H$9),"x","")</f>
        <v/>
      </c>
      <c r="Z325" s="85"/>
      <c r="AA325" s="85" t="str">
        <f>IF(AND(MONTH(E325)='IN-NX'!$J$5,'IN-NX'!$D$7=D325),"x","")</f>
        <v/>
      </c>
      <c r="AB325" s="85" t="str">
        <f>IF(AND(OR(LEFT(TH!N325,2)="15",LEFT(TH!O325,2)="15"),'152-CT'!$J$8=TH!F325),"x","")</f>
        <v/>
      </c>
      <c r="AC325" s="85" t="str">
        <f>IF(AND(OR(LEFT(TH!N325,2)="15",LEFT(TH!O325,2)="15"),TK!$E$7=TH!F325),"x","")</f>
        <v/>
      </c>
      <c r="AD325" s="85" t="str">
        <f>IF(AND(N325="1521",MONTH(C325)='BK-NL'!$M$11),"x","")</f>
        <v/>
      </c>
    </row>
    <row r="326" spans="1:30" ht="15.75" customHeight="1">
      <c r="A326" s="343" t="str">
        <f>IF(B326&lt;&gt;"",IF(AND(B326='IN-TC'!$S$4,OR(TH!N326="1111",TH!O326="1111")),TH!D326,""),"")</f>
        <v/>
      </c>
      <c r="B326" s="63">
        <f t="shared" si="52"/>
        <v>1</v>
      </c>
      <c r="C326" s="64">
        <v>42396</v>
      </c>
      <c r="D326" s="64" t="s">
        <v>709</v>
      </c>
      <c r="E326" s="64">
        <v>42396</v>
      </c>
      <c r="F326" s="520" t="s">
        <v>752</v>
      </c>
      <c r="G326" s="67" t="s">
        <v>930</v>
      </c>
      <c r="H326" s="520"/>
      <c r="I326" s="447"/>
      <c r="J326" s="447"/>
      <c r="K326" s="438"/>
      <c r="L326" s="447"/>
      <c r="M326" s="65">
        <v>25000</v>
      </c>
      <c r="N326" s="66" t="s">
        <v>101</v>
      </c>
      <c r="O326" s="66" t="s">
        <v>26</v>
      </c>
      <c r="P326" s="85" t="str">
        <f>IF(AND('331-CT'!$E$7=TH!H326,OR(N326="331",O326="331")),"x","")</f>
        <v/>
      </c>
      <c r="Q326" s="85" t="str">
        <f>IF(AND(B326='111'!$L$11,OR($N326=$Q$7,$O326=$Q$7)),"x","")</f>
        <v/>
      </c>
      <c r="R326" s="85" t="str">
        <f>IF(AND($N326=$Q$7,$B326&lt;'111'!$L$11),"x","")</f>
        <v/>
      </c>
      <c r="S326" s="85" t="str">
        <f>IF(AND($O326=$Q$7,$B326&lt;'111'!$L$11),"x","")</f>
        <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
      </c>
      <c r="W326" s="85" t="str">
        <f>IF(AND('341-CT'!$H$9=H326,OR(LEFT(N326,3)=$W$7,LEFT(O326,3)=$W$7)),"x","")</f>
        <v/>
      </c>
      <c r="X326" s="85" t="str">
        <f>IF(OR(TH!N326=TH!$X$7,O326=TH!$X$7),"x","")</f>
        <v/>
      </c>
      <c r="Y326" s="85" t="str">
        <f>IF(AND(OR(N326="131",O326="131"),H326='131-CT'!$H$9),"x","")</f>
        <v/>
      </c>
      <c r="Z326" s="85"/>
      <c r="AA326" s="85" t="str">
        <f>IF(AND(MONTH(E326)='IN-NX'!$J$5,'IN-NX'!$D$7=D326),"x","")</f>
        <v/>
      </c>
      <c r="AB326" s="85" t="str">
        <f>IF(AND(OR(LEFT(TH!N326,2)="15",LEFT(TH!O326,2)="15"),'152-CT'!$J$8=TH!F326),"x","")</f>
        <v/>
      </c>
      <c r="AC326" s="85" t="str">
        <f>IF(AND(OR(LEFT(TH!N326,2)="15",LEFT(TH!O326,2)="15"),TK!$E$7=TH!F326),"x","")</f>
        <v/>
      </c>
      <c r="AD326" s="85" t="str">
        <f>IF(AND(N326="1521",MONTH(C326)='BK-NL'!$M$11),"x","")</f>
        <v/>
      </c>
    </row>
    <row r="327" spans="1:30" ht="15.75" customHeight="1">
      <c r="A327" s="343" t="str">
        <f>IF(B327&lt;&gt;"",IF(AND(B327='IN-TC'!$S$4,OR(TH!N327="1111",TH!O327="1111")),TH!D327,""),"")</f>
        <v/>
      </c>
      <c r="B327" s="63">
        <f t="shared" si="52"/>
        <v>1</v>
      </c>
      <c r="C327" s="64">
        <v>42396</v>
      </c>
      <c r="D327" s="64" t="s">
        <v>709</v>
      </c>
      <c r="E327" s="64">
        <v>42396</v>
      </c>
      <c r="F327" s="67" t="s">
        <v>754</v>
      </c>
      <c r="G327" s="67" t="s">
        <v>930</v>
      </c>
      <c r="H327" s="870"/>
      <c r="I327" s="451"/>
      <c r="J327" s="451"/>
      <c r="K327" s="442"/>
      <c r="L327" s="451"/>
      <c r="M327" s="65">
        <v>2500</v>
      </c>
      <c r="N327" s="66" t="s">
        <v>9</v>
      </c>
      <c r="O327" s="66" t="s">
        <v>26</v>
      </c>
      <c r="P327" s="85" t="str">
        <f>IF(AND('331-CT'!$E$7=TH!H327,OR(N327="331",O327="331")),"x","")</f>
        <v/>
      </c>
      <c r="Q327" s="85" t="str">
        <f>IF(AND(B327='111'!$L$11,OR($N327=$Q$7,$O327=$Q$7)),"x","")</f>
        <v/>
      </c>
      <c r="R327" s="85" t="str">
        <f>IF(AND($N327=$Q$7,$B327&lt;'111'!$L$11),"x","")</f>
        <v/>
      </c>
      <c r="S327" s="85" t="str">
        <f>IF(AND($O327=$Q$7,$B327&lt;'111'!$L$11),"x","")</f>
        <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
      </c>
      <c r="W327" s="85" t="str">
        <f>IF(AND('341-CT'!$H$9=H327,OR(LEFT(N327,3)=$W$7,LEFT(O327,3)=$W$7)),"x","")</f>
        <v/>
      </c>
      <c r="X327" s="85" t="str">
        <f>IF(OR(TH!N327=TH!$X$7,O327=TH!$X$7),"x","")</f>
        <v/>
      </c>
      <c r="Y327" s="85" t="str">
        <f>IF(AND(OR(N327="131",O327="131"),H327='131-CT'!$H$9),"x","")</f>
        <v/>
      </c>
      <c r="Z327" s="85"/>
      <c r="AA327" s="85" t="str">
        <f>IF(AND(MONTH(E327)='IN-NX'!$J$5,'IN-NX'!$D$7=D327),"x","")</f>
        <v/>
      </c>
      <c r="AB327" s="85" t="str">
        <f>IF(AND(OR(LEFT(TH!N327,2)="15",LEFT(TH!O327,2)="15"),'152-CT'!$J$8=TH!F327),"x","")</f>
        <v/>
      </c>
      <c r="AC327" s="85" t="str">
        <f>IF(AND(OR(LEFT(TH!N327,2)="15",LEFT(TH!O327,2)="15"),TK!$E$7=TH!F327),"x","")</f>
        <v/>
      </c>
      <c r="AD327" s="85" t="str">
        <f>IF(AND(N327="1521",MONTH(C327)='BK-NL'!$M$11),"x","")</f>
        <v/>
      </c>
    </row>
    <row r="328" spans="1:30" ht="15.75" customHeight="1">
      <c r="A328" s="343" t="str">
        <f>IF(B328&lt;&gt;"",IF(AND(B328='IN-TC'!$S$4,OR(TH!N328="1111",TH!O328="1111")),TH!D328,""),"")</f>
        <v/>
      </c>
      <c r="B328" s="63">
        <f t="shared" si="52"/>
        <v>1</v>
      </c>
      <c r="C328" s="81">
        <f>E328</f>
        <v>42396</v>
      </c>
      <c r="D328" s="81" t="s">
        <v>923</v>
      </c>
      <c r="E328" s="81">
        <v>42396</v>
      </c>
      <c r="F328" s="82" t="s">
        <v>975</v>
      </c>
      <c r="G328" s="82"/>
      <c r="H328" s="83" t="s">
        <v>974</v>
      </c>
      <c r="I328" s="445"/>
      <c r="J328" s="445"/>
      <c r="K328" s="436"/>
      <c r="L328" s="445"/>
      <c r="M328" s="84">
        <v>500000000</v>
      </c>
      <c r="N328" s="85" t="s">
        <v>273</v>
      </c>
      <c r="O328" s="85" t="s">
        <v>63</v>
      </c>
      <c r="P328" s="85" t="str">
        <f>IF(AND('331-CT'!$E$7=TH!H328,OR(N328="331",O328="331")),"x","")</f>
        <v/>
      </c>
      <c r="Q328" s="85" t="str">
        <f>IF(AND(B328='111'!$L$11,OR($N328=$Q$7,$O328=$Q$7)),"x","")</f>
        <v>x</v>
      </c>
      <c r="R328" s="85" t="str">
        <f>IF(AND($N328=$Q$7,$B328&lt;'111'!$L$11),"x","")</f>
        <v/>
      </c>
      <c r="S328" s="85" t="str">
        <f>IF(AND($O328=$Q$7,$B328&lt;'111'!$L$11),"x","")</f>
        <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IF(AND('341-CT'!$H$9=H328,OR(LEFT(N328,3)=$W$7,LEFT(O328,3)=$W$7)),"x","")</f>
        <v/>
      </c>
      <c r="X328" s="85" t="str">
        <f>IF(OR(TH!N328=TH!$X$7,O328=TH!$X$7),"x","")</f>
        <v/>
      </c>
      <c r="Y328" s="85" t="str">
        <f>IF(AND(OR(N328="131",O328="131"),H328='131-CT'!$H$9),"x","")</f>
        <v/>
      </c>
      <c r="Z328" s="85"/>
      <c r="AA328" s="85" t="str">
        <f>IF(AND(MONTH(E328)='IN-NX'!$J$5,'IN-NX'!$D$7=D328),"x","")</f>
        <v/>
      </c>
      <c r="AB328" s="85" t="str">
        <f>IF(AND(OR(LEFT(TH!N328,2)="15",LEFT(TH!O328,2)="15"),'152-CT'!$J$8=TH!F328),"x","")</f>
        <v/>
      </c>
      <c r="AC328" s="85" t="str">
        <f>IF(AND(OR(LEFT(TH!N328,2)="15",LEFT(TH!O328,2)="15"),TK!$E$7=TH!F328),"x","")</f>
        <v/>
      </c>
      <c r="AD328" s="85" t="str">
        <f>IF(AND(N328="1521",MONTH(C328)='BK-NL'!$M$11),"x","")</f>
        <v/>
      </c>
    </row>
    <row r="329" spans="1:30" ht="15.75" customHeight="1">
      <c r="A329" s="343" t="str">
        <f>IF(B329&lt;&gt;"",IF(AND(B329='IN-TC'!$S$4,OR(TH!N329="1111",TH!O329="1111")),TH!D329,""),"")</f>
        <v/>
      </c>
      <c r="B329" s="63">
        <f t="shared" si="52"/>
        <v>1</v>
      </c>
      <c r="C329" s="64">
        <v>42397</v>
      </c>
      <c r="D329" s="64" t="s">
        <v>706</v>
      </c>
      <c r="E329" s="64">
        <v>42397</v>
      </c>
      <c r="F329" s="67" t="s">
        <v>712</v>
      </c>
      <c r="G329" s="67" t="s">
        <v>930</v>
      </c>
      <c r="H329" s="74" t="s">
        <v>604</v>
      </c>
      <c r="I329" s="447"/>
      <c r="J329" s="447"/>
      <c r="K329" s="438">
        <v>71518.62</v>
      </c>
      <c r="L329" s="447">
        <v>22300</v>
      </c>
      <c r="M329" s="84">
        <f t="shared" ref="M329:M335" si="53">ROUND(K329*L329,0)</f>
        <v>1594865226</v>
      </c>
      <c r="N329" s="66" t="s">
        <v>267</v>
      </c>
      <c r="O329" s="66" t="s">
        <v>591</v>
      </c>
      <c r="P329" s="85" t="str">
        <f>IF(AND('331-CT'!$E$7=TH!H329,OR(N329="331",O329="331")),"x","")</f>
        <v/>
      </c>
      <c r="Q329" s="85" t="str">
        <f>IF(AND(B329='111'!$L$11,OR($N329=$Q$7,$O329=$Q$7)),"x","")</f>
        <v/>
      </c>
      <c r="R329" s="85" t="str">
        <f>IF(AND($N329=$Q$7,$B329&lt;'111'!$L$11),"x","")</f>
        <v/>
      </c>
      <c r="S329" s="85" t="str">
        <f>IF(AND($O329=$Q$7,$B329&lt;'111'!$L$11),"x","")</f>
        <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IF(AND('341-CT'!$H$9=H329,OR(LEFT(N329,3)=$W$7,LEFT(O329,3)=$W$7)),"x","")</f>
        <v/>
      </c>
      <c r="X329" s="85" t="str">
        <f>IF(OR(TH!N329=TH!$X$7,O329=TH!$X$7),"x","")</f>
        <v/>
      </c>
      <c r="Y329" s="85" t="str">
        <f>IF(AND(OR(N329="131",O329="131"),H329='131-CT'!$H$9),"x","")</f>
        <v/>
      </c>
      <c r="Z329" s="85"/>
      <c r="AA329" s="85" t="str">
        <f>IF(AND(MONTH(E329)='IN-NX'!$J$5,'IN-NX'!$D$7=D329),"x","")</f>
        <v/>
      </c>
      <c r="AB329" s="85" t="str">
        <f>IF(AND(OR(LEFT(TH!N329,2)="15",LEFT(TH!O329,2)="15"),'152-CT'!$J$8=TH!F329),"x","")</f>
        <v/>
      </c>
      <c r="AC329" s="85" t="str">
        <f>IF(AND(OR(LEFT(TH!N329,2)="15",LEFT(TH!O329,2)="15"),TK!$E$7=TH!F329),"x","")</f>
        <v/>
      </c>
      <c r="AD329" s="85" t="str">
        <f>IF(AND(N329="1521",MONTH(C329)='BK-NL'!$M$11),"x","")</f>
        <v/>
      </c>
    </row>
    <row r="330" spans="1:30" s="348" customFormat="1" ht="15.75" customHeight="1">
      <c r="A330" s="343" t="str">
        <f>IF(B330&lt;&gt;"",IF(AND(B330='IN-TC'!$S$4,OR(TH!N330="1111",TH!O330="1111")),TH!D330,""),"")</f>
        <v/>
      </c>
      <c r="B330" s="63">
        <f t="shared" si="52"/>
        <v>1</v>
      </c>
      <c r="C330" s="64">
        <f>E330</f>
        <v>42397</v>
      </c>
      <c r="D330" s="64" t="s">
        <v>585</v>
      </c>
      <c r="E330" s="64">
        <v>42397</v>
      </c>
      <c r="F330" s="67" t="s">
        <v>617</v>
      </c>
      <c r="G330" s="67" t="s">
        <v>930</v>
      </c>
      <c r="H330" s="74" t="s">
        <v>604</v>
      </c>
      <c r="I330" s="447"/>
      <c r="J330" s="447"/>
      <c r="K330" s="438">
        <v>11</v>
      </c>
      <c r="L330" s="447">
        <v>22310</v>
      </c>
      <c r="M330" s="65">
        <f t="shared" si="53"/>
        <v>245410</v>
      </c>
      <c r="N330" s="66" t="s">
        <v>101</v>
      </c>
      <c r="O330" s="66" t="s">
        <v>591</v>
      </c>
      <c r="P330" s="85" t="str">
        <f>IF(AND('331-CT'!$E$7=TH!H330,OR(N330="331",O330="331")),"x","")</f>
        <v/>
      </c>
      <c r="Q330" s="85" t="str">
        <f>IF(AND(B330='111'!$L$11,OR($N330=$Q$7,$O330=$Q$7)),"x","")</f>
        <v/>
      </c>
      <c r="R330" s="85" t="str">
        <f>IF(AND($N330=$Q$7,$B330&lt;'111'!$L$11),"x","")</f>
        <v/>
      </c>
      <c r="S330" s="85" t="str">
        <f>IF(AND($O330=$Q$7,$B330&lt;'111'!$L$11),"x","")</f>
        <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IF(AND('341-CT'!$H$9=H330,OR(LEFT(N330,3)=$W$7,LEFT(O330,3)=$W$7)),"x","")</f>
        <v/>
      </c>
      <c r="X330" s="85" t="str">
        <f>IF(OR(TH!N330=TH!$X$7,O330=TH!$X$7),"x","")</f>
        <v/>
      </c>
      <c r="Y330" s="85" t="str">
        <f>IF(AND(OR(N330="131",O330="131"),H330='131-CT'!$H$9),"x","")</f>
        <v/>
      </c>
      <c r="Z330" s="85"/>
      <c r="AA330" s="85" t="str">
        <f>IF(AND(MONTH(E330)='IN-NX'!$J$5,'IN-NX'!$D$7=D330),"x","")</f>
        <v/>
      </c>
      <c r="AB330" s="85" t="str">
        <f>IF(AND(OR(LEFT(TH!N330,2)="15",LEFT(TH!O330,2)="15"),'152-CT'!$J$8=TH!F330),"x","")</f>
        <v/>
      </c>
      <c r="AC330" s="85" t="str">
        <f>IF(AND(OR(LEFT(TH!N330,2)="15",LEFT(TH!O330,2)="15"),TK!$E$7=TH!F330),"x","")</f>
        <v/>
      </c>
      <c r="AD330" s="85" t="str">
        <f>IF(AND(N330="1521",MONTH(C330)='BK-NL'!$M$11),"x","")</f>
        <v/>
      </c>
    </row>
    <row r="331" spans="1:30" s="348" customFormat="1" ht="15.75" customHeight="1">
      <c r="A331" s="343" t="str">
        <f>IF(B331&lt;&gt;"",IF(AND(B331='IN-TC'!$S$4,OR(TH!N331="1111",TH!O331="1111")),TH!D331,""),"")</f>
        <v/>
      </c>
      <c r="B331" s="63">
        <f t="shared" ref="B331:B394" si="54">IF(C331&lt;&gt;"",MONTH(C331),"")</f>
        <v>1</v>
      </c>
      <c r="C331" s="64">
        <f>E331</f>
        <v>42397</v>
      </c>
      <c r="D331" s="64" t="s">
        <v>585</v>
      </c>
      <c r="E331" s="64">
        <v>42397</v>
      </c>
      <c r="F331" s="67" t="s">
        <v>618</v>
      </c>
      <c r="G331" s="67" t="s">
        <v>930</v>
      </c>
      <c r="H331" s="74" t="s">
        <v>604</v>
      </c>
      <c r="I331" s="447"/>
      <c r="J331" s="447"/>
      <c r="K331" s="438">
        <v>30.38</v>
      </c>
      <c r="L331" s="447">
        <v>22310</v>
      </c>
      <c r="M331" s="65">
        <f t="shared" si="53"/>
        <v>677778</v>
      </c>
      <c r="N331" s="66" t="s">
        <v>101</v>
      </c>
      <c r="O331" s="66" t="s">
        <v>591</v>
      </c>
      <c r="P331" s="85" t="str">
        <f>IF(AND('331-CT'!$E$7=TH!H331,OR(N331="331",O331="331")),"x","")</f>
        <v/>
      </c>
      <c r="Q331" s="85" t="str">
        <f>IF(AND(B331='111'!$L$11,OR($N331=$Q$7,$O331=$Q$7)),"x","")</f>
        <v/>
      </c>
      <c r="R331" s="85" t="str">
        <f>IF(AND($N331=$Q$7,$B331&lt;'111'!$L$11),"x","")</f>
        <v/>
      </c>
      <c r="S331" s="85" t="str">
        <f>IF(AND($O331=$Q$7,$B331&lt;'111'!$L$11),"x","")</f>
        <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IF(AND('341-CT'!$H$9=H331,OR(LEFT(N331,3)=$W$7,LEFT(O331,3)=$W$7)),"x","")</f>
        <v/>
      </c>
      <c r="X331" s="85" t="str">
        <f>IF(OR(TH!N331=TH!$X$7,O331=TH!$X$7),"x","")</f>
        <v/>
      </c>
      <c r="Y331" s="85" t="str">
        <f>IF(AND(OR(N331="131",O331="131"),H331='131-CT'!$H$9),"x","")</f>
        <v/>
      </c>
      <c r="Z331" s="85"/>
      <c r="AA331" s="85" t="str">
        <f>IF(AND(MONTH(E331)='IN-NX'!$J$5,'IN-NX'!$D$7=D331),"x","")</f>
        <v/>
      </c>
      <c r="AB331" s="85" t="str">
        <f>IF(AND(OR(LEFT(TH!N331,2)="15",LEFT(TH!O331,2)="15"),'152-CT'!$J$8=TH!F331),"x","")</f>
        <v/>
      </c>
      <c r="AC331" s="85" t="str">
        <f>IF(AND(OR(LEFT(TH!N331,2)="15",LEFT(TH!O331,2)="15"),TK!$E$7=TH!F331),"x","")</f>
        <v/>
      </c>
      <c r="AD331" s="85" t="str">
        <f>IF(AND(N331="1521",MONTH(C331)='BK-NL'!$M$11),"x","")</f>
        <v/>
      </c>
    </row>
    <row r="332" spans="1:30" ht="15.75" customHeight="1">
      <c r="A332" s="343" t="str">
        <f>IF(B332&lt;&gt;"",IF(AND(B332='IN-TC'!$S$4,OR(TH!N332="1111",TH!O332="1111")),TH!D332,""),"")</f>
        <v/>
      </c>
      <c r="B332" s="63">
        <f t="shared" si="54"/>
        <v>1</v>
      </c>
      <c r="C332" s="64">
        <v>42398</v>
      </c>
      <c r="D332" s="64" t="s">
        <v>709</v>
      </c>
      <c r="E332" s="64">
        <v>42398</v>
      </c>
      <c r="F332" s="67" t="s">
        <v>707</v>
      </c>
      <c r="G332" s="67" t="s">
        <v>936</v>
      </c>
      <c r="H332" s="353"/>
      <c r="I332" s="451"/>
      <c r="J332" s="451"/>
      <c r="K332" s="442">
        <v>52300</v>
      </c>
      <c r="L332" s="451">
        <v>22225</v>
      </c>
      <c r="M332" s="84">
        <f t="shared" si="53"/>
        <v>1162367500</v>
      </c>
      <c r="N332" s="66" t="s">
        <v>267</v>
      </c>
      <c r="O332" s="66" t="s">
        <v>267</v>
      </c>
      <c r="P332" s="85" t="str">
        <f>IF(AND('331-CT'!$E$7=TH!H332,OR(N332="331",O332="331")),"x","")</f>
        <v/>
      </c>
      <c r="Q332" s="85" t="str">
        <f>IF(AND(B332='111'!$L$11,OR($N332=$Q$7,$O332=$Q$7)),"x","")</f>
        <v/>
      </c>
      <c r="R332" s="85" t="str">
        <f>IF(AND($N332=$Q$7,$B332&lt;'111'!$L$11),"x","")</f>
        <v/>
      </c>
      <c r="S332" s="85" t="str">
        <f>IF(AND($O332=$Q$7,$B332&lt;'111'!$L$11),"x","")</f>
        <v/>
      </c>
      <c r="T332" s="85" t="str">
        <f>IF(ISERROR(FIND('112'!$M$9,G332,1)),"",IF((AND(FIND('112'!$M$9,G332,1)&gt;=1,B332='112'!$K$9,OR($N332='112'!$I$6,$O332='112'!$I$6))),"x",""))</f>
        <v>x</v>
      </c>
      <c r="U332" s="85" t="str">
        <f>IF(ISERROR(FIND('112'!$M$9,G332,1)),"",IF((AND(LEFT(G332,2)=LEFT('112'!$M$9,2),B332&lt;'112'!$K$9,$N332='112'!$I$6)),"x",""))</f>
        <v/>
      </c>
      <c r="V332" s="85" t="str">
        <f>IF(ISERROR(FIND('112'!$M$9,G332,1)),"",IF((AND(RIGHT(G332,2)=RIGHT('112'!$M$9,2),B332&lt;'112'!$K$9,$O332='112'!$I$6)),"x",""))</f>
        <v/>
      </c>
      <c r="W332" s="85" t="str">
        <f>IF(AND('341-CT'!$H$9=H332,OR(LEFT(N332,3)=$W$7,LEFT(O332,3)=$W$7)),"x","")</f>
        <v/>
      </c>
      <c r="X332" s="85" t="str">
        <f>IF(OR(TH!N332=TH!$X$7,O332=TH!$X$7),"x","")</f>
        <v/>
      </c>
      <c r="Y332" s="85" t="str">
        <f>IF(AND(OR(N332="131",O332="131"),H332='131-CT'!$H$9),"x","")</f>
        <v/>
      </c>
      <c r="Z332" s="85"/>
      <c r="AA332" s="85" t="str">
        <f>IF(AND(MONTH(E332)='IN-NX'!$J$5,'IN-NX'!$D$7=D332),"x","")</f>
        <v/>
      </c>
      <c r="AB332" s="85" t="str">
        <f>IF(AND(OR(LEFT(TH!N332,2)="15",LEFT(TH!O332,2)="15"),'152-CT'!$J$8=TH!F332),"x","")</f>
        <v/>
      </c>
      <c r="AC332" s="85" t="str">
        <f>IF(AND(OR(LEFT(TH!N332,2)="15",LEFT(TH!O332,2)="15"),TK!$E$7=TH!F332),"x","")</f>
        <v/>
      </c>
      <c r="AD332" s="85" t="str">
        <f>IF(AND(N332="1521",MONTH(C332)='BK-NL'!$M$11),"x","")</f>
        <v/>
      </c>
    </row>
    <row r="333" spans="1:30" ht="15.75" customHeight="1">
      <c r="A333" s="343" t="str">
        <f>IF(B333&lt;&gt;"",IF(AND(B333='IN-TC'!$S$4,OR(TH!N333="1111",TH!O333="1111")),TH!D333,""),"")</f>
        <v/>
      </c>
      <c r="B333" s="63">
        <f t="shared" si="54"/>
        <v>1</v>
      </c>
      <c r="C333" s="64">
        <v>42398</v>
      </c>
      <c r="D333" s="64" t="s">
        <v>709</v>
      </c>
      <c r="E333" s="64">
        <v>42398</v>
      </c>
      <c r="F333" s="67" t="s">
        <v>716</v>
      </c>
      <c r="G333" s="67" t="s">
        <v>930</v>
      </c>
      <c r="H333" s="74"/>
      <c r="I333" s="447"/>
      <c r="J333" s="447"/>
      <c r="K333" s="438">
        <v>19400</v>
      </c>
      <c r="L333" s="447">
        <v>22225</v>
      </c>
      <c r="M333" s="84">
        <f t="shared" si="53"/>
        <v>431165000</v>
      </c>
      <c r="N333" s="66" t="s">
        <v>26</v>
      </c>
      <c r="O333" s="66" t="s">
        <v>267</v>
      </c>
      <c r="P333" s="85" t="str">
        <f>IF(AND('331-CT'!$E$7=TH!H333,OR(N333="331",O333="331")),"x","")</f>
        <v/>
      </c>
      <c r="Q333" s="85" t="str">
        <f>IF(AND(B333='111'!$L$11,OR($N333=$Q$7,$O333=$Q$7)),"x","")</f>
        <v/>
      </c>
      <c r="R333" s="85" t="str">
        <f>IF(AND($N333=$Q$7,$B333&lt;'111'!$L$11),"x","")</f>
        <v/>
      </c>
      <c r="S333" s="85" t="str">
        <f>IF(AND($O333=$Q$7,$B333&lt;'111'!$L$11),"x","")</f>
        <v/>
      </c>
      <c r="T333" s="85" t="str">
        <f>IF(ISERROR(FIND('112'!$M$9,G333,1)),"",IF((AND(FIND('112'!$M$9,G333,1)&gt;=1,B333='112'!$K$9,OR($N333='112'!$I$6,$O333='112'!$I$6))),"x",""))</f>
        <v/>
      </c>
      <c r="U333" s="85" t="str">
        <f>IF(ISERROR(FIND('112'!$M$9,G333,1)),"",IF((AND(LEFT(G333,2)=LEFT('112'!$M$9,2),B333&lt;'112'!$K$9,$N333='112'!$I$6)),"x",""))</f>
        <v/>
      </c>
      <c r="V333" s="85" t="str">
        <f>IF(ISERROR(FIND('112'!$M$9,G333,1)),"",IF((AND(RIGHT(G333,2)=RIGHT('112'!$M$9,2),B333&lt;'112'!$K$9,$O333='112'!$I$6)),"x",""))</f>
        <v/>
      </c>
      <c r="W333" s="85" t="str">
        <f>IF(AND('341-CT'!$H$9=H333,OR(LEFT(N333,3)=$W$7,LEFT(O333,3)=$W$7)),"x","")</f>
        <v/>
      </c>
      <c r="X333" s="85" t="str">
        <f>IF(OR(TH!N333=TH!$X$7,O333=TH!$X$7),"x","")</f>
        <v/>
      </c>
      <c r="Y333" s="85" t="str">
        <f>IF(AND(OR(N333="131",O333="131"),H333='131-CT'!$H$9),"x","")</f>
        <v/>
      </c>
      <c r="Z333" s="85"/>
      <c r="AA333" s="85" t="str">
        <f>IF(AND(MONTH(E333)='IN-NX'!$J$5,'IN-NX'!$D$7=D333),"x","")</f>
        <v/>
      </c>
      <c r="AB333" s="85" t="str">
        <f>IF(AND(OR(LEFT(TH!N333,2)="15",LEFT(TH!O333,2)="15"),'152-CT'!$J$8=TH!F333),"x","")</f>
        <v/>
      </c>
      <c r="AC333" s="85" t="str">
        <f>IF(AND(OR(LEFT(TH!N333,2)="15",LEFT(TH!O333,2)="15"),TK!$E$7=TH!F333),"x","")</f>
        <v/>
      </c>
      <c r="AD333" s="85" t="str">
        <f>IF(AND(N333="1521",MONTH(C333)='BK-NL'!$M$11),"x","")</f>
        <v/>
      </c>
    </row>
    <row r="334" spans="1:30" ht="15.75" customHeight="1">
      <c r="A334" s="343" t="str">
        <f>IF(B334&lt;&gt;"",IF(AND(B334='IN-TC'!$S$4,OR(TH!N334="1111",TH!O334="1111")),TH!D334,""),"")</f>
        <v/>
      </c>
      <c r="B334" s="63">
        <f t="shared" si="54"/>
        <v>1</v>
      </c>
      <c r="C334" s="64">
        <v>42398</v>
      </c>
      <c r="D334" s="64" t="s">
        <v>709</v>
      </c>
      <c r="E334" s="64">
        <v>42398</v>
      </c>
      <c r="F334" s="67" t="s">
        <v>726</v>
      </c>
      <c r="G334" s="67" t="s">
        <v>929</v>
      </c>
      <c r="H334" s="74" t="s">
        <v>727</v>
      </c>
      <c r="I334" s="447"/>
      <c r="J334" s="447"/>
      <c r="K334" s="438">
        <v>52300</v>
      </c>
      <c r="L334" s="447">
        <v>22490</v>
      </c>
      <c r="M334" s="84">
        <f t="shared" si="53"/>
        <v>1176227000</v>
      </c>
      <c r="N334" s="66" t="s">
        <v>261</v>
      </c>
      <c r="O334" s="66" t="s">
        <v>267</v>
      </c>
      <c r="P334" s="85" t="str">
        <f>IF(AND('331-CT'!$E$7=TH!H334,OR(N334="331",O334="331")),"x","")</f>
        <v/>
      </c>
      <c r="Q334" s="85" t="str">
        <f>IF(AND(B334='111'!$L$11,OR($N334=$Q$7,$O334=$Q$7)),"x","")</f>
        <v/>
      </c>
      <c r="R334" s="85" t="str">
        <f>IF(AND($N334=$Q$7,$B334&lt;'111'!$L$11),"x","")</f>
        <v/>
      </c>
      <c r="S334" s="85" t="str">
        <f>IF(AND($O334=$Q$7,$B334&lt;'111'!$L$11),"x","")</f>
        <v/>
      </c>
      <c r="T334" s="85" t="str">
        <f>IF(ISERROR(FIND('112'!$M$9,G334,1)),"",IF((AND(FIND('112'!$M$9,G334,1)&gt;=1,B334='112'!$K$9,OR($N334='112'!$I$6,$O334='112'!$I$6))),"x",""))</f>
        <v>x</v>
      </c>
      <c r="U334" s="85" t="str">
        <f>IF(ISERROR(FIND('112'!$M$9,G334,1)),"",IF((AND(LEFT(G334,2)=LEFT('112'!$M$9,2),B334&lt;'112'!$K$9,$N334='112'!$I$6)),"x",""))</f>
        <v/>
      </c>
      <c r="V334" s="85" t="str">
        <f>IF(ISERROR(FIND('112'!$M$9,G334,1)),"",IF((AND(RIGHT(G334,2)=RIGHT('112'!$M$9,2),B334&lt;'112'!$K$9,$O334='112'!$I$6)),"x",""))</f>
        <v/>
      </c>
      <c r="W334" s="85" t="str">
        <f>IF(AND('341-CT'!$H$9=H334,OR(LEFT(N334,3)=$W$7,LEFT(O334,3)=$W$7)),"x","")</f>
        <v/>
      </c>
      <c r="X334" s="85" t="str">
        <f>IF(OR(TH!N334=TH!$X$7,O334=TH!$X$7),"x","")</f>
        <v/>
      </c>
      <c r="Y334" s="85" t="str">
        <f>IF(AND(OR(N334="131",O334="131"),H334='131-CT'!$H$9),"x","")</f>
        <v/>
      </c>
      <c r="Z334" s="85"/>
      <c r="AA334" s="85" t="str">
        <f>IF(AND(MONTH(E334)='IN-NX'!$J$5,'IN-NX'!$D$7=D334),"x","")</f>
        <v/>
      </c>
      <c r="AB334" s="85" t="str">
        <f>IF(AND(OR(LEFT(TH!N334,2)="15",LEFT(TH!O334,2)="15"),'152-CT'!$J$8=TH!F334),"x","")</f>
        <v/>
      </c>
      <c r="AC334" s="85" t="str">
        <f>IF(AND(OR(LEFT(TH!N334,2)="15",LEFT(TH!O334,2)="15"),TK!$E$7=TH!F334),"x","")</f>
        <v/>
      </c>
      <c r="AD334" s="85" t="str">
        <f>IF(AND(N334="1521",MONTH(C334)='BK-NL'!$M$11),"x","")</f>
        <v/>
      </c>
    </row>
    <row r="335" spans="1:30" ht="15.75" customHeight="1">
      <c r="A335" s="343" t="str">
        <f>IF(B335&lt;&gt;"",IF(AND(B335='IN-TC'!$S$4,OR(TH!N335="1111",TH!O335="1111")),TH!D335,""),"")</f>
        <v/>
      </c>
      <c r="B335" s="63">
        <f t="shared" si="54"/>
        <v>1</v>
      </c>
      <c r="C335" s="64">
        <v>42398</v>
      </c>
      <c r="D335" s="64" t="s">
        <v>709</v>
      </c>
      <c r="E335" s="64">
        <v>42398</v>
      </c>
      <c r="F335" s="67" t="s">
        <v>728</v>
      </c>
      <c r="G335" s="67" t="s">
        <v>929</v>
      </c>
      <c r="H335" s="74" t="s">
        <v>727</v>
      </c>
      <c r="I335" s="447"/>
      <c r="J335" s="447"/>
      <c r="K335" s="438">
        <v>81.36</v>
      </c>
      <c r="L335" s="447">
        <v>22490</v>
      </c>
      <c r="M335" s="84">
        <f t="shared" si="53"/>
        <v>1829786</v>
      </c>
      <c r="N335" s="66" t="s">
        <v>99</v>
      </c>
      <c r="O335" s="66" t="s">
        <v>267</v>
      </c>
      <c r="P335" s="85" t="str">
        <f>IF(AND('331-CT'!$E$7=TH!H335,OR(N335="331",O335="331")),"x","")</f>
        <v/>
      </c>
      <c r="Q335" s="85" t="str">
        <f>IF(AND(B335='111'!$L$11,OR($N335=$Q$7,$O335=$Q$7)),"x","")</f>
        <v/>
      </c>
      <c r="R335" s="85" t="str">
        <f>IF(AND($N335=$Q$7,$B335&lt;'111'!$L$11),"x","")</f>
        <v/>
      </c>
      <c r="S335" s="85" t="str">
        <f>IF(AND($O335=$Q$7,$B335&lt;'111'!$L$11),"x","")</f>
        <v/>
      </c>
      <c r="T335" s="85" t="str">
        <f>IF(ISERROR(FIND('112'!$M$9,G335,1)),"",IF((AND(FIND('112'!$M$9,G335,1)&gt;=1,B335='112'!$K$9,OR($N335='112'!$I$6,$O335='112'!$I$6))),"x",""))</f>
        <v>x</v>
      </c>
      <c r="U335" s="85" t="str">
        <f>IF(ISERROR(FIND('112'!$M$9,G335,1)),"",IF((AND(LEFT(G335,2)=LEFT('112'!$M$9,2),B335&lt;'112'!$K$9,$N335='112'!$I$6)),"x",""))</f>
        <v/>
      </c>
      <c r="V335" s="85" t="str">
        <f>IF(ISERROR(FIND('112'!$M$9,G335,1)),"",IF((AND(RIGHT(G335,2)=RIGHT('112'!$M$9,2),B335&lt;'112'!$K$9,$O335='112'!$I$6)),"x",""))</f>
        <v/>
      </c>
      <c r="W335" s="85" t="str">
        <f>IF(AND('341-CT'!$H$9=H335,OR(LEFT(N335,3)=$W$7,LEFT(O335,3)=$W$7)),"x","")</f>
        <v/>
      </c>
      <c r="X335" s="85" t="str">
        <f>IF(OR(TH!N335=TH!$X$7,O335=TH!$X$7),"x","")</f>
        <v/>
      </c>
      <c r="Y335" s="85" t="str">
        <f>IF(AND(OR(N335="131",O335="131"),H335='131-CT'!$H$9),"x","")</f>
        <v/>
      </c>
      <c r="Z335" s="85"/>
      <c r="AA335" s="85" t="str">
        <f>IF(AND(MONTH(E335)='IN-NX'!$J$5,'IN-NX'!$D$7=D335),"x","")</f>
        <v/>
      </c>
      <c r="AB335" s="85" t="str">
        <f>IF(AND(OR(LEFT(TH!N335,2)="15",LEFT(TH!O335,2)="15"),'152-CT'!$J$8=TH!F335),"x","")</f>
        <v/>
      </c>
      <c r="AC335" s="85" t="str">
        <f>IF(AND(OR(LEFT(TH!N335,2)="15",LEFT(TH!O335,2)="15"),TK!$E$7=TH!F335),"x","")</f>
        <v/>
      </c>
      <c r="AD335" s="85" t="str">
        <f>IF(AND(N335="1521",MONTH(C335)='BK-NL'!$M$11),"x","")</f>
        <v/>
      </c>
    </row>
    <row r="336" spans="1:30" ht="15.75" customHeight="1">
      <c r="A336" s="343" t="str">
        <f>IF(B336&lt;&gt;"",IF(AND(B336='IN-TC'!$S$4,OR(TH!N336="1111",TH!O336="1111")),TH!D336,""),"")</f>
        <v/>
      </c>
      <c r="B336" s="63">
        <f t="shared" si="54"/>
        <v>1</v>
      </c>
      <c r="C336" s="64">
        <v>42398</v>
      </c>
      <c r="D336" s="64" t="s">
        <v>585</v>
      </c>
      <c r="E336" s="64">
        <v>42398</v>
      </c>
      <c r="F336" s="352" t="s">
        <v>744</v>
      </c>
      <c r="G336" s="67" t="s">
        <v>929</v>
      </c>
      <c r="H336" s="74" t="s">
        <v>727</v>
      </c>
      <c r="I336" s="447"/>
      <c r="J336" s="447"/>
      <c r="K336" s="438"/>
      <c r="L336" s="447"/>
      <c r="M336" s="65">
        <v>21443000</v>
      </c>
      <c r="N336" s="66" t="s">
        <v>99</v>
      </c>
      <c r="O336" s="66" t="s">
        <v>261</v>
      </c>
      <c r="P336" s="85" t="str">
        <f>IF(AND('331-CT'!$E$7=TH!H336,OR(N336="331",O336="331")),"x","")</f>
        <v/>
      </c>
      <c r="Q336" s="85" t="str">
        <f>IF(AND(B336='111'!$L$11,OR($N336=$Q$7,$O336=$Q$7)),"x","")</f>
        <v/>
      </c>
      <c r="R336" s="85" t="str">
        <f>IF(AND($N336=$Q$7,$B336&lt;'111'!$L$11),"x","")</f>
        <v/>
      </c>
      <c r="S336" s="85" t="str">
        <f>IF(AND($O336=$Q$7,$B336&lt;'111'!$L$11),"x","")</f>
        <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IF(AND('341-CT'!$H$9=H336,OR(LEFT(N336,3)=$W$7,LEFT(O336,3)=$W$7)),"x","")</f>
        <v/>
      </c>
      <c r="X336" s="85" t="str">
        <f>IF(OR(TH!N336=TH!$X$7,O336=TH!$X$7),"x","")</f>
        <v/>
      </c>
      <c r="Y336" s="85" t="str">
        <f>IF(AND(OR(N336="131",O336="131"),H336='131-CT'!$H$9),"x","")</f>
        <v/>
      </c>
      <c r="Z336" s="85"/>
      <c r="AA336" s="85" t="str">
        <f>IF(AND(MONTH(E336)='IN-NX'!$J$5,'IN-NX'!$D$7=D336),"x","")</f>
        <v/>
      </c>
      <c r="AB336" s="85" t="str">
        <f>IF(AND(OR(LEFT(TH!N336,2)="15",LEFT(TH!O336,2)="15"),'152-CT'!$J$8=TH!F336),"x","")</f>
        <v/>
      </c>
      <c r="AC336" s="85" t="str">
        <f>IF(AND(OR(LEFT(TH!N336,2)="15",LEFT(TH!O336,2)="15"),TK!$E$7=TH!F336),"x","")</f>
        <v/>
      </c>
      <c r="AD336" s="85" t="str">
        <f>IF(AND(N336="1521",MONTH(C336)='BK-NL'!$M$11),"x","")</f>
        <v/>
      </c>
    </row>
    <row r="337" spans="1:30" ht="15.75" customHeight="1">
      <c r="A337" s="343" t="str">
        <f>IF(B337&lt;&gt;"",IF(AND(B337='IN-TC'!$S$4,OR(TH!N337="1111",TH!O337="1111")),TH!D337,""),"")</f>
        <v/>
      </c>
      <c r="B337" s="63">
        <f t="shared" si="54"/>
        <v>1</v>
      </c>
      <c r="C337" s="95">
        <v>42398</v>
      </c>
      <c r="D337" s="95" t="s">
        <v>585</v>
      </c>
      <c r="E337" s="95">
        <v>42398</v>
      </c>
      <c r="F337" s="96" t="s">
        <v>772</v>
      </c>
      <c r="G337" s="96"/>
      <c r="H337" s="97"/>
      <c r="I337" s="453"/>
      <c r="J337" s="453"/>
      <c r="K337" s="444"/>
      <c r="L337" s="453"/>
      <c r="M337" s="98">
        <v>9640081</v>
      </c>
      <c r="N337" s="86" t="s">
        <v>267</v>
      </c>
      <c r="O337" s="86" t="s">
        <v>43</v>
      </c>
      <c r="P337" s="85" t="str">
        <f>IF(AND('331-CT'!$E$7=TH!H337,OR(N337="331",O337="331")),"x","")</f>
        <v/>
      </c>
      <c r="Q337" s="85" t="str">
        <f>IF(AND(B337='111'!$L$11,OR($N337=$Q$7,$O337=$Q$7)),"x","")</f>
        <v/>
      </c>
      <c r="R337" s="85" t="str">
        <f>IF(AND($N337=$Q$7,$B337&lt;'111'!$L$11),"x","")</f>
        <v/>
      </c>
      <c r="S337" s="85" t="str">
        <f>IF(AND($O337=$Q$7,$B337&lt;'111'!$L$11),"x","")</f>
        <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IF(AND('341-CT'!$H$9=H337,OR(LEFT(N337,3)=$W$7,LEFT(O337,3)=$W$7)),"x","")</f>
        <v/>
      </c>
      <c r="X337" s="85" t="str">
        <f>IF(OR(TH!N337=TH!$X$7,O337=TH!$X$7),"x","")</f>
        <v/>
      </c>
      <c r="Y337" s="85" t="str">
        <f>IF(AND(OR(N337="131",O337="131"),H337='131-CT'!$H$9),"x","")</f>
        <v/>
      </c>
      <c r="Z337" s="85"/>
      <c r="AA337" s="85" t="str">
        <f>IF(AND(MONTH(E337)='IN-NX'!$J$5,'IN-NX'!$D$7=D337),"x","")</f>
        <v/>
      </c>
      <c r="AB337" s="85" t="str">
        <f>IF(AND(OR(LEFT(TH!N337,2)="15",LEFT(TH!O337,2)="15"),'152-CT'!$J$8=TH!F337),"x","")</f>
        <v/>
      </c>
      <c r="AC337" s="85" t="str">
        <f>IF(AND(OR(LEFT(TH!N337,2)="15",LEFT(TH!O337,2)="15"),TK!$E$7=TH!F337),"x","")</f>
        <v/>
      </c>
      <c r="AD337" s="85" t="str">
        <f>IF(AND(N337="1521",MONTH(C337)='BK-NL'!$M$11),"x","")</f>
        <v/>
      </c>
    </row>
    <row r="338" spans="1:30" ht="15.75" customHeight="1">
      <c r="A338" s="343" t="str">
        <f>IF(B338&lt;&gt;"",IF(AND(B338='IN-TC'!$S$4,OR(TH!N338="1111",TH!O338="1111")),TH!D338,""),"")</f>
        <v/>
      </c>
      <c r="B338" s="63">
        <f t="shared" si="54"/>
        <v>1</v>
      </c>
      <c r="C338" s="64">
        <v>42398</v>
      </c>
      <c r="D338" s="64" t="s">
        <v>706</v>
      </c>
      <c r="E338" s="64">
        <v>42398</v>
      </c>
      <c r="F338" s="67" t="s">
        <v>750</v>
      </c>
      <c r="G338" s="67" t="s">
        <v>929</v>
      </c>
      <c r="H338" s="67" t="s">
        <v>751</v>
      </c>
      <c r="I338" s="447"/>
      <c r="J338" s="447"/>
      <c r="K338" s="438">
        <v>52300</v>
      </c>
      <c r="L338" s="447">
        <f>M338/K338</f>
        <v>22220</v>
      </c>
      <c r="M338" s="65">
        <v>1162106000</v>
      </c>
      <c r="N338" s="66" t="s">
        <v>26</v>
      </c>
      <c r="O338" s="66" t="s">
        <v>261</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
      </c>
      <c r="V338" s="85" t="str">
        <f>IF(ISERROR(FIND('112'!$M$9,G338,1)),"",IF((AND(RIGHT(G338,2)=RIGHT('112'!$M$9,2),B338&lt;'112'!$K$9,$O338='112'!$I$6)),"x",""))</f>
        <v/>
      </c>
      <c r="W338" s="85" t="str">
        <f>IF(AND('341-CT'!$H$9=H338,OR(LEFT(N338,3)=$W$7,LEFT(O338,3)=$W$7)),"x","")</f>
        <v/>
      </c>
      <c r="X338" s="85" t="str">
        <f>IF(OR(TH!N338=TH!$X$7,O338=TH!$X$7),"x","")</f>
        <v/>
      </c>
      <c r="Y338" s="85" t="str">
        <f>IF(AND(OR(N338="131",O338="131"),H338='131-CT'!$H$9),"x","")</f>
        <v/>
      </c>
      <c r="Z338" s="85"/>
      <c r="AA338" s="85" t="str">
        <f>IF(AND(MONTH(E338)='IN-NX'!$J$5,'IN-NX'!$D$7=D338),"x","")</f>
        <v/>
      </c>
      <c r="AB338" s="85" t="str">
        <f>IF(AND(OR(LEFT(TH!N338,2)="15",LEFT(TH!O338,2)="15"),'152-CT'!$J$8=TH!F338),"x","")</f>
        <v/>
      </c>
      <c r="AC338" s="85" t="str">
        <f>IF(AND(OR(LEFT(TH!N338,2)="15",LEFT(TH!O338,2)="15"),TK!$E$7=TH!F338),"x","")</f>
        <v/>
      </c>
      <c r="AD338" s="85" t="str">
        <f>IF(AND(N338="1521",MONTH(C338)='BK-NL'!$M$11),"x","")</f>
        <v/>
      </c>
    </row>
    <row r="339" spans="1:30" ht="15.75" customHeight="1">
      <c r="A339" s="343" t="str">
        <f>IF(B339&lt;&gt;"",IF(AND(B339='IN-TC'!$S$4,OR(TH!N339="1111",TH!O339="1111")),TH!D339,""),"")</f>
        <v/>
      </c>
      <c r="B339" s="63">
        <f t="shared" si="54"/>
        <v>1</v>
      </c>
      <c r="C339" s="64">
        <v>42398</v>
      </c>
      <c r="D339" s="64" t="s">
        <v>924</v>
      </c>
      <c r="E339" s="64">
        <v>42398</v>
      </c>
      <c r="F339" s="67" t="s">
        <v>748</v>
      </c>
      <c r="G339" s="67" t="s">
        <v>929</v>
      </c>
      <c r="H339" s="67" t="s">
        <v>773</v>
      </c>
      <c r="I339" s="447"/>
      <c r="J339" s="447"/>
      <c r="K339" s="438"/>
      <c r="L339" s="447"/>
      <c r="M339" s="65">
        <v>2000000</v>
      </c>
      <c r="N339" s="66" t="s">
        <v>26</v>
      </c>
      <c r="O339" s="66" t="s">
        <v>63</v>
      </c>
      <c r="P339" s="85" t="str">
        <f>IF(AND('331-CT'!$E$7=TH!H339,OR(N339="331",O339="331")),"x","")</f>
        <v/>
      </c>
      <c r="Q339" s="85" t="str">
        <f>IF(AND(B339='111'!$L$11,OR($N339=$Q$7,$O339=$Q$7)),"x","")</f>
        <v>x</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
      </c>
      <c r="V339" s="85" t="str">
        <f>IF(ISERROR(FIND('112'!$M$9,G339,1)),"",IF((AND(RIGHT(G339,2)=RIGHT('112'!$M$9,2),B339&lt;'112'!$K$9,$O339='112'!$I$6)),"x",""))</f>
        <v/>
      </c>
      <c r="W339" s="85" t="str">
        <f>IF(AND('341-CT'!$H$9=H339,OR(LEFT(N339,3)=$W$7,LEFT(O339,3)=$W$7)),"x","")</f>
        <v/>
      </c>
      <c r="X339" s="85" t="str">
        <f>IF(OR(TH!N339=TH!$X$7,O339=TH!$X$7),"x","")</f>
        <v/>
      </c>
      <c r="Y339" s="85" t="str">
        <f>IF(AND(OR(N339="131",O339="131"),H339='131-CT'!$H$9),"x","")</f>
        <v/>
      </c>
      <c r="Z339" s="85"/>
      <c r="AA339" s="85" t="str">
        <f>IF(AND(MONTH(E339)='IN-NX'!$J$5,'IN-NX'!$D$7=D339),"x","")</f>
        <v/>
      </c>
      <c r="AB339" s="85" t="str">
        <f>IF(AND(OR(LEFT(TH!N339,2)="15",LEFT(TH!O339,2)="15"),'152-CT'!$J$8=TH!F339),"x","")</f>
        <v/>
      </c>
      <c r="AC339" s="85" t="str">
        <f>IF(AND(OR(LEFT(TH!N339,2)="15",LEFT(TH!O339,2)="15"),TK!$E$7=TH!F339),"x","")</f>
        <v/>
      </c>
      <c r="AD339" s="85" t="str">
        <f>IF(AND(N339="1521",MONTH(C339)='BK-NL'!$M$11),"x","")</f>
        <v/>
      </c>
    </row>
    <row r="340" spans="1:30" ht="15.75" customHeight="1">
      <c r="A340" s="343" t="str">
        <f>IF(B340&lt;&gt;"",IF(AND(B340='IN-TC'!$S$4,OR(TH!N340="1111",TH!O340="1111")),TH!D340,""),"")</f>
        <v/>
      </c>
      <c r="B340" s="63">
        <f t="shared" si="54"/>
        <v>1</v>
      </c>
      <c r="C340" s="64">
        <v>42398</v>
      </c>
      <c r="D340" s="64" t="s">
        <v>921</v>
      </c>
      <c r="E340" s="64">
        <v>42398</v>
      </c>
      <c r="F340" s="67" t="s">
        <v>755</v>
      </c>
      <c r="G340" s="67" t="s">
        <v>930</v>
      </c>
      <c r="H340" s="75" t="s">
        <v>773</v>
      </c>
      <c r="I340" s="447"/>
      <c r="J340" s="447"/>
      <c r="K340" s="438"/>
      <c r="L340" s="447"/>
      <c r="M340" s="65">
        <v>370000000</v>
      </c>
      <c r="N340" s="66" t="s">
        <v>63</v>
      </c>
      <c r="O340" s="66" t="s">
        <v>26</v>
      </c>
      <c r="P340" s="85" t="str">
        <f>IF(AND('331-CT'!$E$7=TH!H340,OR(N340="331",O340="331")),"x","")</f>
        <v/>
      </c>
      <c r="Q340" s="85" t="str">
        <f>IF(AND(B340='111'!$L$11,OR($N340=$Q$7,$O340=$Q$7)),"x","")</f>
        <v>x</v>
      </c>
      <c r="R340" s="85" t="str">
        <f>IF(AND($N340=$Q$7,$B340&lt;'111'!$L$11),"x","")</f>
        <v/>
      </c>
      <c r="S340" s="85" t="str">
        <f>IF(AND($O340=$Q$7,$B340&lt;'111'!$L$11),"x","")</f>
        <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
      </c>
      <c r="W340" s="85" t="str">
        <f>IF(AND('341-CT'!$H$9=H340,OR(LEFT(N340,3)=$W$7,LEFT(O340,3)=$W$7)),"x","")</f>
        <v/>
      </c>
      <c r="X340" s="85" t="str">
        <f>IF(OR(TH!N340=TH!$X$7,O340=TH!$X$7),"x","")</f>
        <v/>
      </c>
      <c r="Y340" s="85" t="str">
        <f>IF(AND(OR(N340="131",O340="131"),H340='131-CT'!$H$9),"x","")</f>
        <v/>
      </c>
      <c r="Z340" s="85"/>
      <c r="AA340" s="85" t="str">
        <f>IF(AND(MONTH(E340)='IN-NX'!$J$5,'IN-NX'!$D$7=D340),"x","")</f>
        <v/>
      </c>
      <c r="AB340" s="85" t="str">
        <f>IF(AND(OR(LEFT(TH!N340,2)="15",LEFT(TH!O340,2)="15"),'152-CT'!$J$8=TH!F340),"x","")</f>
        <v/>
      </c>
      <c r="AC340" s="85" t="str">
        <f>IF(AND(OR(LEFT(TH!N340,2)="15",LEFT(TH!O340,2)="15"),TK!$E$7=TH!F340),"x","")</f>
        <v/>
      </c>
      <c r="AD340" s="85" t="str">
        <f>IF(AND(N340="1521",MONTH(C340)='BK-NL'!$M$11),"x","")</f>
        <v/>
      </c>
    </row>
    <row r="341" spans="1:30" ht="15.75" customHeight="1">
      <c r="A341" s="343" t="str">
        <f>IF(B341&lt;&gt;"",IF(AND(B341='IN-TC'!$S$4,OR(TH!N341="1111",TH!O341="1111")),TH!D341,""),"")</f>
        <v/>
      </c>
      <c r="B341" s="63">
        <f t="shared" si="54"/>
        <v>1</v>
      </c>
      <c r="C341" s="64">
        <v>42398</v>
      </c>
      <c r="D341" s="64" t="s">
        <v>928</v>
      </c>
      <c r="E341" s="64">
        <v>42398</v>
      </c>
      <c r="F341" s="67" t="s">
        <v>765</v>
      </c>
      <c r="G341" s="67" t="s">
        <v>929</v>
      </c>
      <c r="H341" s="75" t="s">
        <v>773</v>
      </c>
      <c r="I341" s="450"/>
      <c r="J341" s="450"/>
      <c r="K341" s="441"/>
      <c r="L341" s="450"/>
      <c r="M341" s="65">
        <v>1170000000</v>
      </c>
      <c r="N341" s="66" t="s">
        <v>63</v>
      </c>
      <c r="O341" s="66" t="s">
        <v>26</v>
      </c>
      <c r="P341" s="85" t="str">
        <f>IF(AND('331-CT'!$E$7=TH!H341,OR(N341="331",O341="331")),"x","")</f>
        <v/>
      </c>
      <c r="Q341" s="85" t="str">
        <f>IF(AND(B341='111'!$L$11,OR($N341=$Q$7,$O341=$Q$7)),"x","")</f>
        <v>x</v>
      </c>
      <c r="R341" s="85" t="str">
        <f>IF(AND($N341=$Q$7,$B341&lt;'111'!$L$11),"x","")</f>
        <v/>
      </c>
      <c r="S341" s="85" t="str">
        <f>IF(AND($O341=$Q$7,$B341&lt;'111'!$L$11),"x","")</f>
        <v/>
      </c>
      <c r="T341" s="85" t="str">
        <f>IF(ISERROR(FIND('112'!$M$9,G341,1)),"",IF((AND(FIND('112'!$M$9,G341,1)&gt;=1,B341='112'!$K$9,OR($N341='112'!$I$6,$O341='112'!$I$6))),"x",""))</f>
        <v/>
      </c>
      <c r="U341" s="85" t="str">
        <f>IF(ISERROR(FIND('112'!$M$9,G341,1)),"",IF((AND(LEFT(G341,2)=LEFT('112'!$M$9,2),B341&lt;'112'!$K$9,$N341='112'!$I$6)),"x",""))</f>
        <v/>
      </c>
      <c r="V341" s="85" t="str">
        <f>IF(ISERROR(FIND('112'!$M$9,G341,1)),"",IF((AND(RIGHT(G341,2)=RIGHT('112'!$M$9,2),B341&lt;'112'!$K$9,$O341='112'!$I$6)),"x",""))</f>
        <v/>
      </c>
      <c r="W341" s="85" t="str">
        <f>IF(AND('341-CT'!$H$9=H341,OR(LEFT(N341,3)=$W$7,LEFT(O341,3)=$W$7)),"x","")</f>
        <v/>
      </c>
      <c r="X341" s="85" t="str">
        <f>IF(OR(TH!N341=TH!$X$7,O341=TH!$X$7),"x","")</f>
        <v/>
      </c>
      <c r="Y341" s="85" t="str">
        <f>IF(AND(OR(N341="131",O341="131"),H341='131-CT'!$H$9),"x","")</f>
        <v/>
      </c>
      <c r="Z341" s="85"/>
      <c r="AA341" s="85" t="str">
        <f>IF(AND(MONTH(E341)='IN-NX'!$J$5,'IN-NX'!$D$7=D341),"x","")</f>
        <v/>
      </c>
      <c r="AB341" s="85" t="str">
        <f>IF(AND(OR(LEFT(TH!N341,2)="15",LEFT(TH!O341,2)="15"),'152-CT'!$J$8=TH!F341),"x","")</f>
        <v/>
      </c>
      <c r="AC341" s="85" t="str">
        <f>IF(AND(OR(LEFT(TH!N341,2)="15",LEFT(TH!O341,2)="15"),TK!$E$7=TH!F341),"x","")</f>
        <v/>
      </c>
      <c r="AD341" s="85" t="str">
        <f>IF(AND(N341="1521",MONTH(C341)='BK-NL'!$M$11),"x","")</f>
        <v/>
      </c>
    </row>
    <row r="342" spans="1:30" ht="15.75" customHeight="1">
      <c r="A342" s="343" t="str">
        <f>IF(B342&lt;&gt;"",IF(AND(B342='IN-TC'!$S$4,OR(TH!N342="1111",TH!O342="1111")),TH!D342,""),"")</f>
        <v/>
      </c>
      <c r="B342" s="63">
        <f t="shared" si="54"/>
        <v>1</v>
      </c>
      <c r="C342" s="64">
        <v>42398</v>
      </c>
      <c r="D342" s="64" t="s">
        <v>709</v>
      </c>
      <c r="E342" s="64">
        <v>42398</v>
      </c>
      <c r="F342" s="67" t="s">
        <v>770</v>
      </c>
      <c r="G342" s="67" t="s">
        <v>929</v>
      </c>
      <c r="H342" s="74"/>
      <c r="I342" s="447"/>
      <c r="J342" s="447"/>
      <c r="K342" s="438"/>
      <c r="L342" s="447"/>
      <c r="M342" s="65">
        <v>20000</v>
      </c>
      <c r="N342" s="66" t="s">
        <v>101</v>
      </c>
      <c r="O342" s="66" t="s">
        <v>26</v>
      </c>
      <c r="P342" s="85" t="str">
        <f>IF(AND('331-CT'!$E$7=TH!H342,OR(N342="331",O342="331")),"x","")</f>
        <v/>
      </c>
      <c r="Q342" s="85" t="str">
        <f>IF(AND(B342='111'!$L$11,OR($N342=$Q$7,$O342=$Q$7)),"x","")</f>
        <v/>
      </c>
      <c r="R342" s="85" t="str">
        <f>IF(AND($N342=$Q$7,$B342&lt;'111'!$L$11),"x","")</f>
        <v/>
      </c>
      <c r="S342" s="85" t="str">
        <f>IF(AND($O342=$Q$7,$B342&lt;'111'!$L$11),"x","")</f>
        <v/>
      </c>
      <c r="T342" s="85" t="str">
        <f>IF(ISERROR(FIND('112'!$M$9,G342,1)),"",IF((AND(FIND('112'!$M$9,G342,1)&gt;=1,B342='112'!$K$9,OR($N342='112'!$I$6,$O342='112'!$I$6))),"x",""))</f>
        <v/>
      </c>
      <c r="U342" s="85" t="str">
        <f>IF(ISERROR(FIND('112'!$M$9,G342,1)),"",IF((AND(LEFT(G342,2)=LEFT('112'!$M$9,2),B342&lt;'112'!$K$9,$N342='112'!$I$6)),"x",""))</f>
        <v/>
      </c>
      <c r="V342" s="85" t="str">
        <f>IF(ISERROR(FIND('112'!$M$9,G342,1)),"",IF((AND(RIGHT(G342,2)=RIGHT('112'!$M$9,2),B342&lt;'112'!$K$9,$O342='112'!$I$6)),"x",""))</f>
        <v/>
      </c>
      <c r="W342" s="85" t="str">
        <f>IF(AND('341-CT'!$H$9=H342,OR(LEFT(N342,3)=$W$7,LEFT(O342,3)=$W$7)),"x","")</f>
        <v/>
      </c>
      <c r="X342" s="85" t="str">
        <f>IF(OR(TH!N342=TH!$X$7,O342=TH!$X$7),"x","")</f>
        <v/>
      </c>
      <c r="Y342" s="85" t="str">
        <f>IF(AND(OR(N342="131",O342="131"),H342='131-CT'!$H$9),"x","")</f>
        <v/>
      </c>
      <c r="Z342" s="85"/>
      <c r="AA342" s="85" t="str">
        <f>IF(AND(MONTH(E342)='IN-NX'!$J$5,'IN-NX'!$D$7=D342),"x","")</f>
        <v/>
      </c>
      <c r="AB342" s="85" t="str">
        <f>IF(AND(OR(LEFT(TH!N342,2)="15",LEFT(TH!O342,2)="15"),'152-CT'!$J$8=TH!F342),"x","")</f>
        <v/>
      </c>
      <c r="AC342" s="85" t="str">
        <f>IF(AND(OR(LEFT(TH!N342,2)="15",LEFT(TH!O342,2)="15"),TK!$E$7=TH!F342),"x","")</f>
        <v/>
      </c>
      <c r="AD342" s="85" t="str">
        <f>IF(AND(N342="1521",MONTH(C342)='BK-NL'!$M$11),"x","")</f>
        <v/>
      </c>
    </row>
    <row r="343" spans="1:30" ht="15.75" customHeight="1">
      <c r="A343" s="343" t="str">
        <f>IF(B343&lt;&gt;"",IF(AND(B343='IN-TC'!$S$4,OR(TH!N343="1111",TH!O343="1111")),TH!D343,""),"")</f>
        <v/>
      </c>
      <c r="B343" s="63">
        <f t="shared" si="54"/>
        <v>1</v>
      </c>
      <c r="C343" s="64">
        <v>42398</v>
      </c>
      <c r="D343" s="64" t="s">
        <v>709</v>
      </c>
      <c r="E343" s="64">
        <v>42398</v>
      </c>
      <c r="F343" s="67" t="s">
        <v>771</v>
      </c>
      <c r="G343" s="67" t="s">
        <v>929</v>
      </c>
      <c r="H343" s="74"/>
      <c r="I343" s="447"/>
      <c r="J343" s="447"/>
      <c r="K343" s="438"/>
      <c r="L343" s="447"/>
      <c r="M343" s="65">
        <v>2000</v>
      </c>
      <c r="N343" s="66" t="s">
        <v>9</v>
      </c>
      <c r="O343" s="66" t="s">
        <v>26</v>
      </c>
      <c r="P343" s="85" t="str">
        <f>IF(AND('331-CT'!$E$7=TH!H343,OR(N343="331",O343="331")),"x","")</f>
        <v/>
      </c>
      <c r="Q343" s="85" t="str">
        <f>IF(AND(B343='111'!$L$11,OR($N343=$Q$7,$O343=$Q$7)),"x","")</f>
        <v/>
      </c>
      <c r="R343" s="85" t="str">
        <f>IF(AND($N343=$Q$7,$B343&lt;'111'!$L$11),"x","")</f>
        <v/>
      </c>
      <c r="S343" s="85" t="str">
        <f>IF(AND($O343=$Q$7,$B343&lt;'111'!$L$11),"x","")</f>
        <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
      </c>
      <c r="W343" s="85" t="str">
        <f>IF(AND('341-CT'!$H$9=H343,OR(LEFT(N343,3)=$W$7,LEFT(O343,3)=$W$7)),"x","")</f>
        <v/>
      </c>
      <c r="X343" s="85" t="str">
        <f>IF(OR(TH!N343=TH!$X$7,O343=TH!$X$7),"x","")</f>
        <v/>
      </c>
      <c r="Y343" s="85" t="str">
        <f>IF(AND(OR(N343="131",O343="131"),H343='131-CT'!$H$9),"x","")</f>
        <v/>
      </c>
      <c r="Z343" s="85"/>
      <c r="AA343" s="85" t="str">
        <f>IF(AND(MONTH(E343)='IN-NX'!$J$5,'IN-NX'!$D$7=D343),"x","")</f>
        <v/>
      </c>
      <c r="AB343" s="85" t="str">
        <f>IF(AND(OR(LEFT(TH!N343,2)="15",LEFT(TH!O343,2)="15"),'152-CT'!$J$8=TH!F343),"x","")</f>
        <v/>
      </c>
      <c r="AC343" s="85" t="str">
        <f>IF(AND(OR(LEFT(TH!N343,2)="15",LEFT(TH!O343,2)="15"),TK!$E$7=TH!F343),"x","")</f>
        <v/>
      </c>
      <c r="AD343" s="85" t="str">
        <f>IF(AND(N343="1521",MONTH(C343)='BK-NL'!$M$11),"x","")</f>
        <v/>
      </c>
    </row>
    <row r="344" spans="1:30" ht="15.75" customHeight="1">
      <c r="A344" s="343" t="str">
        <f>IF(B344&lt;&gt;"",IF(AND(B344='IN-TC'!$S$4,OR(TH!N344="1111",TH!O344="1111")),TH!D344,""),"")</f>
        <v/>
      </c>
      <c r="B344" s="63">
        <f t="shared" si="54"/>
        <v>1</v>
      </c>
      <c r="C344" s="64">
        <v>42398</v>
      </c>
      <c r="D344" s="64" t="s">
        <v>925</v>
      </c>
      <c r="E344" s="64">
        <v>42398</v>
      </c>
      <c r="F344" s="67" t="s">
        <v>786</v>
      </c>
      <c r="G344" s="67" t="s">
        <v>851</v>
      </c>
      <c r="H344" s="353" t="s">
        <v>819</v>
      </c>
      <c r="I344" s="451"/>
      <c r="J344" s="451"/>
      <c r="K344" s="442"/>
      <c r="L344" s="451"/>
      <c r="M344" s="65">
        <v>660273</v>
      </c>
      <c r="N344" s="66" t="s">
        <v>101</v>
      </c>
      <c r="O344" s="66" t="s">
        <v>63</v>
      </c>
      <c r="P344" s="85" t="str">
        <f>IF(AND('331-CT'!$E$7=TH!H344,OR(N344="331",O344="331")),"x","")</f>
        <v/>
      </c>
      <c r="Q344" s="85" t="str">
        <f>IF(AND(B344='111'!$L$11,OR($N344=$Q$7,$O344=$Q$7)),"x","")</f>
        <v>x</v>
      </c>
      <c r="R344" s="85" t="str">
        <f>IF(AND($N344=$Q$7,$B344&lt;'111'!$L$11),"x","")</f>
        <v/>
      </c>
      <c r="S344" s="85" t="str">
        <f>IF(AND($O344=$Q$7,$B344&lt;'111'!$L$11),"x","")</f>
        <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
      </c>
      <c r="W344" s="85" t="str">
        <f>IF(AND('341-CT'!$H$9=H344,OR(LEFT(N344,3)=$W$7,LEFT(O344,3)=$W$7)),"x","")</f>
        <v/>
      </c>
      <c r="X344" s="85" t="str">
        <f>IF(OR(TH!N344=TH!$X$7,O344=TH!$X$7),"x","")</f>
        <v/>
      </c>
      <c r="Y344" s="85" t="str">
        <f>IF(AND(OR(N344="131",O344="131"),H344='131-CT'!$H$9),"x","")</f>
        <v/>
      </c>
      <c r="Z344" s="85"/>
      <c r="AA344" s="85" t="str">
        <f>IF(AND(MONTH(E344)='IN-NX'!$J$5,'IN-NX'!$D$7=D344),"x","")</f>
        <v/>
      </c>
      <c r="AB344" s="85" t="str">
        <f>IF(AND(OR(LEFT(TH!N344,2)="15",LEFT(TH!O344,2)="15"),'152-CT'!$J$8=TH!F344),"x","")</f>
        <v/>
      </c>
      <c r="AC344" s="85" t="str">
        <f>IF(AND(OR(LEFT(TH!N344,2)="15",LEFT(TH!O344,2)="15"),TK!$E$7=TH!F344),"x","")</f>
        <v/>
      </c>
      <c r="AD344" s="85" t="str">
        <f>IF(AND(N344="1521",MONTH(C344)='BK-NL'!$M$11),"x","")</f>
        <v/>
      </c>
    </row>
    <row r="345" spans="1:30" ht="15.75" customHeight="1">
      <c r="A345" s="343" t="str">
        <f>IF(B345&lt;&gt;"",IF(AND(B345='IN-TC'!$S$4,OR(TH!N345="1111",TH!O345="1111")),TH!D345,""),"")</f>
        <v/>
      </c>
      <c r="B345" s="63">
        <f t="shared" si="54"/>
        <v>1</v>
      </c>
      <c r="C345" s="64">
        <v>42398</v>
      </c>
      <c r="D345" s="64" t="s">
        <v>925</v>
      </c>
      <c r="E345" s="64">
        <v>42398</v>
      </c>
      <c r="F345" s="67" t="s">
        <v>787</v>
      </c>
      <c r="G345" s="67" t="s">
        <v>851</v>
      </c>
      <c r="H345" s="74" t="s">
        <v>819</v>
      </c>
      <c r="I345" s="447"/>
      <c r="J345" s="447"/>
      <c r="K345" s="438"/>
      <c r="L345" s="447"/>
      <c r="M345" s="65">
        <v>66027</v>
      </c>
      <c r="N345" s="66" t="s">
        <v>9</v>
      </c>
      <c r="O345" s="66" t="s">
        <v>63</v>
      </c>
      <c r="P345" s="85" t="str">
        <f>IF(AND('331-CT'!$E$7=TH!H345,OR(N345="331",O345="331")),"x","")</f>
        <v/>
      </c>
      <c r="Q345" s="85" t="str">
        <f>IF(AND(B345='111'!$L$11,OR($N345=$Q$7,$O345=$Q$7)),"x","")</f>
        <v>x</v>
      </c>
      <c r="R345" s="85" t="str">
        <f>IF(AND($N345=$Q$7,$B345&lt;'111'!$L$11),"x","")</f>
        <v/>
      </c>
      <c r="S345" s="85" t="str">
        <f>IF(AND($O345=$Q$7,$B345&lt;'111'!$L$11),"x","")</f>
        <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IF(AND('341-CT'!$H$9=H345,OR(LEFT(N345,3)=$W$7,LEFT(O345,3)=$W$7)),"x","")</f>
        <v/>
      </c>
      <c r="X345" s="85" t="str">
        <f>IF(OR(TH!N345=TH!$X$7,O345=TH!$X$7),"x","")</f>
        <v/>
      </c>
      <c r="Y345" s="85" t="str">
        <f>IF(AND(OR(N345="131",O345="131"),H345='131-CT'!$H$9),"x","")</f>
        <v/>
      </c>
      <c r="Z345" s="85"/>
      <c r="AA345" s="85" t="str">
        <f>IF(AND(MONTH(E345)='IN-NX'!$J$5,'IN-NX'!$D$7=D345),"x","")</f>
        <v/>
      </c>
      <c r="AB345" s="85" t="str">
        <f>IF(AND(OR(LEFT(TH!N345,2)="15",LEFT(TH!O345,2)="15"),'152-CT'!$J$8=TH!F345),"x","")</f>
        <v/>
      </c>
      <c r="AC345" s="85" t="str">
        <f>IF(AND(OR(LEFT(TH!N345,2)="15",LEFT(TH!O345,2)="15"),TK!$E$7=TH!F345),"x","")</f>
        <v/>
      </c>
      <c r="AD345" s="85" t="str">
        <f>IF(AND(N345="1521",MONTH(C345)='BK-NL'!$M$11),"x","")</f>
        <v/>
      </c>
    </row>
    <row r="346" spans="1:30" ht="15.75" customHeight="1">
      <c r="A346" s="343" t="str">
        <f>IF(B346&lt;&gt;"",IF(AND(B346='IN-TC'!$S$4,OR(TH!N346="1111",TH!O346="1111")),TH!D346,""),"")</f>
        <v/>
      </c>
      <c r="B346" s="63">
        <f t="shared" si="54"/>
        <v>1</v>
      </c>
      <c r="C346" s="64">
        <v>42399</v>
      </c>
      <c r="D346" s="64" t="s">
        <v>709</v>
      </c>
      <c r="E346" s="64">
        <v>42399</v>
      </c>
      <c r="F346" s="67" t="s">
        <v>1108</v>
      </c>
      <c r="G346" s="67" t="s">
        <v>930</v>
      </c>
      <c r="H346" s="75" t="s">
        <v>638</v>
      </c>
      <c r="I346" s="450"/>
      <c r="J346" s="450"/>
      <c r="K346" s="441"/>
      <c r="L346" s="450"/>
      <c r="M346" s="65">
        <v>56980000</v>
      </c>
      <c r="N346" s="66" t="s">
        <v>8</v>
      </c>
      <c r="O346" s="66" t="s">
        <v>26</v>
      </c>
      <c r="P346" s="85" t="str">
        <f>IF(AND('331-CT'!$E$7=TH!H346,OR(N346="331",O346="331")),"x","")</f>
        <v/>
      </c>
      <c r="Q346" s="85" t="str">
        <f>IF(AND(B346='111'!$L$11,OR($N346=$Q$7,$O346=$Q$7)),"x","")</f>
        <v/>
      </c>
      <c r="R346" s="85" t="str">
        <f>IF(AND($N346=$Q$7,$B346&lt;'111'!$L$11),"x","")</f>
        <v/>
      </c>
      <c r="S346" s="85" t="str">
        <f>IF(AND($O346=$Q$7,$B346&lt;'111'!$L$11),"x","")</f>
        <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
      </c>
      <c r="W346" s="85" t="str">
        <f>IF(AND('341-CT'!$H$9=H346,OR(LEFT(N346,3)=$W$7,LEFT(O346,3)=$W$7)),"x","")</f>
        <v/>
      </c>
      <c r="X346" s="85" t="str">
        <f>IF(OR(TH!N346=TH!$X$7,O346=TH!$X$7),"x","")</f>
        <v/>
      </c>
      <c r="Y346" s="85" t="str">
        <f>IF(AND(OR(N346="131",O346="131"),H346='131-CT'!$H$9),"x","")</f>
        <v/>
      </c>
      <c r="Z346" s="85"/>
      <c r="AA346" s="85" t="str">
        <f>IF(AND(MONTH(E346)='IN-NX'!$J$5,'IN-NX'!$D$7=D346),"x","")</f>
        <v/>
      </c>
      <c r="AB346" s="85" t="str">
        <f>IF(AND(OR(LEFT(TH!N346,2)="15",LEFT(TH!O346,2)="15"),'152-CT'!$J$8=TH!F346),"x","")</f>
        <v/>
      </c>
      <c r="AC346" s="85" t="str">
        <f>IF(AND(OR(LEFT(TH!N346,2)="15",LEFT(TH!O346,2)="15"),TK!$E$7=TH!F346),"x","")</f>
        <v/>
      </c>
      <c r="AD346" s="85" t="str">
        <f>IF(AND(N346="1521",MONTH(C346)='BK-NL'!$M$11),"x","")</f>
        <v/>
      </c>
    </row>
    <row r="347" spans="1:30" ht="15.75" customHeight="1">
      <c r="A347" s="343" t="str">
        <f>IF(B347&lt;&gt;"",IF(AND(B347='IN-TC'!$S$4,OR(TH!N347="1111",TH!O347="1111")),TH!D347,""),"")</f>
        <v/>
      </c>
      <c r="B347" s="63">
        <f t="shared" si="54"/>
        <v>1</v>
      </c>
      <c r="C347" s="64">
        <v>42399</v>
      </c>
      <c r="D347" s="64" t="s">
        <v>709</v>
      </c>
      <c r="E347" s="64">
        <v>42399</v>
      </c>
      <c r="F347" s="67" t="s">
        <v>752</v>
      </c>
      <c r="G347" s="67" t="s">
        <v>930</v>
      </c>
      <c r="H347" s="74"/>
      <c r="I347" s="447"/>
      <c r="J347" s="447"/>
      <c r="K347" s="438"/>
      <c r="L347" s="447"/>
      <c r="M347" s="65">
        <v>28490</v>
      </c>
      <c r="N347" s="66" t="s">
        <v>101</v>
      </c>
      <c r="O347" s="66" t="s">
        <v>26</v>
      </c>
      <c r="P347" s="85" t="str">
        <f>IF(AND('331-CT'!$E$7=TH!H347,OR(N347="331",O347="331")),"x","")</f>
        <v/>
      </c>
      <c r="Q347" s="85" t="str">
        <f>IF(AND(B347='111'!$L$11,OR($N347=$Q$7,$O347=$Q$7)),"x","")</f>
        <v/>
      </c>
      <c r="R347" s="85" t="str">
        <f>IF(AND($N347=$Q$7,$B347&lt;'111'!$L$11),"x","")</f>
        <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
      </c>
      <c r="W347" s="85" t="str">
        <f>IF(AND('341-CT'!$H$9=H347,OR(LEFT(N347,3)=$W$7,LEFT(O347,3)=$W$7)),"x","")</f>
        <v/>
      </c>
      <c r="X347" s="85" t="str">
        <f>IF(OR(TH!N347=TH!$X$7,O347=TH!$X$7),"x","")</f>
        <v/>
      </c>
      <c r="Y347" s="85" t="str">
        <f>IF(AND(OR(N347="131",O347="131"),H347='131-CT'!$H$9),"x","")</f>
        <v/>
      </c>
      <c r="Z347" s="85"/>
      <c r="AA347" s="85" t="str">
        <f>IF(AND(MONTH(E347)='IN-NX'!$J$5,'IN-NX'!$D$7=D347),"x","")</f>
        <v/>
      </c>
      <c r="AB347" s="85" t="str">
        <f>IF(AND(OR(LEFT(TH!N347,2)="15",LEFT(TH!O347,2)="15"),'152-CT'!$J$8=TH!F347),"x","")</f>
        <v/>
      </c>
      <c r="AC347" s="85" t="str">
        <f>IF(AND(OR(LEFT(TH!N347,2)="15",LEFT(TH!O347,2)="15"),TK!$E$7=TH!F347),"x","")</f>
        <v/>
      </c>
      <c r="AD347" s="85" t="str">
        <f>IF(AND(N347="1521",MONTH(C347)='BK-NL'!$M$11),"x","")</f>
        <v/>
      </c>
    </row>
    <row r="348" spans="1:30" ht="15.75" customHeight="1">
      <c r="A348" s="343" t="str">
        <f>IF(B348&lt;&gt;"",IF(AND(B348='IN-TC'!$S$4,OR(TH!N348="1111",TH!O348="1111")),TH!D348,""),"")</f>
        <v/>
      </c>
      <c r="B348" s="63">
        <f t="shared" si="54"/>
        <v>1</v>
      </c>
      <c r="C348" s="64">
        <v>42399</v>
      </c>
      <c r="D348" s="64" t="s">
        <v>709</v>
      </c>
      <c r="E348" s="64">
        <v>42399</v>
      </c>
      <c r="F348" s="69" t="s">
        <v>754</v>
      </c>
      <c r="G348" s="67" t="s">
        <v>930</v>
      </c>
      <c r="H348" s="74"/>
      <c r="I348" s="447"/>
      <c r="J348" s="447"/>
      <c r="K348" s="438"/>
      <c r="L348" s="447"/>
      <c r="M348" s="65">
        <v>2849</v>
      </c>
      <c r="N348" s="66" t="s">
        <v>9</v>
      </c>
      <c r="O348" s="66" t="s">
        <v>26</v>
      </c>
      <c r="P348" s="85" t="str">
        <f>IF(AND('331-CT'!$E$7=TH!H348,OR(N348="331",O348="331")),"x","")</f>
        <v/>
      </c>
      <c r="Q348" s="85" t="str">
        <f>IF(AND(B348='111'!$L$11,OR($N348=$Q$7,$O348=$Q$7)),"x","")</f>
        <v/>
      </c>
      <c r="R348" s="85" t="str">
        <f>IF(AND($N348=$Q$7,$B348&lt;'111'!$L$11),"x","")</f>
        <v/>
      </c>
      <c r="S348" s="85" t="str">
        <f>IF(AND($O348=$Q$7,$B348&lt;'111'!$L$11),"x","")</f>
        <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
      </c>
      <c r="W348" s="85" t="str">
        <f>IF(AND('341-CT'!$H$9=H348,OR(LEFT(N348,3)=$W$7,LEFT(O348,3)=$W$7)),"x","")</f>
        <v/>
      </c>
      <c r="X348" s="85" t="str">
        <f>IF(OR(TH!N348=TH!$X$7,O348=TH!$X$7),"x","")</f>
        <v/>
      </c>
      <c r="Y348" s="85" t="str">
        <f>IF(AND(OR(N348="131",O348="131"),H348='131-CT'!$H$9),"x","")</f>
        <v/>
      </c>
      <c r="Z348" s="85"/>
      <c r="AA348" s="85" t="str">
        <f>IF(AND(MONTH(E348)='IN-NX'!$J$5,'IN-NX'!$D$7=D348),"x","")</f>
        <v/>
      </c>
      <c r="AB348" s="85" t="str">
        <f>IF(AND(OR(LEFT(TH!N348,2)="15",LEFT(TH!O348,2)="15"),'152-CT'!$J$8=TH!F348),"x","")</f>
        <v/>
      </c>
      <c r="AC348" s="85" t="str">
        <f>IF(AND(OR(LEFT(TH!N348,2)="15",LEFT(TH!O348,2)="15"),TK!$E$7=TH!F348),"x","")</f>
        <v/>
      </c>
      <c r="AD348" s="85" t="str">
        <f>IF(AND(N348="1521",MONTH(C348)='BK-NL'!$M$11),"x","")</f>
        <v/>
      </c>
    </row>
    <row r="349" spans="1:30" ht="15.75" customHeight="1">
      <c r="A349" s="343" t="str">
        <f>IF(B349&lt;&gt;"",IF(AND(B349='IN-TC'!$S$4,OR(TH!N349="1111",TH!O349="1111")),TH!D349,""),"")</f>
        <v/>
      </c>
      <c r="B349" s="63">
        <f t="shared" si="54"/>
        <v>1</v>
      </c>
      <c r="C349" s="64">
        <v>42399</v>
      </c>
      <c r="D349" s="64" t="s">
        <v>709</v>
      </c>
      <c r="E349" s="64">
        <v>42399</v>
      </c>
      <c r="F349" s="67" t="s">
        <v>1109</v>
      </c>
      <c r="G349" s="67" t="s">
        <v>930</v>
      </c>
      <c r="H349" s="76" t="s">
        <v>633</v>
      </c>
      <c r="I349" s="449"/>
      <c r="J349" s="449"/>
      <c r="K349" s="440"/>
      <c r="L349" s="449"/>
      <c r="M349" s="65">
        <v>1300000</v>
      </c>
      <c r="N349" s="66" t="s">
        <v>8</v>
      </c>
      <c r="O349" s="66" t="s">
        <v>26</v>
      </c>
      <c r="P349" s="85" t="str">
        <f>IF(AND('331-CT'!$E$7=TH!H349,OR(N349="331",O349="331")),"x","")</f>
        <v/>
      </c>
      <c r="Q349" s="85" t="str">
        <f>IF(AND(B349='111'!$L$11,OR($N349=$Q$7,$O349=$Q$7)),"x","")</f>
        <v/>
      </c>
      <c r="R349" s="85" t="str">
        <f>IF(AND($N349=$Q$7,$B349&lt;'111'!$L$11),"x","")</f>
        <v/>
      </c>
      <c r="S349" s="85" t="str">
        <f>IF(AND($O349=$Q$7,$B349&lt;'111'!$L$11),"x","")</f>
        <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
      </c>
      <c r="W349" s="85" t="str">
        <f>IF(AND('341-CT'!$H$9=H349,OR(LEFT(N349,3)=$W$7,LEFT(O349,3)=$W$7)),"x","")</f>
        <v/>
      </c>
      <c r="X349" s="85" t="str">
        <f>IF(OR(TH!N349=TH!$X$7,O349=TH!$X$7),"x","")</f>
        <v/>
      </c>
      <c r="Y349" s="85" t="str">
        <f>IF(AND(OR(N349="131",O349="131"),H349='131-CT'!$H$9),"x","")</f>
        <v/>
      </c>
      <c r="Z349" s="85"/>
      <c r="AA349" s="85" t="str">
        <f>IF(AND(MONTH(E349)='IN-NX'!$J$5,'IN-NX'!$D$7=D349),"x","")</f>
        <v/>
      </c>
      <c r="AB349" s="85" t="str">
        <f>IF(AND(OR(LEFT(TH!N349,2)="15",LEFT(TH!O349,2)="15"),'152-CT'!$J$8=TH!F349),"x","")</f>
        <v/>
      </c>
      <c r="AC349" s="85" t="str">
        <f>IF(AND(OR(LEFT(TH!N349,2)="15",LEFT(TH!O349,2)="15"),TK!$E$7=TH!F349),"x","")</f>
        <v/>
      </c>
      <c r="AD349" s="85" t="str">
        <f>IF(AND(N349="1521",MONTH(C349)='BK-NL'!$M$11),"x","")</f>
        <v/>
      </c>
    </row>
    <row r="350" spans="1:30" ht="15.75" customHeight="1">
      <c r="A350" s="343" t="str">
        <f>IF(B350&lt;&gt;"",IF(AND(B350='IN-TC'!$S$4,OR(TH!N350="1111",TH!O350="1111")),TH!D350,""),"")</f>
        <v/>
      </c>
      <c r="B350" s="63">
        <f t="shared" si="54"/>
        <v>1</v>
      </c>
      <c r="C350" s="64">
        <v>42399</v>
      </c>
      <c r="D350" s="64" t="s">
        <v>709</v>
      </c>
      <c r="E350" s="64">
        <v>42399</v>
      </c>
      <c r="F350" s="67" t="s">
        <v>752</v>
      </c>
      <c r="G350" s="67" t="s">
        <v>930</v>
      </c>
      <c r="H350" s="76"/>
      <c r="I350" s="449"/>
      <c r="J350" s="449"/>
      <c r="K350" s="440"/>
      <c r="L350" s="449"/>
      <c r="M350" s="65">
        <v>20000</v>
      </c>
      <c r="N350" s="66" t="s">
        <v>101</v>
      </c>
      <c r="O350" s="66" t="s">
        <v>26</v>
      </c>
      <c r="P350" s="85" t="str">
        <f>IF(AND('331-CT'!$E$7=TH!H350,OR(N350="331",O350="331")),"x","")</f>
        <v/>
      </c>
      <c r="Q350" s="85" t="str">
        <f>IF(AND(B350='111'!$L$11,OR($N350=$Q$7,$O350=$Q$7)),"x","")</f>
        <v/>
      </c>
      <c r="R350" s="85" t="str">
        <f>IF(AND($N350=$Q$7,$B350&lt;'111'!$L$11),"x","")</f>
        <v/>
      </c>
      <c r="S350" s="85" t="str">
        <f>IF(AND($O350=$Q$7,$B350&lt;'111'!$L$11),"x","")</f>
        <v/>
      </c>
      <c r="T350" s="85" t="str">
        <f>IF(ISERROR(FIND('112'!$M$9,G350,1)),"",IF((AND(FIND('112'!$M$9,G350,1)&gt;=1,B350='112'!$K$9,OR($N350='112'!$I$6,$O350='112'!$I$6))),"x",""))</f>
        <v/>
      </c>
      <c r="U350" s="85" t="str">
        <f>IF(ISERROR(FIND('112'!$M$9,G350,1)),"",IF((AND(LEFT(G350,2)=LEFT('112'!$M$9,2),B350&lt;'112'!$K$9,$N350='112'!$I$6)),"x",""))</f>
        <v/>
      </c>
      <c r="V350" s="85" t="str">
        <f>IF(ISERROR(FIND('112'!$M$9,G350,1)),"",IF((AND(RIGHT(G350,2)=RIGHT('112'!$M$9,2),B350&lt;'112'!$K$9,$O350='112'!$I$6)),"x",""))</f>
        <v/>
      </c>
      <c r="W350" s="85" t="str">
        <f>IF(AND('341-CT'!$H$9=H350,OR(LEFT(N350,3)=$W$7,LEFT(O350,3)=$W$7)),"x","")</f>
        <v/>
      </c>
      <c r="X350" s="85" t="str">
        <f>IF(OR(TH!N350=TH!$X$7,O350=TH!$X$7),"x","")</f>
        <v/>
      </c>
      <c r="Y350" s="85" t="str">
        <f>IF(AND(OR(N350="131",O350="131"),H350='131-CT'!$H$9),"x","")</f>
        <v/>
      </c>
      <c r="Z350" s="85"/>
      <c r="AA350" s="85" t="str">
        <f>IF(AND(MONTH(E350)='IN-NX'!$J$5,'IN-NX'!$D$7=D350),"x","")</f>
        <v/>
      </c>
      <c r="AB350" s="85" t="str">
        <f>IF(AND(OR(LEFT(TH!N350,2)="15",LEFT(TH!O350,2)="15"),'152-CT'!$J$8=TH!F350),"x","")</f>
        <v/>
      </c>
      <c r="AC350" s="85" t="str">
        <f>IF(AND(OR(LEFT(TH!N350,2)="15",LEFT(TH!O350,2)="15"),TK!$E$7=TH!F350),"x","")</f>
        <v/>
      </c>
      <c r="AD350" s="85" t="str">
        <f>IF(AND(N350="1521",MONTH(C350)='BK-NL'!$M$11),"x","")</f>
        <v/>
      </c>
    </row>
    <row r="351" spans="1:30" ht="15.75" customHeight="1">
      <c r="A351" s="343" t="str">
        <f>IF(B351&lt;&gt;"",IF(AND(B351='IN-TC'!$S$4,OR(TH!N351="1111",TH!O351="1111")),TH!D351,""),"")</f>
        <v/>
      </c>
      <c r="B351" s="63">
        <f t="shared" si="54"/>
        <v>1</v>
      </c>
      <c r="C351" s="64">
        <v>42399</v>
      </c>
      <c r="D351" s="64" t="s">
        <v>709</v>
      </c>
      <c r="E351" s="64">
        <v>42399</v>
      </c>
      <c r="F351" s="67" t="s">
        <v>754</v>
      </c>
      <c r="G351" s="67" t="s">
        <v>930</v>
      </c>
      <c r="H351" s="76"/>
      <c r="I351" s="449"/>
      <c r="J351" s="449"/>
      <c r="K351" s="440"/>
      <c r="L351" s="449"/>
      <c r="M351" s="65">
        <v>2000</v>
      </c>
      <c r="N351" s="66" t="s">
        <v>9</v>
      </c>
      <c r="O351" s="66" t="s">
        <v>26</v>
      </c>
      <c r="P351" s="85" t="str">
        <f>IF(AND('331-CT'!$E$7=TH!H351,OR(N351="331",O351="331")),"x","")</f>
        <v/>
      </c>
      <c r="Q351" s="85" t="str">
        <f>IF(AND(B351='111'!$L$11,OR($N351=$Q$7,$O351=$Q$7)),"x","")</f>
        <v/>
      </c>
      <c r="R351" s="85" t="str">
        <f>IF(AND($N351=$Q$7,$B351&lt;'111'!$L$11),"x","")</f>
        <v/>
      </c>
      <c r="S351" s="85" t="str">
        <f>IF(AND($O351=$Q$7,$B351&lt;'111'!$L$11),"x","")</f>
        <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
      </c>
      <c r="W351" s="85" t="str">
        <f>IF(AND('341-CT'!$H$9=H351,OR(LEFT(N351,3)=$W$7,LEFT(O351,3)=$W$7)),"x","")</f>
        <v/>
      </c>
      <c r="X351" s="85" t="str">
        <f>IF(OR(TH!N351=TH!$X$7,O351=TH!$X$7),"x","")</f>
        <v/>
      </c>
      <c r="Y351" s="85" t="str">
        <f>IF(AND(OR(N351="131",O351="131"),H351='131-CT'!$H$9),"x","")</f>
        <v/>
      </c>
      <c r="Z351" s="85"/>
      <c r="AA351" s="85" t="str">
        <f>IF(AND(MONTH(E351)='IN-NX'!$J$5,'IN-NX'!$D$7=D351),"x","")</f>
        <v/>
      </c>
      <c r="AB351" s="85" t="str">
        <f>IF(AND(OR(LEFT(TH!N351,2)="15",LEFT(TH!O351,2)="15"),'152-CT'!$J$8=TH!F351),"x","")</f>
        <v/>
      </c>
      <c r="AC351" s="85" t="str">
        <f>IF(AND(OR(LEFT(TH!N351,2)="15",LEFT(TH!O351,2)="15"),TK!$E$7=TH!F351),"x","")</f>
        <v/>
      </c>
      <c r="AD351" s="85" t="str">
        <f>IF(AND(N351="1521",MONTH(C351)='BK-NL'!$M$11),"x","")</f>
        <v/>
      </c>
    </row>
    <row r="352" spans="1:30" ht="15.75" customHeight="1">
      <c r="A352" s="343" t="str">
        <f>IF(B352&lt;&gt;"",IF(AND(B352='IN-TC'!$S$4,OR(TH!N352="1111",TH!O352="1111")),TH!D352,""),"")</f>
        <v/>
      </c>
      <c r="B352" s="63">
        <f t="shared" si="54"/>
        <v>1</v>
      </c>
      <c r="C352" s="64">
        <v>42399</v>
      </c>
      <c r="D352" s="64" t="s">
        <v>709</v>
      </c>
      <c r="E352" s="64">
        <v>42399</v>
      </c>
      <c r="F352" s="67" t="s">
        <v>1109</v>
      </c>
      <c r="G352" s="67" t="s">
        <v>930</v>
      </c>
      <c r="H352" s="76" t="s">
        <v>633</v>
      </c>
      <c r="I352" s="449"/>
      <c r="J352" s="449"/>
      <c r="K352" s="440"/>
      <c r="L352" s="449"/>
      <c r="M352" s="65">
        <v>4645000</v>
      </c>
      <c r="N352" s="66" t="s">
        <v>8</v>
      </c>
      <c r="O352" s="66" t="s">
        <v>26</v>
      </c>
      <c r="P352" s="85" t="str">
        <f>IF(AND('331-CT'!$E$7=TH!H352,OR(N352="331",O352="331")),"x","")</f>
        <v/>
      </c>
      <c r="Q352" s="85" t="str">
        <f>IF(AND(B352='111'!$L$11,OR($N352=$Q$7,$O352=$Q$7)),"x","")</f>
        <v/>
      </c>
      <c r="R352" s="85" t="str">
        <f>IF(AND($N352=$Q$7,$B352&lt;'111'!$L$11),"x","")</f>
        <v/>
      </c>
      <c r="S352" s="85" t="str">
        <f>IF(AND($O352=$Q$7,$B352&lt;'111'!$L$11),"x","")</f>
        <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
      </c>
      <c r="W352" s="85" t="str">
        <f>IF(AND('341-CT'!$H$9=H352,OR(LEFT(N352,3)=$W$7,LEFT(O352,3)=$W$7)),"x","")</f>
        <v/>
      </c>
      <c r="X352" s="85" t="str">
        <f>IF(OR(TH!N352=TH!$X$7,O352=TH!$X$7),"x","")</f>
        <v/>
      </c>
      <c r="Y352" s="85" t="str">
        <f>IF(AND(OR(N352="131",O352="131"),H352='131-CT'!$H$9),"x","")</f>
        <v/>
      </c>
      <c r="Z352" s="85"/>
      <c r="AA352" s="85" t="str">
        <f>IF(AND(MONTH(E352)='IN-NX'!$J$5,'IN-NX'!$D$7=D352),"x","")</f>
        <v/>
      </c>
      <c r="AB352" s="85" t="str">
        <f>IF(AND(OR(LEFT(TH!N352,2)="15",LEFT(TH!O352,2)="15"),'152-CT'!$J$8=TH!F352),"x","")</f>
        <v/>
      </c>
      <c r="AC352" s="85" t="str">
        <f>IF(AND(OR(LEFT(TH!N352,2)="15",LEFT(TH!O352,2)="15"),TK!$E$7=TH!F352),"x","")</f>
        <v/>
      </c>
      <c r="AD352" s="85" t="str">
        <f>IF(AND(N352="1521",MONTH(C352)='BK-NL'!$M$11),"x","")</f>
        <v/>
      </c>
    </row>
    <row r="353" spans="1:30" ht="15.75" customHeight="1">
      <c r="A353" s="343" t="str">
        <f>IF(B353&lt;&gt;"",IF(AND(B353='IN-TC'!$S$4,OR(TH!N353="1111",TH!O353="1111")),TH!D353,""),"")</f>
        <v/>
      </c>
      <c r="B353" s="63">
        <f t="shared" si="54"/>
        <v>1</v>
      </c>
      <c r="C353" s="64">
        <v>42399</v>
      </c>
      <c r="D353" s="64" t="s">
        <v>709</v>
      </c>
      <c r="E353" s="64">
        <v>42399</v>
      </c>
      <c r="F353" s="67" t="s">
        <v>752</v>
      </c>
      <c r="G353" s="67" t="s">
        <v>930</v>
      </c>
      <c r="H353" s="76"/>
      <c r="I353" s="449"/>
      <c r="J353" s="449"/>
      <c r="K353" s="440"/>
      <c r="L353" s="449"/>
      <c r="M353" s="65">
        <v>20000</v>
      </c>
      <c r="N353" s="86" t="s">
        <v>101</v>
      </c>
      <c r="O353" s="66" t="s">
        <v>26</v>
      </c>
      <c r="P353" s="85" t="str">
        <f>IF(AND('331-CT'!$E$7=TH!H353,OR(N353="331",O353="331")),"x","")</f>
        <v/>
      </c>
      <c r="Q353" s="85" t="str">
        <f>IF(AND(B353='111'!$L$11,OR($N353=$Q$7,$O353=$Q$7)),"x","")</f>
        <v/>
      </c>
      <c r="R353" s="85" t="str">
        <f>IF(AND($N353=$Q$7,$B353&lt;'111'!$L$11),"x","")</f>
        <v/>
      </c>
      <c r="S353" s="85" t="str">
        <f>IF(AND($O353=$Q$7,$B353&lt;'111'!$L$11),"x","")</f>
        <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
      </c>
      <c r="W353" s="85" t="str">
        <f>IF(AND('341-CT'!$H$9=H353,OR(LEFT(N353,3)=$W$7,LEFT(O353,3)=$W$7)),"x","")</f>
        <v/>
      </c>
      <c r="X353" s="85" t="str">
        <f>IF(OR(TH!N353=TH!$X$7,O353=TH!$X$7),"x","")</f>
        <v/>
      </c>
      <c r="Y353" s="85" t="str">
        <f>IF(AND(OR(N353="131",O353="131"),H353='131-CT'!$H$9),"x","")</f>
        <v/>
      </c>
      <c r="Z353" s="85"/>
      <c r="AA353" s="85" t="str">
        <f>IF(AND(MONTH(E353)='IN-NX'!$J$5,'IN-NX'!$D$7=D353),"x","")</f>
        <v/>
      </c>
      <c r="AB353" s="85" t="str">
        <f>IF(AND(OR(LEFT(TH!N353,2)="15",LEFT(TH!O353,2)="15"),'152-CT'!$J$8=TH!F353),"x","")</f>
        <v/>
      </c>
      <c r="AC353" s="85" t="str">
        <f>IF(AND(OR(LEFT(TH!N353,2)="15",LEFT(TH!O353,2)="15"),TK!$E$7=TH!F353),"x","")</f>
        <v/>
      </c>
      <c r="AD353" s="85" t="str">
        <f>IF(AND(N353="1521",MONTH(C353)='BK-NL'!$M$11),"x","")</f>
        <v/>
      </c>
    </row>
    <row r="354" spans="1:30" ht="15.75" customHeight="1">
      <c r="A354" s="343" t="str">
        <f>IF(B354&lt;&gt;"",IF(AND(B354='IN-TC'!$S$4,OR(TH!N354="1111",TH!O354="1111")),TH!D354,""),"")</f>
        <v/>
      </c>
      <c r="B354" s="63">
        <f t="shared" si="54"/>
        <v>1</v>
      </c>
      <c r="C354" s="64">
        <v>42399</v>
      </c>
      <c r="D354" s="64" t="s">
        <v>709</v>
      </c>
      <c r="E354" s="64">
        <v>42399</v>
      </c>
      <c r="F354" s="67" t="s">
        <v>754</v>
      </c>
      <c r="G354" s="67" t="s">
        <v>930</v>
      </c>
      <c r="H354" s="76"/>
      <c r="I354" s="449"/>
      <c r="J354" s="449"/>
      <c r="K354" s="440"/>
      <c r="L354" s="449"/>
      <c r="M354" s="65">
        <v>2000</v>
      </c>
      <c r="N354" s="86" t="s">
        <v>9</v>
      </c>
      <c r="O354" s="66" t="s">
        <v>26</v>
      </c>
      <c r="P354" s="85" t="str">
        <f>IF(AND('331-CT'!$E$7=TH!H354,OR(N354="331",O354="331")),"x","")</f>
        <v/>
      </c>
      <c r="Q354" s="85" t="str">
        <f>IF(AND(B354='111'!$L$11,OR($N354=$Q$7,$O354=$Q$7)),"x","")</f>
        <v/>
      </c>
      <c r="R354" s="85" t="str">
        <f>IF(AND($N354=$Q$7,$B354&lt;'111'!$L$11),"x","")</f>
        <v/>
      </c>
      <c r="S354" s="85" t="str">
        <f>IF(AND($O354=$Q$7,$B354&lt;'111'!$L$11),"x","")</f>
        <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
      </c>
      <c r="W354" s="85" t="str">
        <f>IF(AND('341-CT'!$H$9=H354,OR(LEFT(N354,3)=$W$7,LEFT(O354,3)=$W$7)),"x","")</f>
        <v/>
      </c>
      <c r="X354" s="85" t="str">
        <f>IF(OR(TH!N354=TH!$X$7,O354=TH!$X$7),"x","")</f>
        <v/>
      </c>
      <c r="Y354" s="85" t="str">
        <f>IF(AND(OR(N354="131",O354="131"),H354='131-CT'!$H$9),"x","")</f>
        <v/>
      </c>
      <c r="Z354" s="85"/>
      <c r="AA354" s="85" t="str">
        <f>IF(AND(MONTH(E354)='IN-NX'!$J$5,'IN-NX'!$D$7=D354),"x","")</f>
        <v/>
      </c>
      <c r="AB354" s="85" t="str">
        <f>IF(AND(OR(LEFT(TH!N354,2)="15",LEFT(TH!O354,2)="15"),'152-CT'!$J$8=TH!F354),"x","")</f>
        <v/>
      </c>
      <c r="AC354" s="85" t="str">
        <f>IF(AND(OR(LEFT(TH!N354,2)="15",LEFT(TH!O354,2)="15"),TK!$E$7=TH!F354),"x","")</f>
        <v/>
      </c>
      <c r="AD354" s="85" t="str">
        <f>IF(AND(N354="1521",MONTH(C354)='BK-NL'!$M$11),"x","")</f>
        <v/>
      </c>
    </row>
    <row r="355" spans="1:30" ht="15.75" customHeight="1">
      <c r="A355" s="343" t="str">
        <f>IF(B355&lt;&gt;"",IF(AND(B355='IN-TC'!$S$4,OR(TH!N355="1111",TH!O355="1111")),TH!D355,""),"")</f>
        <v/>
      </c>
      <c r="B355" s="63">
        <f t="shared" si="54"/>
        <v>1</v>
      </c>
      <c r="C355" s="64">
        <v>42399</v>
      </c>
      <c r="D355" s="64" t="s">
        <v>926</v>
      </c>
      <c r="E355" s="64">
        <v>42399</v>
      </c>
      <c r="F355" s="67" t="s">
        <v>786</v>
      </c>
      <c r="G355" s="67" t="s">
        <v>852</v>
      </c>
      <c r="H355" s="74" t="s">
        <v>819</v>
      </c>
      <c r="I355" s="447"/>
      <c r="J355" s="447"/>
      <c r="K355" s="438"/>
      <c r="L355" s="447"/>
      <c r="M355" s="65">
        <v>674945</v>
      </c>
      <c r="N355" s="66" t="s">
        <v>101</v>
      </c>
      <c r="O355" s="66" t="s">
        <v>63</v>
      </c>
      <c r="P355" s="85" t="str">
        <f>IF(AND('331-CT'!$E$7=TH!H355,OR(N355="331",O355="331")),"x","")</f>
        <v/>
      </c>
      <c r="Q355" s="85" t="str">
        <f>IF(AND(B355='111'!$L$11,OR($N355=$Q$7,$O355=$Q$7)),"x","")</f>
        <v>x</v>
      </c>
      <c r="R355" s="85" t="str">
        <f>IF(AND($N355=$Q$7,$B355&lt;'111'!$L$11),"x","")</f>
        <v/>
      </c>
      <c r="S355" s="85" t="str">
        <f>IF(AND($O355=$Q$7,$B355&lt;'111'!$L$11),"x","")</f>
        <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IF(AND('341-CT'!$H$9=H355,OR(LEFT(N355,3)=$W$7,LEFT(O355,3)=$W$7)),"x","")</f>
        <v/>
      </c>
      <c r="X355" s="85" t="str">
        <f>IF(OR(TH!N355=TH!$X$7,O355=TH!$X$7),"x","")</f>
        <v/>
      </c>
      <c r="Y355" s="85" t="str">
        <f>IF(AND(OR(N355="131",O355="131"),H355='131-CT'!$H$9),"x","")</f>
        <v/>
      </c>
      <c r="Z355" s="85"/>
      <c r="AA355" s="85" t="str">
        <f>IF(AND(MONTH(E355)='IN-NX'!$J$5,'IN-NX'!$D$7=D355),"x","")</f>
        <v/>
      </c>
      <c r="AB355" s="85" t="str">
        <f>IF(AND(OR(LEFT(TH!N355,2)="15",LEFT(TH!O355,2)="15"),'152-CT'!$J$8=TH!F355),"x","")</f>
        <v/>
      </c>
      <c r="AC355" s="85" t="str">
        <f>IF(AND(OR(LEFT(TH!N355,2)="15",LEFT(TH!O355,2)="15"),TK!$E$7=TH!F355),"x","")</f>
        <v/>
      </c>
      <c r="AD355" s="85" t="str">
        <f>IF(AND(N355="1521",MONTH(C355)='BK-NL'!$M$11),"x","")</f>
        <v/>
      </c>
    </row>
    <row r="356" spans="1:30" ht="15.75" customHeight="1">
      <c r="A356" s="343" t="str">
        <f>IF(B356&lt;&gt;"",IF(AND(B356='IN-TC'!$S$4,OR(TH!N356="1111",TH!O356="1111")),TH!D356,""),"")</f>
        <v/>
      </c>
      <c r="B356" s="63">
        <f t="shared" si="54"/>
        <v>1</v>
      </c>
      <c r="C356" s="64">
        <v>42399</v>
      </c>
      <c r="D356" s="64" t="s">
        <v>926</v>
      </c>
      <c r="E356" s="64">
        <v>42399</v>
      </c>
      <c r="F356" s="67" t="s">
        <v>787</v>
      </c>
      <c r="G356" s="996" t="s">
        <v>852</v>
      </c>
      <c r="H356" s="74" t="s">
        <v>819</v>
      </c>
      <c r="I356" s="447"/>
      <c r="J356" s="447"/>
      <c r="K356" s="438"/>
      <c r="L356" s="447"/>
      <c r="M356" s="65">
        <v>67495</v>
      </c>
      <c r="N356" s="66" t="s">
        <v>9</v>
      </c>
      <c r="O356" s="66" t="s">
        <v>63</v>
      </c>
      <c r="P356" s="85" t="str">
        <f>IF(AND('331-CT'!$E$7=TH!H356,OR(N356="331",O356="331")),"x","")</f>
        <v/>
      </c>
      <c r="Q356" s="85" t="str">
        <f>IF(AND(B356='111'!$L$11,OR($N356=$Q$7,$O356=$Q$7)),"x","")</f>
        <v>x</v>
      </c>
      <c r="R356" s="85" t="str">
        <f>IF(AND($N356=$Q$7,$B356&lt;'111'!$L$11),"x","")</f>
        <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
      </c>
      <c r="W356" s="85" t="str">
        <f>IF(AND('341-CT'!$H$9=H356,OR(LEFT(N356,3)=$W$7,LEFT(O356,3)=$W$7)),"x","")</f>
        <v/>
      </c>
      <c r="X356" s="85" t="str">
        <f>IF(OR(TH!N356=TH!$X$7,O356=TH!$X$7),"x","")</f>
        <v/>
      </c>
      <c r="Y356" s="85" t="str">
        <f>IF(AND(OR(N356="131",O356="131"),H356='131-CT'!$H$9),"x","")</f>
        <v/>
      </c>
      <c r="Z356" s="85"/>
      <c r="AA356" s="85" t="str">
        <f>IF(AND(MONTH(E356)='IN-NX'!$J$5,'IN-NX'!$D$7=D356),"x","")</f>
        <v/>
      </c>
      <c r="AB356" s="85" t="str">
        <f>IF(AND(OR(LEFT(TH!N356,2)="15",LEFT(TH!O356,2)="15"),'152-CT'!$J$8=TH!F356),"x","")</f>
        <v/>
      </c>
      <c r="AC356" s="85" t="str">
        <f>IF(AND(OR(LEFT(TH!N356,2)="15",LEFT(TH!O356,2)="15"),TK!$E$7=TH!F356),"x","")</f>
        <v/>
      </c>
      <c r="AD356" s="85" t="str">
        <f>IF(AND(N356="1521",MONTH(C356)='BK-NL'!$M$11),"x","")</f>
        <v/>
      </c>
    </row>
    <row r="357" spans="1:30" ht="15.75" customHeight="1">
      <c r="A357" s="343" t="str">
        <f>IF(B357&lt;&gt;"",IF(AND(B357='IN-TC'!$S$4,OR(TH!N357="1111",TH!O357="1111")),TH!D357,""),"")</f>
        <v/>
      </c>
      <c r="B357" s="63">
        <f t="shared" si="54"/>
        <v>1</v>
      </c>
      <c r="C357" s="64">
        <v>42400</v>
      </c>
      <c r="D357" s="64" t="s">
        <v>927</v>
      </c>
      <c r="E357" s="64">
        <v>42400</v>
      </c>
      <c r="F357" s="67" t="s">
        <v>801</v>
      </c>
      <c r="G357" s="67" t="s">
        <v>853</v>
      </c>
      <c r="H357" s="74" t="s">
        <v>825</v>
      </c>
      <c r="I357" s="447"/>
      <c r="J357" s="447"/>
      <c r="K357" s="438"/>
      <c r="L357" s="447"/>
      <c r="M357" s="65">
        <v>320291</v>
      </c>
      <c r="N357" s="66" t="s">
        <v>101</v>
      </c>
      <c r="O357" s="66" t="s">
        <v>63</v>
      </c>
      <c r="P357" s="85" t="str">
        <f>IF(AND('331-CT'!$E$7=TH!H357,OR(N357="331",O357="331")),"x","")</f>
        <v/>
      </c>
      <c r="Q357" s="85" t="str">
        <f>IF(AND(B357='111'!$L$11,OR($N357=$Q$7,$O357=$Q$7)),"x","")</f>
        <v>x</v>
      </c>
      <c r="R357" s="85" t="str">
        <f>IF(AND($N357=$Q$7,$B357&lt;'111'!$L$11),"x","")</f>
        <v/>
      </c>
      <c r="S357" s="85" t="str">
        <f>IF(AND($O357=$Q$7,$B357&lt;'111'!$L$11),"x","")</f>
        <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
      </c>
      <c r="W357" s="85" t="str">
        <f>IF(AND('341-CT'!$H$9=H357,OR(LEFT(N357,3)=$W$7,LEFT(O357,3)=$W$7)),"x","")</f>
        <v/>
      </c>
      <c r="X357" s="85" t="str">
        <f>IF(OR(TH!N357=TH!$X$7,O357=TH!$X$7),"x","")</f>
        <v/>
      </c>
      <c r="Y357" s="85" t="str">
        <f>IF(AND(OR(N357="131",O357="131"),H357='131-CT'!$H$9),"x","")</f>
        <v/>
      </c>
      <c r="Z357" s="85"/>
      <c r="AA357" s="85" t="str">
        <f>IF(AND(MONTH(E357)='IN-NX'!$J$5,'IN-NX'!$D$7=D357),"x","")</f>
        <v/>
      </c>
      <c r="AB357" s="85" t="str">
        <f>IF(AND(OR(LEFT(TH!N357,2)="15",LEFT(TH!O357,2)="15"),'152-CT'!$J$8=TH!F357),"x","")</f>
        <v/>
      </c>
      <c r="AC357" s="85" t="str">
        <f>IF(AND(OR(LEFT(TH!N357,2)="15",LEFT(TH!O357,2)="15"),TK!$E$7=TH!F357),"x","")</f>
        <v/>
      </c>
      <c r="AD357" s="85" t="str">
        <f>IF(AND(N357="1521",MONTH(C357)='BK-NL'!$M$11),"x","")</f>
        <v/>
      </c>
    </row>
    <row r="358" spans="1:30" ht="15.75" customHeight="1">
      <c r="A358" s="343" t="str">
        <f>IF(B358&lt;&gt;"",IF(AND(B358='IN-TC'!$S$4,OR(TH!N358="1111",TH!O358="1111")),TH!D358,""),"")</f>
        <v/>
      </c>
      <c r="B358" s="63">
        <f t="shared" si="54"/>
        <v>1</v>
      </c>
      <c r="C358" s="64">
        <v>42400</v>
      </c>
      <c r="D358" s="64" t="s">
        <v>927</v>
      </c>
      <c r="E358" s="64">
        <v>42400</v>
      </c>
      <c r="F358" s="67" t="s">
        <v>802</v>
      </c>
      <c r="G358" s="67" t="s">
        <v>853</v>
      </c>
      <c r="H358" s="74" t="s">
        <v>825</v>
      </c>
      <c r="I358" s="447"/>
      <c r="J358" s="447"/>
      <c r="K358" s="438"/>
      <c r="L358" s="447"/>
      <c r="M358" s="65">
        <v>32029</v>
      </c>
      <c r="N358" s="66" t="s">
        <v>9</v>
      </c>
      <c r="O358" s="66" t="s">
        <v>63</v>
      </c>
      <c r="P358" s="85" t="str">
        <f>IF(AND('331-CT'!$E$7=TH!H358,OR(N358="331",O358="331")),"x","")</f>
        <v/>
      </c>
      <c r="Q358" s="85" t="str">
        <f>IF(AND(B358='111'!$L$11,OR($N358=$Q$7,$O358=$Q$7)),"x","")</f>
        <v>x</v>
      </c>
      <c r="R358" s="85" t="str">
        <f>IF(AND($N358=$Q$7,$B358&lt;'111'!$L$11),"x","")</f>
        <v/>
      </c>
      <c r="S358" s="85" t="str">
        <f>IF(AND($O358=$Q$7,$B358&lt;'111'!$L$11),"x","")</f>
        <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
      </c>
      <c r="W358" s="85" t="str">
        <f>IF(AND('341-CT'!$H$9=H358,OR(LEFT(N358,3)=$W$7,LEFT(O358,3)=$W$7)),"x","")</f>
        <v/>
      </c>
      <c r="X358" s="85" t="str">
        <f>IF(OR(TH!N358=TH!$X$7,O358=TH!$X$7),"x","")</f>
        <v/>
      </c>
      <c r="Y358" s="85" t="str">
        <f>IF(AND(OR(N358="131",O358="131"),H358='131-CT'!$H$9),"x","")</f>
        <v/>
      </c>
      <c r="Z358" s="85"/>
      <c r="AA358" s="85" t="str">
        <f>IF(AND(MONTH(E358)='IN-NX'!$J$5,'IN-NX'!$D$7=D358),"x","")</f>
        <v/>
      </c>
      <c r="AB358" s="85" t="str">
        <f>IF(AND(OR(LEFT(TH!N358,2)="15",LEFT(TH!O358,2)="15"),'152-CT'!$J$8=TH!F358),"x","")</f>
        <v/>
      </c>
      <c r="AC358" s="85" t="str">
        <f>IF(AND(OR(LEFT(TH!N358,2)="15",LEFT(TH!O358,2)="15"),TK!$E$7=TH!F358),"x","")</f>
        <v/>
      </c>
      <c r="AD358" s="85" t="str">
        <f>IF(AND(N358="1521",MONTH(C358)='BK-NL'!$M$11),"x","")</f>
        <v/>
      </c>
    </row>
    <row r="359" spans="1:30" ht="15.75" customHeight="1">
      <c r="A359" s="343" t="str">
        <f>IF(B359&lt;&gt;"",IF(AND(B359='IN-TC'!$S$4,OR(TH!N359="1111",TH!O359="1111")),TH!D359,""),"")</f>
        <v/>
      </c>
      <c r="B359" s="63">
        <f t="shared" si="54"/>
        <v>1</v>
      </c>
      <c r="C359" s="64">
        <v>42400</v>
      </c>
      <c r="D359" s="64" t="s">
        <v>976</v>
      </c>
      <c r="E359" s="64">
        <v>42400</v>
      </c>
      <c r="F359" s="67" t="s">
        <v>786</v>
      </c>
      <c r="G359" s="67" t="s">
        <v>854</v>
      </c>
      <c r="H359" s="74" t="s">
        <v>855</v>
      </c>
      <c r="I359" s="447"/>
      <c r="J359" s="447"/>
      <c r="K359" s="438"/>
      <c r="L359" s="447"/>
      <c r="M359" s="65">
        <v>44018</v>
      </c>
      <c r="N359" s="66" t="s">
        <v>101</v>
      </c>
      <c r="O359" s="66" t="s">
        <v>63</v>
      </c>
      <c r="P359" s="85" t="str">
        <f>IF(AND('331-CT'!$E$7=TH!H359,OR(N359="331",O359="331")),"x","")</f>
        <v/>
      </c>
      <c r="Q359" s="85" t="str">
        <f>IF(AND(B359='111'!$L$11,OR($N359=$Q$7,$O359=$Q$7)),"x","")</f>
        <v>x</v>
      </c>
      <c r="R359" s="85" t="str">
        <f>IF(AND($N359=$Q$7,$B359&lt;'111'!$L$11),"x","")</f>
        <v/>
      </c>
      <c r="S359" s="85" t="str">
        <f>IF(AND($O359=$Q$7,$B359&lt;'111'!$L$11),"x","")</f>
        <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IF(AND('341-CT'!$H$9=H359,OR(LEFT(N359,3)=$W$7,LEFT(O359,3)=$W$7)),"x","")</f>
        <v/>
      </c>
      <c r="X359" s="85" t="str">
        <f>IF(OR(TH!N359=TH!$X$7,O359=TH!$X$7),"x","")</f>
        <v/>
      </c>
      <c r="Y359" s="85" t="str">
        <f>IF(AND(OR(N359="131",O359="131"),H359='131-CT'!$H$9),"x","")</f>
        <v/>
      </c>
      <c r="Z359" s="85"/>
      <c r="AA359" s="85" t="str">
        <f>IF(AND(MONTH(E359)='IN-NX'!$J$5,'IN-NX'!$D$7=D359),"x","")</f>
        <v/>
      </c>
      <c r="AB359" s="85" t="str">
        <f>IF(AND(OR(LEFT(TH!N359,2)="15",LEFT(TH!O359,2)="15"),'152-CT'!$J$8=TH!F359),"x","")</f>
        <v/>
      </c>
      <c r="AC359" s="85" t="str">
        <f>IF(AND(OR(LEFT(TH!N359,2)="15",LEFT(TH!O359,2)="15"),TK!$E$7=TH!F359),"x","")</f>
        <v/>
      </c>
      <c r="AD359" s="85" t="str">
        <f>IF(AND(N359="1521",MONTH(C359)='BK-NL'!$M$11),"x","")</f>
        <v/>
      </c>
    </row>
    <row r="360" spans="1:30" ht="15.75" customHeight="1">
      <c r="A360" s="343" t="str">
        <f>IF(B360&lt;&gt;"",IF(AND(B360='IN-TC'!$S$4,OR(TH!N360="1111",TH!O360="1111")),TH!D360,""),"")</f>
        <v/>
      </c>
      <c r="B360" s="63">
        <f t="shared" si="54"/>
        <v>1</v>
      </c>
      <c r="C360" s="64">
        <v>42400</v>
      </c>
      <c r="D360" s="64" t="s">
        <v>976</v>
      </c>
      <c r="E360" s="64">
        <v>42400</v>
      </c>
      <c r="F360" s="67" t="s">
        <v>787</v>
      </c>
      <c r="G360" s="67" t="s">
        <v>854</v>
      </c>
      <c r="H360" s="74" t="s">
        <v>855</v>
      </c>
      <c r="I360" s="447"/>
      <c r="J360" s="447"/>
      <c r="K360" s="438"/>
      <c r="L360" s="447"/>
      <c r="M360" s="65">
        <v>4402</v>
      </c>
      <c r="N360" s="66" t="s">
        <v>9</v>
      </c>
      <c r="O360" s="66" t="s">
        <v>63</v>
      </c>
      <c r="P360" s="85" t="str">
        <f>IF(AND('331-CT'!$E$7=TH!H360,OR(N360="331",O360="331")),"x","")</f>
        <v/>
      </c>
      <c r="Q360" s="85" t="str">
        <f>IF(AND(B360='111'!$L$11,OR($N360=$Q$7,$O360=$Q$7)),"x","")</f>
        <v>x</v>
      </c>
      <c r="R360" s="85" t="str">
        <f>IF(AND($N360=$Q$7,$B360&lt;'111'!$L$11),"x","")</f>
        <v/>
      </c>
      <c r="S360" s="85" t="str">
        <f>IF(AND($O360=$Q$7,$B360&lt;'111'!$L$11),"x","")</f>
        <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IF(AND('341-CT'!$H$9=H360,OR(LEFT(N360,3)=$W$7,LEFT(O360,3)=$W$7)),"x","")</f>
        <v/>
      </c>
      <c r="X360" s="85" t="str">
        <f>IF(OR(TH!N360=TH!$X$7,O360=TH!$X$7),"x","")</f>
        <v/>
      </c>
      <c r="Y360" s="85" t="str">
        <f>IF(AND(OR(N360="131",O360="131"),H360='131-CT'!$H$9),"x","")</f>
        <v/>
      </c>
      <c r="Z360" s="85"/>
      <c r="AA360" s="85" t="str">
        <f>IF(AND(MONTH(E360)='IN-NX'!$J$5,'IN-NX'!$D$7=D360),"x","")</f>
        <v/>
      </c>
      <c r="AB360" s="85" t="str">
        <f>IF(AND(OR(LEFT(TH!N360,2)="15",LEFT(TH!O360,2)="15"),'152-CT'!$J$8=TH!F360),"x","")</f>
        <v/>
      </c>
      <c r="AC360" s="85" t="str">
        <f>IF(AND(OR(LEFT(TH!N360,2)="15",LEFT(TH!O360,2)="15"),TK!$E$7=TH!F360),"x","")</f>
        <v/>
      </c>
      <c r="AD360" s="85" t="str">
        <f>IF(AND(N360="1521",MONTH(C360)='BK-NL'!$M$11),"x","")</f>
        <v/>
      </c>
    </row>
    <row r="361" spans="1:30" ht="15.75" customHeight="1">
      <c r="A361" s="343" t="str">
        <f>IF(B361&lt;&gt;"",IF(AND(B361='IN-TC'!$S$4,OR(TH!N361="1111",TH!O361="1111")),TH!D361,""),"")</f>
        <v/>
      </c>
      <c r="B361" s="63">
        <f t="shared" si="54"/>
        <v>1</v>
      </c>
      <c r="C361" s="64">
        <v>42400</v>
      </c>
      <c r="D361" s="64" t="s">
        <v>977</v>
      </c>
      <c r="E361" s="64">
        <v>42400</v>
      </c>
      <c r="F361" s="67" t="s">
        <v>805</v>
      </c>
      <c r="G361" s="67" t="s">
        <v>856</v>
      </c>
      <c r="H361" s="74" t="s">
        <v>857</v>
      </c>
      <c r="I361" s="447"/>
      <c r="J361" s="447"/>
      <c r="K361" s="438"/>
      <c r="L361" s="447"/>
      <c r="M361" s="65">
        <v>1970034</v>
      </c>
      <c r="N361" s="66" t="s">
        <v>101</v>
      </c>
      <c r="O361" s="66" t="s">
        <v>63</v>
      </c>
      <c r="P361" s="85" t="str">
        <f>IF(AND('331-CT'!$E$7=TH!H361,OR(N361="331",O361="331")),"x","")</f>
        <v/>
      </c>
      <c r="Q361" s="85" t="str">
        <f>IF(AND(B361='111'!$L$11,OR($N361=$Q$7,$O361=$Q$7)),"x","")</f>
        <v>x</v>
      </c>
      <c r="R361" s="85" t="str">
        <f>IF(AND($N361=$Q$7,$B361&lt;'111'!$L$11),"x","")</f>
        <v/>
      </c>
      <c r="S361" s="85" t="str">
        <f>IF(AND($O361=$Q$7,$B361&lt;'111'!$L$11),"x","")</f>
        <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IF(AND('341-CT'!$H$9=H361,OR(LEFT(N361,3)=$W$7,LEFT(O361,3)=$W$7)),"x","")</f>
        <v/>
      </c>
      <c r="X361" s="85" t="str">
        <f>IF(OR(TH!N361=TH!$X$7,O361=TH!$X$7),"x","")</f>
        <v/>
      </c>
      <c r="Y361" s="85" t="str">
        <f>IF(AND(OR(N361="131",O361="131"),H361='131-CT'!$H$9),"x","")</f>
        <v/>
      </c>
      <c r="Z361" s="85"/>
      <c r="AA361" s="85" t="str">
        <f>IF(AND(MONTH(E361)='IN-NX'!$J$5,'IN-NX'!$D$7=D361),"x","")</f>
        <v/>
      </c>
      <c r="AB361" s="85" t="str">
        <f>IF(AND(OR(LEFT(TH!N361,2)="15",LEFT(TH!O361,2)="15"),'152-CT'!$J$8=TH!F361),"x","")</f>
        <v/>
      </c>
      <c r="AC361" s="85" t="str">
        <f>IF(AND(OR(LEFT(TH!N361,2)="15",LEFT(TH!O361,2)="15"),TK!$E$7=TH!F361),"x","")</f>
        <v/>
      </c>
      <c r="AD361" s="85" t="str">
        <f>IF(AND(N361="1521",MONTH(C361)='BK-NL'!$M$11),"x","")</f>
        <v/>
      </c>
    </row>
    <row r="362" spans="1:30" ht="15.75" customHeight="1">
      <c r="A362" s="343" t="str">
        <f>IF(B362&lt;&gt;"",IF(AND(B362='IN-TC'!$S$4,OR(TH!N362="1111",TH!O362="1111")),TH!D362,""),"")</f>
        <v/>
      </c>
      <c r="B362" s="63">
        <f t="shared" si="54"/>
        <v>1</v>
      </c>
      <c r="C362" s="64">
        <v>42400</v>
      </c>
      <c r="D362" s="64" t="s">
        <v>977</v>
      </c>
      <c r="E362" s="64">
        <v>42400</v>
      </c>
      <c r="F362" s="67" t="s">
        <v>806</v>
      </c>
      <c r="G362" s="67" t="s">
        <v>856</v>
      </c>
      <c r="H362" s="74" t="s">
        <v>857</v>
      </c>
      <c r="I362" s="447"/>
      <c r="J362" s="447"/>
      <c r="K362" s="438"/>
      <c r="L362" s="447"/>
      <c r="M362" s="65">
        <v>197003</v>
      </c>
      <c r="N362" s="66" t="s">
        <v>9</v>
      </c>
      <c r="O362" s="66" t="s">
        <v>63</v>
      </c>
      <c r="P362" s="85" t="str">
        <f>IF(AND('331-CT'!$E$7=TH!H362,OR(N362="331",O362="331")),"x","")</f>
        <v/>
      </c>
      <c r="Q362" s="85" t="str">
        <f>IF(AND(B362='111'!$L$11,OR($N362=$Q$7,$O362=$Q$7)),"x","")</f>
        <v>x</v>
      </c>
      <c r="R362" s="85" t="str">
        <f>IF(AND($N362=$Q$7,$B362&lt;'111'!$L$11),"x","")</f>
        <v/>
      </c>
      <c r="S362" s="85" t="str">
        <f>IF(AND($O362=$Q$7,$B362&lt;'111'!$L$11),"x","")</f>
        <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IF(AND('341-CT'!$H$9=H362,OR(LEFT(N362,3)=$W$7,LEFT(O362,3)=$W$7)),"x","")</f>
        <v/>
      </c>
      <c r="X362" s="85" t="str">
        <f>IF(OR(TH!N362=TH!$X$7,O362=TH!$X$7),"x","")</f>
        <v/>
      </c>
      <c r="Y362" s="85" t="str">
        <f>IF(AND(OR(N362="131",O362="131"),H362='131-CT'!$H$9),"x","")</f>
        <v/>
      </c>
      <c r="Z362" s="85"/>
      <c r="AA362" s="85" t="str">
        <f>IF(AND(MONTH(E362)='IN-NX'!$J$5,'IN-NX'!$D$7=D362),"x","")</f>
        <v/>
      </c>
      <c r="AB362" s="85" t="str">
        <f>IF(AND(OR(LEFT(TH!N362,2)="15",LEFT(TH!O362,2)="15"),'152-CT'!$J$8=TH!F362),"x","")</f>
        <v/>
      </c>
      <c r="AC362" s="85" t="str">
        <f>IF(AND(OR(LEFT(TH!N362,2)="15",LEFT(TH!O362,2)="15"),TK!$E$7=TH!F362),"x","")</f>
        <v/>
      </c>
      <c r="AD362" s="85" t="str">
        <f>IF(AND(N362="1521",MONTH(C362)='BK-NL'!$M$11),"x","")</f>
        <v/>
      </c>
    </row>
    <row r="363" spans="1:30" ht="15.75" customHeight="1">
      <c r="A363" s="343" t="str">
        <f>IF(B363&lt;&gt;"",IF(AND(B363='IN-TC'!$S$4,OR(TH!N363="1111",TH!O363="1111")),TH!D363,""),"")</f>
        <v/>
      </c>
      <c r="B363" s="63">
        <f t="shared" si="54"/>
        <v>1</v>
      </c>
      <c r="C363" s="64">
        <v>42400</v>
      </c>
      <c r="D363" s="64" t="s">
        <v>978</v>
      </c>
      <c r="E363" s="64">
        <v>42400</v>
      </c>
      <c r="F363" s="67" t="s">
        <v>807</v>
      </c>
      <c r="G363" s="67" t="s">
        <v>858</v>
      </c>
      <c r="H363" s="74" t="s">
        <v>859</v>
      </c>
      <c r="I363" s="447"/>
      <c r="J363" s="447"/>
      <c r="K363" s="438"/>
      <c r="L363" s="447"/>
      <c r="M363" s="65">
        <v>354533</v>
      </c>
      <c r="N363" s="66" t="s">
        <v>101</v>
      </c>
      <c r="O363" s="66" t="s">
        <v>63</v>
      </c>
      <c r="P363" s="85" t="str">
        <f>IF(AND('331-CT'!$E$7=TH!H363,OR(N363="331",O363="331")),"x","")</f>
        <v/>
      </c>
      <c r="Q363" s="85" t="str">
        <f>IF(AND(B363='111'!$L$11,OR($N363=$Q$7,$O363=$Q$7)),"x","")</f>
        <v>x</v>
      </c>
      <c r="R363" s="85" t="str">
        <f>IF(AND($N363=$Q$7,$B363&lt;'111'!$L$11),"x","")</f>
        <v/>
      </c>
      <c r="S363" s="85" t="str">
        <f>IF(AND($O363=$Q$7,$B363&lt;'111'!$L$11),"x","")</f>
        <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IF(AND('341-CT'!$H$9=H363,OR(LEFT(N363,3)=$W$7,LEFT(O363,3)=$W$7)),"x","")</f>
        <v/>
      </c>
      <c r="X363" s="85" t="str">
        <f>IF(OR(TH!N363=TH!$X$7,O363=TH!$X$7),"x","")</f>
        <v/>
      </c>
      <c r="Y363" s="85" t="str">
        <f>IF(AND(OR(N363="131",O363="131"),H363='131-CT'!$H$9),"x","")</f>
        <v/>
      </c>
      <c r="Z363" s="85"/>
      <c r="AA363" s="85" t="str">
        <f>IF(AND(MONTH(E363)='IN-NX'!$J$5,'IN-NX'!$D$7=D363),"x","")</f>
        <v/>
      </c>
      <c r="AB363" s="85" t="str">
        <f>IF(AND(OR(LEFT(TH!N363,2)="15",LEFT(TH!O363,2)="15"),'152-CT'!$J$8=TH!F363),"x","")</f>
        <v/>
      </c>
      <c r="AC363" s="85" t="str">
        <f>IF(AND(OR(LEFT(TH!N363,2)="15",LEFT(TH!O363,2)="15"),TK!$E$7=TH!F363),"x","")</f>
        <v/>
      </c>
      <c r="AD363" s="85" t="str">
        <f>IF(AND(N363="1521",MONTH(C363)='BK-NL'!$M$11),"x","")</f>
        <v/>
      </c>
    </row>
    <row r="364" spans="1:30" ht="15.75" customHeight="1">
      <c r="A364" s="343" t="str">
        <f>IF(B364&lt;&gt;"",IF(AND(B364='IN-TC'!$S$4,OR(TH!N364="1111",TH!O364="1111")),TH!D364,""),"")</f>
        <v/>
      </c>
      <c r="B364" s="63">
        <f t="shared" si="54"/>
        <v>1</v>
      </c>
      <c r="C364" s="64">
        <v>42400</v>
      </c>
      <c r="D364" s="64" t="s">
        <v>978</v>
      </c>
      <c r="E364" s="64">
        <v>42400</v>
      </c>
      <c r="F364" s="67" t="s">
        <v>808</v>
      </c>
      <c r="G364" s="67" t="s">
        <v>858</v>
      </c>
      <c r="H364" s="74" t="s">
        <v>859</v>
      </c>
      <c r="I364" s="447"/>
      <c r="J364" s="447"/>
      <c r="K364" s="438"/>
      <c r="L364" s="447"/>
      <c r="M364" s="65">
        <v>35453</v>
      </c>
      <c r="N364" s="66" t="s">
        <v>9</v>
      </c>
      <c r="O364" s="66" t="s">
        <v>63</v>
      </c>
      <c r="P364" s="85" t="str">
        <f>IF(AND('331-CT'!$E$7=TH!H364,OR(N364="331",O364="331")),"x","")</f>
        <v/>
      </c>
      <c r="Q364" s="85" t="str">
        <f>IF(AND(B364='111'!$L$11,OR($N364=$Q$7,$O364=$Q$7)),"x","")</f>
        <v>x</v>
      </c>
      <c r="R364" s="85" t="str">
        <f>IF(AND($N364=$Q$7,$B364&lt;'111'!$L$11),"x","")</f>
        <v/>
      </c>
      <c r="S364" s="85" t="str">
        <f>IF(AND($O364=$Q$7,$B364&lt;'111'!$L$11),"x","")</f>
        <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IF(AND('341-CT'!$H$9=H364,OR(LEFT(N364,3)=$W$7,LEFT(O364,3)=$W$7)),"x","")</f>
        <v/>
      </c>
      <c r="X364" s="85" t="str">
        <f>IF(OR(TH!N364=TH!$X$7,O364=TH!$X$7),"x","")</f>
        <v/>
      </c>
      <c r="Y364" s="85" t="str">
        <f>IF(AND(OR(N364="131",O364="131"),H364='131-CT'!$H$9),"x","")</f>
        <v/>
      </c>
      <c r="Z364" s="85"/>
      <c r="AA364" s="85" t="str">
        <f>IF(AND(MONTH(E364)='IN-NX'!$J$5,'IN-NX'!$D$7=D364),"x","")</f>
        <v/>
      </c>
      <c r="AB364" s="85" t="str">
        <f>IF(AND(OR(LEFT(TH!N364,2)="15",LEFT(TH!O364,2)="15"),'152-CT'!$J$8=TH!F364),"x","")</f>
        <v/>
      </c>
      <c r="AC364" s="85" t="str">
        <f>IF(AND(OR(LEFT(TH!N364,2)="15",LEFT(TH!O364,2)="15"),TK!$E$7=TH!F364),"x","")</f>
        <v/>
      </c>
      <c r="AD364" s="85" t="str">
        <f>IF(AND(N364="1521",MONTH(C364)='BK-NL'!$M$11),"x","")</f>
        <v/>
      </c>
    </row>
    <row r="365" spans="1:30" ht="15.75" customHeight="1">
      <c r="A365" s="343" t="str">
        <f>IF(B365&lt;&gt;"",IF(AND(B365='IN-TC'!$S$4,OR(TH!N365="1111",TH!O365="1111")),TH!D365,""),"")</f>
        <v/>
      </c>
      <c r="B365" s="63">
        <f t="shared" si="54"/>
        <v>1</v>
      </c>
      <c r="C365" s="81">
        <f>E365</f>
        <v>42400</v>
      </c>
      <c r="D365" s="64" t="s">
        <v>979</v>
      </c>
      <c r="E365" s="81">
        <v>42400</v>
      </c>
      <c r="F365" s="82" t="s">
        <v>975</v>
      </c>
      <c r="G365" s="82"/>
      <c r="H365" s="83" t="s">
        <v>974</v>
      </c>
      <c r="I365" s="445"/>
      <c r="J365" s="445"/>
      <c r="K365" s="436"/>
      <c r="L365" s="445"/>
      <c r="M365" s="84">
        <v>440000000</v>
      </c>
      <c r="N365" s="85" t="s">
        <v>273</v>
      </c>
      <c r="O365" s="85" t="s">
        <v>63</v>
      </c>
      <c r="P365" s="85" t="str">
        <f>IF(AND('331-CT'!$E$7=TH!H365,OR(N365="331",O365="331")),"x","")</f>
        <v/>
      </c>
      <c r="Q365" s="85" t="str">
        <f>IF(AND(B365='111'!$L$11,OR($N365=$Q$7,$O365=$Q$7)),"x","")</f>
        <v>x</v>
      </c>
      <c r="R365" s="85" t="str">
        <f>IF(AND($N365=$Q$7,$B365&lt;'111'!$L$11),"x","")</f>
        <v/>
      </c>
      <c r="S365" s="85" t="str">
        <f>IF(AND($O365=$Q$7,$B365&lt;'111'!$L$11),"x","")</f>
        <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
      </c>
      <c r="W365" s="85" t="str">
        <f>IF(AND('341-CT'!$H$9=H365,OR(LEFT(N365,3)=$W$7,LEFT(O365,3)=$W$7)),"x","")</f>
        <v/>
      </c>
      <c r="X365" s="85" t="str">
        <f>IF(OR(TH!N365=TH!$X$7,O365=TH!$X$7),"x","")</f>
        <v/>
      </c>
      <c r="Y365" s="85" t="str">
        <f>IF(AND(OR(N365="131",O365="131"),H365='131-CT'!$H$9),"x","")</f>
        <v/>
      </c>
      <c r="Z365" s="85"/>
      <c r="AA365" s="85" t="str">
        <f>IF(AND(MONTH(E365)='IN-NX'!$J$5,'IN-NX'!$D$7=D365),"x","")</f>
        <v/>
      </c>
      <c r="AB365" s="85" t="str">
        <f>IF(AND(OR(LEFT(TH!N365,2)="15",LEFT(TH!O365,2)="15"),'152-CT'!$J$8=TH!F365),"x","")</f>
        <v/>
      </c>
      <c r="AC365" s="85" t="str">
        <f>IF(AND(OR(LEFT(TH!N365,2)="15",LEFT(TH!O365,2)="15"),TK!$E$7=TH!F365),"x","")</f>
        <v/>
      </c>
      <c r="AD365" s="85" t="str">
        <f>IF(AND(N365="1521",MONTH(C365)='BK-NL'!$M$11),"x","")</f>
        <v/>
      </c>
    </row>
    <row r="366" spans="1:30" ht="15.75" customHeight="1">
      <c r="A366" s="343" t="str">
        <f>IF(B366&lt;&gt;"",IF(AND(B366='IN-TC'!$S$4,OR(TH!N366="1111",TH!O366="1111")),TH!D366,""),"")</f>
        <v/>
      </c>
      <c r="B366" s="63">
        <f t="shared" si="54"/>
        <v>1</v>
      </c>
      <c r="C366" s="95">
        <v>42400</v>
      </c>
      <c r="D366" s="95" t="s">
        <v>980</v>
      </c>
      <c r="E366" s="95">
        <v>42400</v>
      </c>
      <c r="F366" s="96" t="s">
        <v>809</v>
      </c>
      <c r="G366" s="96"/>
      <c r="H366" s="97" t="s">
        <v>860</v>
      </c>
      <c r="I366" s="453"/>
      <c r="J366" s="453"/>
      <c r="K366" s="444"/>
      <c r="L366" s="453"/>
      <c r="M366" s="98">
        <v>140608780</v>
      </c>
      <c r="N366" s="86" t="s">
        <v>595</v>
      </c>
      <c r="O366" s="86" t="s">
        <v>63</v>
      </c>
      <c r="P366" s="85" t="str">
        <f>IF(AND('331-CT'!$E$7=TH!H366,OR(N366="331",O366="331")),"x","")</f>
        <v/>
      </c>
      <c r="Q366" s="85" t="str">
        <f>IF(AND(B366='111'!$L$11,OR($N366=$Q$7,$O366=$Q$7)),"x","")</f>
        <v>x</v>
      </c>
      <c r="R366" s="85" t="str">
        <f>IF(AND($N366=$Q$7,$B366&lt;'111'!$L$11),"x","")</f>
        <v/>
      </c>
      <c r="S366" s="85" t="str">
        <f>IF(AND($O366=$Q$7,$B366&lt;'111'!$L$11),"x","")</f>
        <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
      </c>
      <c r="W366" s="85" t="str">
        <f>IF(AND('341-CT'!$H$9=H366,OR(LEFT(N366,3)=$W$7,LEFT(O366,3)=$W$7)),"x","")</f>
        <v/>
      </c>
      <c r="X366" s="85" t="str">
        <f>IF(OR(TH!N366=TH!$X$7,O366=TH!$X$7),"x","")</f>
        <v/>
      </c>
      <c r="Y366" s="85" t="str">
        <f>IF(AND(OR(N366="131",O366="131"),H366='131-CT'!$H$9),"x","")</f>
        <v/>
      </c>
      <c r="Z366" s="85"/>
      <c r="AA366" s="85" t="str">
        <f>IF(AND(MONTH(E366)='IN-NX'!$J$5,'IN-NX'!$D$7=D366),"x","")</f>
        <v/>
      </c>
      <c r="AB366" s="85" t="str">
        <f>IF(AND(OR(LEFT(TH!N366,2)="15",LEFT(TH!O366,2)="15"),'152-CT'!$J$8=TH!F366),"x","")</f>
        <v/>
      </c>
      <c r="AC366" s="85" t="str">
        <f>IF(AND(OR(LEFT(TH!N366,2)="15",LEFT(TH!O366,2)="15"),TK!$E$7=TH!F366),"x","")</f>
        <v/>
      </c>
      <c r="AD366" s="85" t="str">
        <f>IF(AND(N366="1521",MONTH(C366)='BK-NL'!$M$11),"x","")</f>
        <v/>
      </c>
    </row>
    <row r="367" spans="1:30" ht="15.75" customHeight="1">
      <c r="A367" s="343" t="str">
        <f>IF(B367&lt;&gt;"",IF(AND(B367='IN-TC'!$S$4,OR(TH!N367="1111",TH!O367="1111")),TH!D367,""),"")</f>
        <v>C01</v>
      </c>
      <c r="B367" s="63">
        <f t="shared" si="54"/>
        <v>2</v>
      </c>
      <c r="C367" s="64">
        <v>42401</v>
      </c>
      <c r="D367" s="64" t="s">
        <v>879</v>
      </c>
      <c r="E367" s="64">
        <v>42384</v>
      </c>
      <c r="F367" s="67" t="s">
        <v>1010</v>
      </c>
      <c r="G367" s="996" t="s">
        <v>1031</v>
      </c>
      <c r="H367" s="74" t="s">
        <v>623</v>
      </c>
      <c r="I367" s="447"/>
      <c r="J367" s="447"/>
      <c r="K367" s="438"/>
      <c r="L367" s="447"/>
      <c r="M367" s="65">
        <v>4243750</v>
      </c>
      <c r="N367" s="66" t="s">
        <v>101</v>
      </c>
      <c r="O367" s="66" t="s">
        <v>63</v>
      </c>
      <c r="P367" s="85" t="str">
        <f>IF(AND('331-CT'!$E$7=TH!H367,OR(N367="331",O367="331")),"x","")</f>
        <v/>
      </c>
      <c r="Q367" s="85" t="str">
        <f>IF(AND(B367='111'!$L$11,OR($N367=$Q$7,$O367=$Q$7)),"x","")</f>
        <v/>
      </c>
      <c r="R367" s="85" t="str">
        <f>IF(AND($N367=$Q$7,$B367&lt;'111'!$L$11),"x","")</f>
        <v/>
      </c>
      <c r="S367" s="85" t="str">
        <f>IF(AND($O367=$Q$7,$B367&lt;'111'!$L$11),"x","")</f>
        <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
      </c>
      <c r="W367" s="85" t="str">
        <f>IF(AND('341-CT'!$H$9=H367,OR(LEFT(N367,3)=$W$7,LEFT(O367,3)=$W$7)),"x","")</f>
        <v/>
      </c>
      <c r="X367" s="85" t="str">
        <f>IF(OR(TH!N367=TH!$X$7,O367=TH!$X$7),"x","")</f>
        <v/>
      </c>
      <c r="Y367" s="85" t="str">
        <f>IF(AND(OR(N367="131",O367="131"),H367='131-CT'!$H$9),"x","")</f>
        <v/>
      </c>
      <c r="Z367" s="85"/>
      <c r="AA367" s="85" t="str">
        <f>IF(AND(MONTH(E367)='IN-NX'!$J$5,'IN-NX'!$D$7=D367),"x","")</f>
        <v/>
      </c>
      <c r="AB367" s="85" t="str">
        <f>IF(AND(OR(LEFT(TH!N367,2)="15",LEFT(TH!O367,2)="15"),'152-CT'!$J$8=TH!F367),"x","")</f>
        <v/>
      </c>
      <c r="AC367" s="85" t="str">
        <f>IF(AND(OR(LEFT(TH!N367,2)="15",LEFT(TH!O367,2)="15"),TK!$E$7=TH!F367),"x","")</f>
        <v/>
      </c>
      <c r="AD367" s="85" t="str">
        <f>IF(AND(N367="1521",MONTH(C367)='BK-NL'!$M$11),"x","")</f>
        <v/>
      </c>
    </row>
    <row r="368" spans="1:30" ht="15.75" customHeight="1">
      <c r="A368" s="343" t="str">
        <f>IF(B368&lt;&gt;"",IF(AND(B368='IN-TC'!$S$4,OR(TH!N368="1111",TH!O368="1111")),TH!D368,""),"")</f>
        <v>C01</v>
      </c>
      <c r="B368" s="63">
        <f t="shared" si="54"/>
        <v>2</v>
      </c>
      <c r="C368" s="64">
        <v>42401</v>
      </c>
      <c r="D368" s="64" t="s">
        <v>879</v>
      </c>
      <c r="E368" s="64">
        <v>42384</v>
      </c>
      <c r="F368" s="67" t="s">
        <v>1011</v>
      </c>
      <c r="G368" s="996" t="s">
        <v>1031</v>
      </c>
      <c r="H368" s="74" t="s">
        <v>623</v>
      </c>
      <c r="I368" s="447"/>
      <c r="J368" s="447"/>
      <c r="K368" s="438"/>
      <c r="L368" s="447"/>
      <c r="M368" s="65">
        <v>424375</v>
      </c>
      <c r="N368" s="66" t="s">
        <v>9</v>
      </c>
      <c r="O368" s="66" t="s">
        <v>63</v>
      </c>
      <c r="P368" s="85" t="str">
        <f>IF(AND('331-CT'!$E$7=TH!H368,OR(N368="331",O368="331")),"x","")</f>
        <v/>
      </c>
      <c r="Q368" s="85" t="str">
        <f>IF(AND(B368='111'!$L$11,OR($N368=$Q$7,$O368=$Q$7)),"x","")</f>
        <v/>
      </c>
      <c r="R368" s="85" t="str">
        <f>IF(AND($N368=$Q$7,$B368&lt;'111'!$L$11),"x","")</f>
        <v/>
      </c>
      <c r="S368" s="85" t="str">
        <f>IF(AND($O368=$Q$7,$B368&lt;'111'!$L$11),"x","")</f>
        <v/>
      </c>
      <c r="T368" s="85" t="str">
        <f>IF(ISERROR(FIND('112'!$M$9,G368,1)),"",IF((AND(FIND('112'!$M$9,G368,1)&gt;=1,B368='112'!$K$9,OR($N368='112'!$I$6,$O368='112'!$I$6))),"x",""))</f>
        <v/>
      </c>
      <c r="U368" s="85" t="str">
        <f>IF(ISERROR(FIND('112'!$M$9,G368,1)),"",IF((AND(LEFT(G368,2)=LEFT('112'!$M$9,2),B368&lt;'112'!$K$9,$N368='112'!$I$6)),"x",""))</f>
        <v/>
      </c>
      <c r="V368" s="85" t="str">
        <f>IF(ISERROR(FIND('112'!$M$9,G368,1)),"",IF((AND(RIGHT(G368,2)=RIGHT('112'!$M$9,2),B368&lt;'112'!$K$9,$O368='112'!$I$6)),"x",""))</f>
        <v/>
      </c>
      <c r="W368" s="85" t="str">
        <f>IF(AND('341-CT'!$H$9=H368,OR(LEFT(N368,3)=$W$7,LEFT(O368,3)=$W$7)),"x","")</f>
        <v/>
      </c>
      <c r="X368" s="85" t="str">
        <f>IF(OR(TH!N368=TH!$X$7,O368=TH!$X$7),"x","")</f>
        <v/>
      </c>
      <c r="Y368" s="85" t="str">
        <f>IF(AND(OR(N368="131",O368="131"),H368='131-CT'!$H$9),"x","")</f>
        <v/>
      </c>
      <c r="Z368" s="85"/>
      <c r="AA368" s="85" t="str">
        <f>IF(AND(MONTH(E368)='IN-NX'!$J$5,'IN-NX'!$D$7=D368),"x","")</f>
        <v/>
      </c>
      <c r="AB368" s="85" t="str">
        <f>IF(AND(OR(LEFT(TH!N368,2)="15",LEFT(TH!O368,2)="15"),'152-CT'!$J$8=TH!F368),"x","")</f>
        <v/>
      </c>
      <c r="AC368" s="85" t="str">
        <f>IF(AND(OR(LEFT(TH!N368,2)="15",LEFT(TH!O368,2)="15"),TK!$E$7=TH!F368),"x","")</f>
        <v/>
      </c>
      <c r="AD368" s="85" t="str">
        <f>IF(AND(N368="1521",MONTH(C368)='BK-NL'!$M$11),"x","")</f>
        <v/>
      </c>
    </row>
    <row r="369" spans="1:30" ht="15.75" customHeight="1">
      <c r="A369" s="343" t="str">
        <f>IF(B369&lt;&gt;"",IF(AND(B369='IN-TC'!$S$4,OR(TH!N369="1111",TH!O369="1111")),TH!D369,""),"")</f>
        <v>C02</v>
      </c>
      <c r="B369" s="63">
        <f t="shared" si="54"/>
        <v>2</v>
      </c>
      <c r="C369" s="64">
        <v>42402</v>
      </c>
      <c r="D369" s="64" t="s">
        <v>880</v>
      </c>
      <c r="E369" s="64">
        <v>42402</v>
      </c>
      <c r="F369" s="67" t="s">
        <v>1012</v>
      </c>
      <c r="G369" s="996" t="s">
        <v>1032</v>
      </c>
      <c r="H369" s="74" t="s">
        <v>842</v>
      </c>
      <c r="I369" s="447"/>
      <c r="J369" s="447"/>
      <c r="K369" s="438"/>
      <c r="L369" s="447"/>
      <c r="M369" s="65">
        <v>500000</v>
      </c>
      <c r="N369" s="66" t="s">
        <v>101</v>
      </c>
      <c r="O369" s="66" t="s">
        <v>63</v>
      </c>
      <c r="P369" s="85" t="str">
        <f>IF(AND('331-CT'!$E$7=TH!H369,OR(N369="331",O369="331")),"x","")</f>
        <v/>
      </c>
      <c r="Q369" s="85" t="str">
        <f>IF(AND(B369='111'!$L$11,OR($N369=$Q$7,$O369=$Q$7)),"x","")</f>
        <v/>
      </c>
      <c r="R369" s="85" t="str">
        <f>IF(AND($N369=$Q$7,$B369&lt;'111'!$L$11),"x","")</f>
        <v/>
      </c>
      <c r="S369" s="85" t="str">
        <f>IF(AND($O369=$Q$7,$B369&lt;'111'!$L$11),"x","")</f>
        <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
      </c>
      <c r="W369" s="85" t="str">
        <f>IF(AND('341-CT'!$H$9=H369,OR(LEFT(N369,3)=$W$7,LEFT(O369,3)=$W$7)),"x","")</f>
        <v/>
      </c>
      <c r="X369" s="85" t="str">
        <f>IF(OR(TH!N369=TH!$X$7,O369=TH!$X$7),"x","")</f>
        <v/>
      </c>
      <c r="Y369" s="85" t="str">
        <f>IF(AND(OR(N369="131",O369="131"),H369='131-CT'!$H$9),"x","")</f>
        <v/>
      </c>
      <c r="Z369" s="85"/>
      <c r="AA369" s="85" t="str">
        <f>IF(AND(MONTH(E369)='IN-NX'!$J$5,'IN-NX'!$D$7=D369),"x","")</f>
        <v/>
      </c>
      <c r="AB369" s="85" t="str">
        <f>IF(AND(OR(LEFT(TH!N369,2)="15",LEFT(TH!O369,2)="15"),'152-CT'!$J$8=TH!F369),"x","")</f>
        <v/>
      </c>
      <c r="AC369" s="85" t="str">
        <f>IF(AND(OR(LEFT(TH!N369,2)="15",LEFT(TH!O369,2)="15"),TK!$E$7=TH!F369),"x","")</f>
        <v/>
      </c>
      <c r="AD369" s="85" t="str">
        <f>IF(AND(N369="1521",MONTH(C369)='BK-NL'!$M$11),"x","")</f>
        <v/>
      </c>
    </row>
    <row r="370" spans="1:30" ht="15.75" customHeight="1">
      <c r="A370" s="343" t="str">
        <f>IF(B370&lt;&gt;"",IF(AND(B370='IN-TC'!$S$4,OR(TH!N370="1111",TH!O370="1111")),TH!D370,""),"")</f>
        <v>C02</v>
      </c>
      <c r="B370" s="63">
        <f t="shared" si="54"/>
        <v>2</v>
      </c>
      <c r="C370" s="64">
        <v>42402</v>
      </c>
      <c r="D370" s="64" t="s">
        <v>880</v>
      </c>
      <c r="E370" s="64">
        <v>42402</v>
      </c>
      <c r="F370" s="67" t="s">
        <v>1013</v>
      </c>
      <c r="G370" s="996" t="s">
        <v>1032</v>
      </c>
      <c r="H370" s="74" t="s">
        <v>842</v>
      </c>
      <c r="I370" s="447"/>
      <c r="J370" s="447"/>
      <c r="K370" s="438"/>
      <c r="L370" s="447"/>
      <c r="M370" s="65">
        <v>25000</v>
      </c>
      <c r="N370" s="66" t="s">
        <v>9</v>
      </c>
      <c r="O370" s="66" t="s">
        <v>63</v>
      </c>
      <c r="P370" s="85" t="str">
        <f>IF(AND('331-CT'!$E$7=TH!H370,OR(N370="331",O370="331")),"x","")</f>
        <v/>
      </c>
      <c r="Q370" s="85" t="str">
        <f>IF(AND(B370='111'!$L$11,OR($N370=$Q$7,$O370=$Q$7)),"x","")</f>
        <v/>
      </c>
      <c r="R370" s="85" t="str">
        <f>IF(AND($N370=$Q$7,$B370&lt;'111'!$L$11),"x","")</f>
        <v/>
      </c>
      <c r="S370" s="85" t="str">
        <f>IF(AND($O370=$Q$7,$B370&lt;'111'!$L$11),"x","")</f>
        <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
      </c>
      <c r="W370" s="85" t="str">
        <f>IF(AND('341-CT'!$H$9=H370,OR(LEFT(N370,3)=$W$7,LEFT(O370,3)=$W$7)),"x","")</f>
        <v/>
      </c>
      <c r="X370" s="85" t="str">
        <f>IF(OR(TH!N370=TH!$X$7,O370=TH!$X$7),"x","")</f>
        <v/>
      </c>
      <c r="Y370" s="85" t="str">
        <f>IF(AND(OR(N370="131",O370="131"),H370='131-CT'!$H$9),"x","")</f>
        <v/>
      </c>
      <c r="Z370" s="85"/>
      <c r="AA370" s="85" t="str">
        <f>IF(AND(MONTH(E370)='IN-NX'!$J$5,'IN-NX'!$D$7=D370),"x","")</f>
        <v/>
      </c>
      <c r="AB370" s="85" t="str">
        <f>IF(AND(OR(LEFT(TH!N370,2)="15",LEFT(TH!O370,2)="15"),'152-CT'!$J$8=TH!F370),"x","")</f>
        <v/>
      </c>
      <c r="AC370" s="85" t="str">
        <f>IF(AND(OR(LEFT(TH!N370,2)="15",LEFT(TH!O370,2)="15"),TK!$E$7=TH!F370),"x","")</f>
        <v/>
      </c>
      <c r="AD370" s="85" t="str">
        <f>IF(AND(N370="1521",MONTH(C370)='BK-NL'!$M$11),"x","")</f>
        <v/>
      </c>
    </row>
    <row r="371" spans="1:30" ht="15.75" customHeight="1">
      <c r="A371" s="343" t="str">
        <f>IF(B371&lt;&gt;"",IF(AND(B371='IN-TC'!$S$4,OR(TH!N371="1111",TH!O371="1111")),TH!D371,""),"")</f>
        <v/>
      </c>
      <c r="B371" s="63">
        <f t="shared" si="54"/>
        <v>2</v>
      </c>
      <c r="C371" s="64">
        <v>42402</v>
      </c>
      <c r="D371" s="64" t="s">
        <v>706</v>
      </c>
      <c r="E371" s="64">
        <v>42402</v>
      </c>
      <c r="F371" s="67" t="s">
        <v>1055</v>
      </c>
      <c r="G371" s="67" t="s">
        <v>930</v>
      </c>
      <c r="H371" s="74"/>
      <c r="I371" s="447"/>
      <c r="J371" s="447"/>
      <c r="K371" s="438"/>
      <c r="L371" s="447"/>
      <c r="M371" s="65">
        <v>27118300</v>
      </c>
      <c r="N371" s="66" t="s">
        <v>26</v>
      </c>
      <c r="O371" s="66" t="s">
        <v>19</v>
      </c>
      <c r="P371" s="85" t="str">
        <f>IF(AND('331-CT'!$E$7=TH!H371,OR(N371="331",O371="331")),"x","")</f>
        <v/>
      </c>
      <c r="Q371" s="85" t="str">
        <f>IF(AND(B371='111'!$L$11,OR($N371=$Q$7,$O371=$Q$7)),"x","")</f>
        <v/>
      </c>
      <c r="R371" s="85" t="str">
        <f>IF(AND($N371=$Q$7,$B371&lt;'111'!$L$11),"x","")</f>
        <v/>
      </c>
      <c r="S371" s="85" t="str">
        <f>IF(AND($O371=$Q$7,$B371&lt;'111'!$L$11),"x","")</f>
        <v/>
      </c>
      <c r="T371" s="85" t="str">
        <f>IF(ISERROR(FIND('112'!$M$9,G371,1)),"",IF((AND(FIND('112'!$M$9,G371,1)&gt;=1,B371='112'!$K$9,OR($N371='112'!$I$6,$O371='112'!$I$6))),"x",""))</f>
        <v/>
      </c>
      <c r="U371" s="85" t="str">
        <f>IF(ISERROR(FIND('112'!$M$9,G371,1)),"",IF((AND(LEFT(G371,2)=LEFT('112'!$M$9,2),B371&lt;'112'!$K$9,$N371='112'!$I$6)),"x",""))</f>
        <v/>
      </c>
      <c r="V371" s="85" t="str">
        <f>IF(ISERROR(FIND('112'!$M$9,G371,1)),"",IF((AND(RIGHT(G371,2)=RIGHT('112'!$M$9,2),B371&lt;'112'!$K$9,$O371='112'!$I$6)),"x",""))</f>
        <v/>
      </c>
      <c r="W371" s="85" t="str">
        <f>IF(AND('341-CT'!$H$9=H371,OR(LEFT(N371,3)=$W$7,LEFT(O371,3)=$W$7)),"x","")</f>
        <v/>
      </c>
      <c r="X371" s="85" t="str">
        <f>IF(OR(TH!N371=TH!$X$7,O371=TH!$X$7),"x","")</f>
        <v/>
      </c>
      <c r="Y371" s="85" t="str">
        <f>IF(AND(OR(N371="131",O371="131"),H371='131-CT'!$H$9),"x","")</f>
        <v/>
      </c>
      <c r="Z371" s="85"/>
      <c r="AA371" s="85" t="str">
        <f>IF(AND(MONTH(E371)='IN-NX'!$J$5,'IN-NX'!$D$7=D371),"x","")</f>
        <v/>
      </c>
      <c r="AB371" s="85" t="str">
        <f>IF(AND(OR(LEFT(TH!N371,2)="15",LEFT(TH!O371,2)="15"),'152-CT'!$J$8=TH!F371),"x","")</f>
        <v/>
      </c>
      <c r="AC371" s="85" t="str">
        <f>IF(AND(OR(LEFT(TH!N371,2)="15",LEFT(TH!O371,2)="15"),TK!$E$7=TH!F371),"x","")</f>
        <v/>
      </c>
      <c r="AD371" s="85" t="str">
        <f>IF(AND(N371="1521",MONTH(C371)='BK-NL'!$M$11),"x","")</f>
        <v/>
      </c>
    </row>
    <row r="372" spans="1:30" ht="15.75" customHeight="1">
      <c r="A372" s="343" t="str">
        <f>IF(B372&lt;&gt;"",IF(AND(B372='IN-TC'!$S$4,OR(TH!N372="1111",TH!O372="1111")),TH!D372,""),"")</f>
        <v/>
      </c>
      <c r="B372" s="63">
        <f t="shared" si="54"/>
        <v>2</v>
      </c>
      <c r="C372" s="64">
        <v>42402</v>
      </c>
      <c r="D372" s="64" t="s">
        <v>709</v>
      </c>
      <c r="E372" s="64">
        <v>42402</v>
      </c>
      <c r="F372" s="67" t="s">
        <v>1107</v>
      </c>
      <c r="G372" s="67" t="s">
        <v>930</v>
      </c>
      <c r="H372" s="67" t="s">
        <v>636</v>
      </c>
      <c r="I372" s="447"/>
      <c r="J372" s="447"/>
      <c r="K372" s="438"/>
      <c r="L372" s="447"/>
      <c r="M372" s="65">
        <v>27118300</v>
      </c>
      <c r="N372" s="66" t="s">
        <v>8</v>
      </c>
      <c r="O372" s="66" t="s">
        <v>26</v>
      </c>
      <c r="P372" s="85" t="str">
        <f>IF(AND('331-CT'!$E$7=TH!H372,OR(N372="331",O372="331")),"x","")</f>
        <v/>
      </c>
      <c r="Q372" s="85" t="str">
        <f>IF(AND(B372='111'!$L$11,OR($N372=$Q$7,$O372=$Q$7)),"x","")</f>
        <v/>
      </c>
      <c r="R372" s="85" t="str">
        <f>IF(AND($N372=$Q$7,$B372&lt;'111'!$L$11),"x","")</f>
        <v/>
      </c>
      <c r="S372" s="85" t="str">
        <f>IF(AND($O372=$Q$7,$B372&lt;'111'!$L$11),"x","")</f>
        <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
      </c>
      <c r="W372" s="85" t="str">
        <f>IF(AND('341-CT'!$H$9=H372,OR(LEFT(N372,3)=$W$7,LEFT(O372,3)=$W$7)),"x","")</f>
        <v/>
      </c>
      <c r="X372" s="85" t="str">
        <f>IF(OR(TH!N372=TH!$X$7,O372=TH!$X$7),"x","")</f>
        <v/>
      </c>
      <c r="Y372" s="85" t="str">
        <f>IF(AND(OR(N372="131",O372="131"),H372='131-CT'!$H$9),"x","")</f>
        <v/>
      </c>
      <c r="Z372" s="85"/>
      <c r="AA372" s="85" t="str">
        <f>IF(AND(MONTH(E372)='IN-NX'!$J$5,'IN-NX'!$D$7=D372),"x","")</f>
        <v/>
      </c>
      <c r="AB372" s="85" t="str">
        <f>IF(AND(OR(LEFT(TH!N372,2)="15",LEFT(TH!O372,2)="15"),'152-CT'!$J$8=TH!F372),"x","")</f>
        <v/>
      </c>
      <c r="AC372" s="85" t="str">
        <f>IF(AND(OR(LEFT(TH!N372,2)="15",LEFT(TH!O372,2)="15"),TK!$E$7=TH!F372),"x","")</f>
        <v/>
      </c>
      <c r="AD372" s="85" t="str">
        <f>IF(AND(N372="1521",MONTH(C372)='BK-NL'!$M$11),"x","")</f>
        <v/>
      </c>
    </row>
    <row r="373" spans="1:30" ht="15.75" customHeight="1">
      <c r="A373" s="343" t="str">
        <f>IF(B373&lt;&gt;"",IF(AND(B373='IN-TC'!$S$4,OR(TH!N373="1111",TH!O373="1111")),TH!D373,""),"")</f>
        <v/>
      </c>
      <c r="B373" s="63">
        <f t="shared" si="54"/>
        <v>2</v>
      </c>
      <c r="C373" s="150">
        <v>42402</v>
      </c>
      <c r="D373" s="150" t="s">
        <v>709</v>
      </c>
      <c r="E373" s="150">
        <v>42402</v>
      </c>
      <c r="F373" s="94" t="s">
        <v>752</v>
      </c>
      <c r="G373" s="67" t="s">
        <v>930</v>
      </c>
      <c r="H373" s="74"/>
      <c r="I373" s="452"/>
      <c r="J373" s="452"/>
      <c r="K373" s="443"/>
      <c r="L373" s="452"/>
      <c r="M373" s="151">
        <v>25000</v>
      </c>
      <c r="N373" s="152" t="s">
        <v>101</v>
      </c>
      <c r="O373" s="66" t="s">
        <v>26</v>
      </c>
      <c r="P373" s="85" t="str">
        <f>IF(AND('331-CT'!$E$7=TH!H373,OR(N373="331",O373="331")),"x","")</f>
        <v/>
      </c>
      <c r="Q373" s="85" t="str">
        <f>IF(AND(B373='111'!$L$11,OR($N373=$Q$7,$O373=$Q$7)),"x","")</f>
        <v/>
      </c>
      <c r="R373" s="85" t="str">
        <f>IF(AND($N373=$Q$7,$B373&lt;'111'!$L$11),"x","")</f>
        <v/>
      </c>
      <c r="S373" s="85" t="str">
        <f>IF(AND($O373=$Q$7,$B373&lt;'111'!$L$11),"x","")</f>
        <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
      </c>
      <c r="W373" s="85" t="str">
        <f>IF(AND('341-CT'!$H$9=H373,OR(LEFT(N373,3)=$W$7,LEFT(O373,3)=$W$7)),"x","")</f>
        <v/>
      </c>
      <c r="X373" s="85" t="str">
        <f>IF(OR(TH!N373=TH!$X$7,O373=TH!$X$7),"x","")</f>
        <v/>
      </c>
      <c r="Y373" s="85" t="str">
        <f>IF(AND(OR(N373="131",O373="131"),H373='131-CT'!$H$9),"x","")</f>
        <v/>
      </c>
      <c r="Z373" s="85"/>
      <c r="AA373" s="85" t="str">
        <f>IF(AND(MONTH(E373)='IN-NX'!$J$5,'IN-NX'!$D$7=D373),"x","")</f>
        <v/>
      </c>
      <c r="AB373" s="85" t="str">
        <f>IF(AND(OR(LEFT(TH!N373,2)="15",LEFT(TH!O373,2)="15"),'152-CT'!$J$8=TH!F373),"x","")</f>
        <v/>
      </c>
      <c r="AC373" s="85" t="str">
        <f>IF(AND(OR(LEFT(TH!N373,2)="15",LEFT(TH!O373,2)="15"),TK!$E$7=TH!F373),"x","")</f>
        <v/>
      </c>
      <c r="AD373" s="85" t="str">
        <f>IF(AND(N373="1521",MONTH(C373)='BK-NL'!$M$11),"x","")</f>
        <v/>
      </c>
    </row>
    <row r="374" spans="1:30" ht="15.75" customHeight="1">
      <c r="A374" s="343" t="str">
        <f>IF(B374&lt;&gt;"",IF(AND(B374='IN-TC'!$S$4,OR(TH!N374="1111",TH!O374="1111")),TH!D374,""),"")</f>
        <v/>
      </c>
      <c r="B374" s="63">
        <f t="shared" si="54"/>
        <v>2</v>
      </c>
      <c r="C374" s="64">
        <v>42402</v>
      </c>
      <c r="D374" s="64" t="s">
        <v>709</v>
      </c>
      <c r="E374" s="64">
        <v>42402</v>
      </c>
      <c r="F374" s="67" t="s">
        <v>754</v>
      </c>
      <c r="G374" s="67" t="s">
        <v>930</v>
      </c>
      <c r="H374" s="74"/>
      <c r="I374" s="447"/>
      <c r="J374" s="447"/>
      <c r="K374" s="438"/>
      <c r="L374" s="447"/>
      <c r="M374" s="65">
        <v>2500</v>
      </c>
      <c r="N374" s="66" t="s">
        <v>9</v>
      </c>
      <c r="O374" s="66" t="s">
        <v>26</v>
      </c>
      <c r="P374" s="85" t="str">
        <f>IF(AND('331-CT'!$E$7=TH!H374,OR(N374="331",O374="331")),"x","")</f>
        <v/>
      </c>
      <c r="Q374" s="85" t="str">
        <f>IF(AND(B374='111'!$L$11,OR($N374=$Q$7,$O374=$Q$7)),"x","")</f>
        <v/>
      </c>
      <c r="R374" s="85" t="str">
        <f>IF(AND($N374=$Q$7,$B374&lt;'111'!$L$11),"x","")</f>
        <v/>
      </c>
      <c r="S374" s="85" t="str">
        <f>IF(AND($O374=$Q$7,$B374&lt;'111'!$L$11),"x","")</f>
        <v/>
      </c>
      <c r="T374" s="85" t="str">
        <f>IF(ISERROR(FIND('112'!$M$9,G374,1)),"",IF((AND(FIND('112'!$M$9,G374,1)&gt;=1,B374='112'!$K$9,OR($N374='112'!$I$6,$O374='112'!$I$6))),"x",""))</f>
        <v/>
      </c>
      <c r="U374" s="85" t="str">
        <f>IF(ISERROR(FIND('112'!$M$9,G374,1)),"",IF((AND(LEFT(G374,2)=LEFT('112'!$M$9,2),B374&lt;'112'!$K$9,$N374='112'!$I$6)),"x",""))</f>
        <v/>
      </c>
      <c r="V374" s="85" t="str">
        <f>IF(ISERROR(FIND('112'!$M$9,G374,1)),"",IF((AND(RIGHT(G374,2)=RIGHT('112'!$M$9,2),B374&lt;'112'!$K$9,$O374='112'!$I$6)),"x",""))</f>
        <v/>
      </c>
      <c r="W374" s="85" t="str">
        <f>IF(AND('341-CT'!$H$9=H374,OR(LEFT(N374,3)=$W$7,LEFT(O374,3)=$W$7)),"x","")</f>
        <v/>
      </c>
      <c r="X374" s="85" t="str">
        <f>IF(OR(TH!N374=TH!$X$7,O374=TH!$X$7),"x","")</f>
        <v/>
      </c>
      <c r="Y374" s="85" t="str">
        <f>IF(AND(OR(N374="131",O374="131"),H374='131-CT'!$H$9),"x","")</f>
        <v/>
      </c>
      <c r="Z374" s="85"/>
      <c r="AA374" s="85" t="str">
        <f>IF(AND(MONTH(E374)='IN-NX'!$J$5,'IN-NX'!$D$7=D374),"x","")</f>
        <v/>
      </c>
      <c r="AB374" s="85" t="str">
        <f>IF(AND(OR(LEFT(TH!N374,2)="15",LEFT(TH!O374,2)="15"),'152-CT'!$J$8=TH!F374),"x","")</f>
        <v/>
      </c>
      <c r="AC374" s="85" t="str">
        <f>IF(AND(OR(LEFT(TH!N374,2)="15",LEFT(TH!O374,2)="15"),TK!$E$7=TH!F374),"x","")</f>
        <v/>
      </c>
      <c r="AD374" s="85" t="str">
        <f>IF(AND(N374="1521",MONTH(C374)='BK-NL'!$M$11),"x","")</f>
        <v/>
      </c>
    </row>
    <row r="375" spans="1:30" ht="15.75" customHeight="1">
      <c r="A375" s="343" t="str">
        <f>IF(B375&lt;&gt;"",IF(AND(B375='IN-TC'!$S$4,OR(TH!N375="1111",TH!O375="1111")),TH!D375,""),"")</f>
        <v/>
      </c>
      <c r="B375" s="63">
        <f t="shared" si="54"/>
        <v>2</v>
      </c>
      <c r="C375" s="64">
        <v>42403</v>
      </c>
      <c r="D375" s="64" t="s">
        <v>706</v>
      </c>
      <c r="E375" s="64">
        <v>42403</v>
      </c>
      <c r="F375" s="67" t="s">
        <v>1065</v>
      </c>
      <c r="G375" s="67" t="s">
        <v>929</v>
      </c>
      <c r="H375" s="7" t="s">
        <v>602</v>
      </c>
      <c r="I375" s="447"/>
      <c r="J375" s="447"/>
      <c r="K375" s="438">
        <v>97740.36</v>
      </c>
      <c r="L375" s="447">
        <v>22250</v>
      </c>
      <c r="M375" s="65">
        <f>ROUND(K375*L375,0)</f>
        <v>2174723010</v>
      </c>
      <c r="N375" s="66" t="s">
        <v>267</v>
      </c>
      <c r="O375" s="66" t="s">
        <v>591</v>
      </c>
      <c r="P375" s="85" t="str">
        <f>IF(AND('331-CT'!$E$7=TH!H375,OR(N375="331",O375="331")),"x","")</f>
        <v/>
      </c>
      <c r="Q375" s="85" t="str">
        <f>IF(AND(B375='111'!$L$11,OR($N375=$Q$7,$O375=$Q$7)),"x","")</f>
        <v/>
      </c>
      <c r="R375" s="85" t="str">
        <f>IF(AND($N375=$Q$7,$B375&lt;'111'!$L$11),"x","")</f>
        <v/>
      </c>
      <c r="S375" s="85" t="str">
        <f>IF(AND($O375=$Q$7,$B375&lt;'111'!$L$11),"x","")</f>
        <v/>
      </c>
      <c r="T375" s="85" t="str">
        <f>IF(ISERROR(FIND('112'!$M$9,G375,1)),"",IF((AND(FIND('112'!$M$9,G375,1)&gt;=1,B375='112'!$K$9,OR($N375='112'!$I$6,$O375='112'!$I$6))),"x",""))</f>
        <v/>
      </c>
      <c r="U375" s="85" t="str">
        <f>IF(ISERROR(FIND('112'!$M$9,G375,1)),"",IF((AND(LEFT(G375,2)=LEFT('112'!$M$9,2),B375&lt;'112'!$K$9,$N375='112'!$I$6)),"x",""))</f>
        <v/>
      </c>
      <c r="V375" s="85" t="str">
        <f>IF(ISERROR(FIND('112'!$M$9,G375,1)),"",IF((AND(RIGHT(G375,2)=RIGHT('112'!$M$9,2),B375&lt;'112'!$K$9,$O375='112'!$I$6)),"x",""))</f>
        <v/>
      </c>
      <c r="W375" s="85" t="str">
        <f>IF(AND('341-CT'!$H$9=H375,OR(LEFT(N375,3)=$W$7,LEFT(O375,3)=$W$7)),"x","")</f>
        <v/>
      </c>
      <c r="X375" s="85" t="str">
        <f>IF(OR(TH!N375=TH!$X$7,O375=TH!$X$7),"x","")</f>
        <v/>
      </c>
      <c r="Y375" s="85" t="str">
        <f>IF(AND(OR(N375="131",O375="131"),H375='131-CT'!$H$9),"x","")</f>
        <v>x</v>
      </c>
      <c r="Z375" s="85"/>
      <c r="AA375" s="85" t="str">
        <f>IF(AND(MONTH(E375)='IN-NX'!$J$5,'IN-NX'!$D$7=D375),"x","")</f>
        <v/>
      </c>
      <c r="AB375" s="85" t="str">
        <f>IF(AND(OR(LEFT(TH!N375,2)="15",LEFT(TH!O375,2)="15"),'152-CT'!$J$8=TH!F375),"x","")</f>
        <v/>
      </c>
      <c r="AC375" s="85" t="str">
        <f>IF(AND(OR(LEFT(TH!N375,2)="15",LEFT(TH!O375,2)="15"),TK!$E$7=TH!F375),"x","")</f>
        <v/>
      </c>
      <c r="AD375" s="85" t="str">
        <f>IF(AND(N375="1521",MONTH(C375)='BK-NL'!$M$11),"x","")</f>
        <v/>
      </c>
    </row>
    <row r="376" spans="1:30" ht="15.75" customHeight="1">
      <c r="A376" s="343" t="str">
        <f>IF(B376&lt;&gt;"",IF(AND(B376='IN-TC'!$S$4,OR(TH!N376="1111",TH!O376="1111")),TH!D376,""),"")</f>
        <v/>
      </c>
      <c r="B376" s="63">
        <f t="shared" si="54"/>
        <v>2</v>
      </c>
      <c r="C376" s="64">
        <f>E376</f>
        <v>42403</v>
      </c>
      <c r="D376" s="320" t="s">
        <v>585</v>
      </c>
      <c r="E376" s="320">
        <v>42403</v>
      </c>
      <c r="F376" s="321" t="s">
        <v>1081</v>
      </c>
      <c r="G376" s="67" t="s">
        <v>929</v>
      </c>
      <c r="H376" s="322" t="s">
        <v>602</v>
      </c>
      <c r="I376" s="447"/>
      <c r="J376" s="447"/>
      <c r="K376" s="438">
        <v>54.22</v>
      </c>
      <c r="L376" s="447">
        <v>22250</v>
      </c>
      <c r="M376" s="65">
        <f>ROUND(K376*L376,0)</f>
        <v>1206395</v>
      </c>
      <c r="N376" s="323" t="s">
        <v>101</v>
      </c>
      <c r="O376" s="66" t="s">
        <v>591</v>
      </c>
      <c r="P376" s="85" t="str">
        <f>IF(AND('331-CT'!$E$7=TH!H376,OR(N376="331",O376="331")),"x","")</f>
        <v/>
      </c>
      <c r="Q376" s="85" t="str">
        <f>IF(AND(B376='111'!$L$11,OR($N376=$Q$7,$O376=$Q$7)),"x","")</f>
        <v/>
      </c>
      <c r="R376" s="85" t="str">
        <f>IF(AND($N376=$Q$7,$B376&lt;'111'!$L$11),"x","")</f>
        <v/>
      </c>
      <c r="S376" s="85" t="str">
        <f>IF(AND($O376=$Q$7,$B376&lt;'111'!$L$11),"x","")</f>
        <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IF(AND('341-CT'!$H$9=H376,OR(LEFT(N376,3)=$W$7,LEFT(O376,3)=$W$7)),"x","")</f>
        <v/>
      </c>
      <c r="X376" s="85" t="str">
        <f>IF(OR(TH!N376=TH!$X$7,O376=TH!$X$7),"x","")</f>
        <v/>
      </c>
      <c r="Y376" s="85" t="str">
        <f>IF(AND(OR(N376="131",O376="131"),H376='131-CT'!$H$9),"x","")</f>
        <v>x</v>
      </c>
      <c r="Z376" s="85"/>
      <c r="AA376" s="85" t="str">
        <f>IF(AND(MONTH(E376)='IN-NX'!$J$5,'IN-NX'!$D$7=D376),"x","")</f>
        <v/>
      </c>
      <c r="AB376" s="85" t="str">
        <f>IF(AND(OR(LEFT(TH!N376,2)="15",LEFT(TH!O376,2)="15"),'152-CT'!$J$8=TH!F376),"x","")</f>
        <v/>
      </c>
      <c r="AC376" s="85" t="str">
        <f>IF(AND(OR(LEFT(TH!N376,2)="15",LEFT(TH!O376,2)="15"),TK!$E$7=TH!F376),"x","")</f>
        <v/>
      </c>
      <c r="AD376" s="85" t="str">
        <f>IF(AND(N376="1521",MONTH(C376)='BK-NL'!$M$11),"x","")</f>
        <v/>
      </c>
    </row>
    <row r="377" spans="1:30" ht="15.75" customHeight="1">
      <c r="A377" s="343" t="str">
        <f>IF(B377&lt;&gt;"",IF(AND(B377='IN-TC'!$S$4,OR(TH!N377="1111",TH!O377="1111")),TH!D377,""),"")</f>
        <v/>
      </c>
      <c r="B377" s="63">
        <f t="shared" si="54"/>
        <v>2</v>
      </c>
      <c r="C377" s="64">
        <f>E377</f>
        <v>42403</v>
      </c>
      <c r="D377" s="320" t="s">
        <v>585</v>
      </c>
      <c r="E377" s="320">
        <v>42403</v>
      </c>
      <c r="F377" s="321" t="s">
        <v>1082</v>
      </c>
      <c r="G377" s="67" t="s">
        <v>929</v>
      </c>
      <c r="H377" s="322" t="s">
        <v>602</v>
      </c>
      <c r="I377" s="447"/>
      <c r="J377" s="447"/>
      <c r="K377" s="438">
        <v>5.42</v>
      </c>
      <c r="L377" s="447">
        <v>22250</v>
      </c>
      <c r="M377" s="65">
        <f>ROUND(K377*L377,0)</f>
        <v>120595</v>
      </c>
      <c r="N377" s="323" t="s">
        <v>9</v>
      </c>
      <c r="O377" s="66" t="s">
        <v>591</v>
      </c>
      <c r="P377" s="85" t="str">
        <f>IF(AND('331-CT'!$E$7=TH!H377,OR(N377="331",O377="331")),"x","")</f>
        <v/>
      </c>
      <c r="Q377" s="85" t="str">
        <f>IF(AND(B377='111'!$L$11,OR($N377=$Q$7,$O377=$Q$7)),"x","")</f>
        <v/>
      </c>
      <c r="R377" s="85" t="str">
        <f>IF(AND($N377=$Q$7,$B377&lt;'111'!$L$11),"x","")</f>
        <v/>
      </c>
      <c r="S377" s="85" t="str">
        <f>IF(AND($O377=$Q$7,$B377&lt;'111'!$L$11),"x","")</f>
        <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IF(AND('341-CT'!$H$9=H377,OR(LEFT(N377,3)=$W$7,LEFT(O377,3)=$W$7)),"x","")</f>
        <v/>
      </c>
      <c r="X377" s="85" t="str">
        <f>IF(OR(TH!N377=TH!$X$7,O377=TH!$X$7),"x","")</f>
        <v/>
      </c>
      <c r="Y377" s="85" t="str">
        <f>IF(AND(OR(N377="131",O377="131"),H377='131-CT'!$H$9),"x","")</f>
        <v>x</v>
      </c>
      <c r="Z377" s="85"/>
      <c r="AA377" s="85" t="str">
        <f>IF(AND(MONTH(E377)='IN-NX'!$J$5,'IN-NX'!$D$7=D377),"x","")</f>
        <v/>
      </c>
      <c r="AB377" s="85" t="str">
        <f>IF(AND(OR(LEFT(TH!N377,2)="15",LEFT(TH!O377,2)="15"),'152-CT'!$J$8=TH!F377),"x","")</f>
        <v/>
      </c>
      <c r="AC377" s="85" t="str">
        <f>IF(AND(OR(LEFT(TH!N377,2)="15",LEFT(TH!O377,2)="15"),TK!$E$7=TH!F377),"x","")</f>
        <v/>
      </c>
      <c r="AD377" s="85" t="str">
        <f>IF(AND(N377="1521",MONTH(C377)='BK-NL'!$M$11),"x","")</f>
        <v/>
      </c>
    </row>
    <row r="378" spans="1:30" ht="15.75" customHeight="1">
      <c r="A378" s="343" t="str">
        <f>IF(B378&lt;&gt;"",IF(AND(B378='IN-TC'!$S$4,OR(TH!N378="1111",TH!O378="1111")),TH!D378,""),"")</f>
        <v/>
      </c>
      <c r="B378" s="63">
        <f t="shared" si="54"/>
        <v>2</v>
      </c>
      <c r="C378" s="64">
        <v>42403</v>
      </c>
      <c r="D378" s="64" t="s">
        <v>709</v>
      </c>
      <c r="E378" s="64">
        <v>42403</v>
      </c>
      <c r="F378" s="67" t="s">
        <v>717</v>
      </c>
      <c r="G378" s="67" t="s">
        <v>929</v>
      </c>
      <c r="H378" s="74"/>
      <c r="I378" s="447"/>
      <c r="J378" s="447"/>
      <c r="K378" s="438">
        <v>97700</v>
      </c>
      <c r="L378" s="447">
        <v>22280</v>
      </c>
      <c r="M378" s="65">
        <f>ROUND(K378*L378,0)</f>
        <v>2176756000</v>
      </c>
      <c r="N378" s="66" t="s">
        <v>26</v>
      </c>
      <c r="O378" s="66" t="s">
        <v>267</v>
      </c>
      <c r="P378" s="85" t="str">
        <f>IF(AND('331-CT'!$E$7=TH!H378,OR(N378="331",O378="331")),"x","")</f>
        <v/>
      </c>
      <c r="Q378" s="85" t="str">
        <f>IF(AND(B378='111'!$L$11,OR($N378=$Q$7,$O378=$Q$7)),"x","")</f>
        <v/>
      </c>
      <c r="R378" s="85" t="str">
        <f>IF(AND($N378=$Q$7,$B378&lt;'111'!$L$11),"x","")</f>
        <v/>
      </c>
      <c r="S378" s="85" t="str">
        <f>IF(AND($O378=$Q$7,$B378&lt;'111'!$L$11),"x","")</f>
        <v/>
      </c>
      <c r="T378" s="85" t="str">
        <f>IF(ISERROR(FIND('112'!$M$9,G378,1)),"",IF((AND(FIND('112'!$M$9,G378,1)&gt;=1,B378='112'!$K$9,OR($N378='112'!$I$6,$O378='112'!$I$6))),"x",""))</f>
        <v/>
      </c>
      <c r="U378" s="85" t="str">
        <f>IF(ISERROR(FIND('112'!$M$9,G378,1)),"",IF((AND(LEFT(G378,2)=LEFT('112'!$M$9,2),B378&lt;'112'!$K$9,$N378='112'!$I$6)),"x",""))</f>
        <v/>
      </c>
      <c r="V378" s="85" t="str">
        <f>IF(ISERROR(FIND('112'!$M$9,G378,1)),"",IF((AND(RIGHT(G378,2)=RIGHT('112'!$M$9,2),B378&lt;'112'!$K$9,$O378='112'!$I$6)),"x",""))</f>
        <v/>
      </c>
      <c r="W378" s="85" t="str">
        <f>IF(AND('341-CT'!$H$9=H378,OR(LEFT(N378,3)=$W$7,LEFT(O378,3)=$W$7)),"x","")</f>
        <v/>
      </c>
      <c r="X378" s="85" t="str">
        <f>IF(OR(TH!N378=TH!$X$7,O378=TH!$X$7),"x","")</f>
        <v/>
      </c>
      <c r="Y378" s="85" t="str">
        <f>IF(AND(OR(N378="131",O378="131"),H378='131-CT'!$H$9),"x","")</f>
        <v/>
      </c>
      <c r="Z378" s="85"/>
      <c r="AA378" s="85" t="str">
        <f>IF(AND(MONTH(E378)='IN-NX'!$J$5,'IN-NX'!$D$7=D378),"x","")</f>
        <v/>
      </c>
      <c r="AB378" s="85" t="str">
        <f>IF(AND(OR(LEFT(TH!N378,2)="15",LEFT(TH!O378,2)="15"),'152-CT'!$J$8=TH!F378),"x","")</f>
        <v/>
      </c>
      <c r="AC378" s="85" t="str">
        <f>IF(AND(OR(LEFT(TH!N378,2)="15",LEFT(TH!O378,2)="15"),TK!$E$7=TH!F378),"x","")</f>
        <v/>
      </c>
      <c r="AD378" s="85" t="str">
        <f>IF(AND(N378="1521",MONTH(C378)='BK-NL'!$M$11),"x","")</f>
        <v/>
      </c>
    </row>
    <row r="379" spans="1:30" ht="15.75" customHeight="1">
      <c r="A379" s="343" t="str">
        <f>IF(B379&lt;&gt;"",IF(AND(B379='IN-TC'!$S$4,OR(TH!N379="1111",TH!O379="1111")),TH!D379,""),"")</f>
        <v>C03</v>
      </c>
      <c r="B379" s="63">
        <f t="shared" si="54"/>
        <v>2</v>
      </c>
      <c r="C379" s="64">
        <v>42403</v>
      </c>
      <c r="D379" s="64" t="s">
        <v>881</v>
      </c>
      <c r="E379" s="64">
        <v>42403</v>
      </c>
      <c r="F379" s="67" t="s">
        <v>1014</v>
      </c>
      <c r="G379" s="996" t="s">
        <v>1033</v>
      </c>
      <c r="H379" s="74" t="s">
        <v>825</v>
      </c>
      <c r="I379" s="447"/>
      <c r="J379" s="447"/>
      <c r="K379" s="438"/>
      <c r="L379" s="447"/>
      <c r="M379" s="65">
        <v>112291</v>
      </c>
      <c r="N379" s="66" t="s">
        <v>101</v>
      </c>
      <c r="O379" s="66" t="s">
        <v>63</v>
      </c>
      <c r="P379" s="85" t="str">
        <f>IF(AND('331-CT'!$E$7=TH!H379,OR(N379="331",O379="331")),"x","")</f>
        <v/>
      </c>
      <c r="Q379" s="85" t="str">
        <f>IF(AND(B379='111'!$L$11,OR($N379=$Q$7,$O379=$Q$7)),"x","")</f>
        <v/>
      </c>
      <c r="R379" s="85" t="str">
        <f>IF(AND($N379=$Q$7,$B379&lt;'111'!$L$11),"x","")</f>
        <v/>
      </c>
      <c r="S379" s="85" t="str">
        <f>IF(AND($O379=$Q$7,$B379&lt;'111'!$L$11),"x","")</f>
        <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IF(AND('341-CT'!$H$9=H379,OR(LEFT(N379,3)=$W$7,LEFT(O379,3)=$W$7)),"x","")</f>
        <v/>
      </c>
      <c r="X379" s="85" t="str">
        <f>IF(OR(TH!N379=TH!$X$7,O379=TH!$X$7),"x","")</f>
        <v/>
      </c>
      <c r="Y379" s="85" t="str">
        <f>IF(AND(OR(N379="131",O379="131"),H379='131-CT'!$H$9),"x","")</f>
        <v/>
      </c>
      <c r="Z379" s="85"/>
      <c r="AA379" s="85" t="str">
        <f>IF(AND(MONTH(E379)='IN-NX'!$J$5,'IN-NX'!$D$7=D379),"x","")</f>
        <v/>
      </c>
      <c r="AB379" s="85" t="str">
        <f>IF(AND(OR(LEFT(TH!N379,2)="15",LEFT(TH!O379,2)="15"),'152-CT'!$J$8=TH!F379),"x","")</f>
        <v/>
      </c>
      <c r="AC379" s="85" t="str">
        <f>IF(AND(OR(LEFT(TH!N379,2)="15",LEFT(TH!O379,2)="15"),TK!$E$7=TH!F379),"x","")</f>
        <v/>
      </c>
      <c r="AD379" s="85" t="str">
        <f>IF(AND(N379="1521",MONTH(C379)='BK-NL'!$M$11),"x","")</f>
        <v/>
      </c>
    </row>
    <row r="380" spans="1:30" ht="15.75" customHeight="1">
      <c r="A380" s="343" t="str">
        <f>IF(B380&lt;&gt;"",IF(AND(B380='IN-TC'!$S$4,OR(TH!N380="1111",TH!O380="1111")),TH!D380,""),"")</f>
        <v>C03</v>
      </c>
      <c r="B380" s="63">
        <f t="shared" si="54"/>
        <v>2</v>
      </c>
      <c r="C380" s="64">
        <v>42403</v>
      </c>
      <c r="D380" s="64" t="s">
        <v>881</v>
      </c>
      <c r="E380" s="64">
        <v>42403</v>
      </c>
      <c r="F380" s="67" t="s">
        <v>1015</v>
      </c>
      <c r="G380" s="996" t="s">
        <v>1033</v>
      </c>
      <c r="H380" s="74" t="s">
        <v>825</v>
      </c>
      <c r="I380" s="447"/>
      <c r="J380" s="447"/>
      <c r="K380" s="438"/>
      <c r="L380" s="447"/>
      <c r="M380" s="65">
        <v>11229</v>
      </c>
      <c r="N380" s="66" t="s">
        <v>9</v>
      </c>
      <c r="O380" s="66" t="s">
        <v>63</v>
      </c>
      <c r="P380" s="85" t="str">
        <f>IF(AND('331-CT'!$E$7=TH!H380,OR(N380="331",O380="331")),"x","")</f>
        <v/>
      </c>
      <c r="Q380" s="85" t="str">
        <f>IF(AND(B380='111'!$L$11,OR($N380=$Q$7,$O380=$Q$7)),"x","")</f>
        <v/>
      </c>
      <c r="R380" s="85" t="str">
        <f>IF(AND($N380=$Q$7,$B380&lt;'111'!$L$11),"x","")</f>
        <v/>
      </c>
      <c r="S380" s="85" t="str">
        <f>IF(AND($O380=$Q$7,$B380&lt;'111'!$L$11),"x","")</f>
        <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IF(AND('341-CT'!$H$9=H380,OR(LEFT(N380,3)=$W$7,LEFT(O380,3)=$W$7)),"x","")</f>
        <v/>
      </c>
      <c r="X380" s="85" t="str">
        <f>IF(OR(TH!N380=TH!$X$7,O380=TH!$X$7),"x","")</f>
        <v/>
      </c>
      <c r="Y380" s="85" t="str">
        <f>IF(AND(OR(N380="131",O380="131"),H380='131-CT'!$H$9),"x","")</f>
        <v/>
      </c>
      <c r="Z380" s="85"/>
      <c r="AA380" s="85" t="str">
        <f>IF(AND(MONTH(E380)='IN-NX'!$J$5,'IN-NX'!$D$7=D380),"x","")</f>
        <v/>
      </c>
      <c r="AB380" s="85" t="str">
        <f>IF(AND(OR(LEFT(TH!N380,2)="15",LEFT(TH!O380,2)="15"),'152-CT'!$J$8=TH!F380),"x","")</f>
        <v/>
      </c>
      <c r="AC380" s="85" t="str">
        <f>IF(AND(OR(LEFT(TH!N380,2)="15",LEFT(TH!O380,2)="15"),TK!$E$7=TH!F380),"x","")</f>
        <v/>
      </c>
      <c r="AD380" s="85" t="str">
        <f>IF(AND(N380="1521",MONTH(C380)='BK-NL'!$M$11),"x","")</f>
        <v/>
      </c>
    </row>
    <row r="381" spans="1:30" ht="15.75" customHeight="1">
      <c r="A381" s="343" t="str">
        <f>IF(B381&lt;&gt;"",IF(AND(B381='IN-TC'!$S$4,OR(TH!N381="1111",TH!O381="1111")),TH!D381,""),"")</f>
        <v>C04</v>
      </c>
      <c r="B381" s="63">
        <f t="shared" si="54"/>
        <v>2</v>
      </c>
      <c r="C381" s="64">
        <v>42403</v>
      </c>
      <c r="D381" s="64" t="s">
        <v>882</v>
      </c>
      <c r="E381" s="64">
        <v>42403</v>
      </c>
      <c r="F381" s="67" t="s">
        <v>1016</v>
      </c>
      <c r="G381" s="996" t="s">
        <v>1034</v>
      </c>
      <c r="H381" s="74" t="s">
        <v>819</v>
      </c>
      <c r="I381" s="447"/>
      <c r="J381" s="447"/>
      <c r="K381" s="438"/>
      <c r="L381" s="447"/>
      <c r="M381" s="65">
        <v>660273</v>
      </c>
      <c r="N381" s="66" t="s">
        <v>101</v>
      </c>
      <c r="O381" s="66" t="s">
        <v>63</v>
      </c>
      <c r="P381" s="85" t="str">
        <f>IF(AND('331-CT'!$E$7=TH!H381,OR(N381="331",O381="331")),"x","")</f>
        <v/>
      </c>
      <c r="Q381" s="85" t="str">
        <f>IF(AND(B381='111'!$L$11,OR($N381=$Q$7,$O381=$Q$7)),"x","")</f>
        <v/>
      </c>
      <c r="R381" s="85" t="str">
        <f>IF(AND($N381=$Q$7,$B381&lt;'111'!$L$11),"x","")</f>
        <v/>
      </c>
      <c r="S381" s="85" t="str">
        <f>IF(AND($O381=$Q$7,$B381&lt;'111'!$L$11),"x","")</f>
        <v/>
      </c>
      <c r="T381" s="85" t="str">
        <f>IF(ISERROR(FIND('112'!$M$9,G381,1)),"",IF((AND(FIND('112'!$M$9,G381,1)&gt;=1,B381='112'!$K$9,OR($N381='112'!$I$6,$O381='112'!$I$6))),"x",""))</f>
        <v/>
      </c>
      <c r="U381" s="85" t="str">
        <f>IF(ISERROR(FIND('112'!$M$9,G381,1)),"",IF((AND(LEFT(G381,2)=LEFT('112'!$M$9,2),B381&lt;'112'!$K$9,$N381='112'!$I$6)),"x",""))</f>
        <v/>
      </c>
      <c r="V381" s="85" t="str">
        <f>IF(ISERROR(FIND('112'!$M$9,G381,1)),"",IF((AND(RIGHT(G381,2)=RIGHT('112'!$M$9,2),B381&lt;'112'!$K$9,$O381='112'!$I$6)),"x",""))</f>
        <v/>
      </c>
      <c r="W381" s="85" t="str">
        <f>IF(AND('341-CT'!$H$9=H381,OR(LEFT(N381,3)=$W$7,LEFT(O381,3)=$W$7)),"x","")</f>
        <v/>
      </c>
      <c r="X381" s="85" t="str">
        <f>IF(OR(TH!N381=TH!$X$7,O381=TH!$X$7),"x","")</f>
        <v/>
      </c>
      <c r="Y381" s="85" t="str">
        <f>IF(AND(OR(N381="131",O381="131"),H381='131-CT'!$H$9),"x","")</f>
        <v/>
      </c>
      <c r="Z381" s="85"/>
      <c r="AA381" s="85" t="str">
        <f>IF(AND(MONTH(E381)='IN-NX'!$J$5,'IN-NX'!$D$7=D381),"x","")</f>
        <v/>
      </c>
      <c r="AB381" s="85" t="str">
        <f>IF(AND(OR(LEFT(TH!N381,2)="15",LEFT(TH!O381,2)="15"),'152-CT'!$J$8=TH!F381),"x","")</f>
        <v/>
      </c>
      <c r="AC381" s="85" t="str">
        <f>IF(AND(OR(LEFT(TH!N381,2)="15",LEFT(TH!O381,2)="15"),TK!$E$7=TH!F381),"x","")</f>
        <v/>
      </c>
      <c r="AD381" s="85" t="str">
        <f>IF(AND(N381="1521",MONTH(C381)='BK-NL'!$M$11),"x","")</f>
        <v/>
      </c>
    </row>
    <row r="382" spans="1:30" ht="15.75" customHeight="1">
      <c r="A382" s="343" t="str">
        <f>IF(B382&lt;&gt;"",IF(AND(B382='IN-TC'!$S$4,OR(TH!N382="1111",TH!O382="1111")),TH!D382,""),"")</f>
        <v>C04</v>
      </c>
      <c r="B382" s="63">
        <f t="shared" si="54"/>
        <v>2</v>
      </c>
      <c r="C382" s="64">
        <v>42403</v>
      </c>
      <c r="D382" s="64" t="s">
        <v>882</v>
      </c>
      <c r="E382" s="64">
        <v>42403</v>
      </c>
      <c r="F382" s="67" t="s">
        <v>1017</v>
      </c>
      <c r="G382" s="996" t="s">
        <v>1034</v>
      </c>
      <c r="H382" s="74" t="s">
        <v>819</v>
      </c>
      <c r="I382" s="447"/>
      <c r="J382" s="447"/>
      <c r="K382" s="438"/>
      <c r="L382" s="447"/>
      <c r="M382" s="65">
        <v>66027</v>
      </c>
      <c r="N382" s="66" t="s">
        <v>9</v>
      </c>
      <c r="O382" s="66" t="s">
        <v>63</v>
      </c>
      <c r="P382" s="85" t="str">
        <f>IF(AND('331-CT'!$E$7=TH!H382,OR(N382="331",O382="331")),"x","")</f>
        <v/>
      </c>
      <c r="Q382" s="85" t="str">
        <f>IF(AND(B382='111'!$L$11,OR($N382=$Q$7,$O382=$Q$7)),"x","")</f>
        <v/>
      </c>
      <c r="R382" s="85" t="str">
        <f>IF(AND($N382=$Q$7,$B382&lt;'111'!$L$11),"x","")</f>
        <v/>
      </c>
      <c r="S382" s="85" t="str">
        <f>IF(AND($O382=$Q$7,$B382&lt;'111'!$L$11),"x","")</f>
        <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
      </c>
      <c r="W382" s="85" t="str">
        <f>IF(AND('341-CT'!$H$9=H382,OR(LEFT(N382,3)=$W$7,LEFT(O382,3)=$W$7)),"x","")</f>
        <v/>
      </c>
      <c r="X382" s="85" t="str">
        <f>IF(OR(TH!N382=TH!$X$7,O382=TH!$X$7),"x","")</f>
        <v/>
      </c>
      <c r="Y382" s="85" t="str">
        <f>IF(AND(OR(N382="131",O382="131"),H382='131-CT'!$H$9),"x","")</f>
        <v/>
      </c>
      <c r="Z382" s="85"/>
      <c r="AA382" s="85" t="str">
        <f>IF(AND(MONTH(E382)='IN-NX'!$J$5,'IN-NX'!$D$7=D382),"x","")</f>
        <v/>
      </c>
      <c r="AB382" s="85" t="str">
        <f>IF(AND(OR(LEFT(TH!N382,2)="15",LEFT(TH!O382,2)="15"),'152-CT'!$J$8=TH!F382),"x","")</f>
        <v/>
      </c>
      <c r="AC382" s="85" t="str">
        <f>IF(AND(OR(LEFT(TH!N382,2)="15",LEFT(TH!O382,2)="15"),TK!$E$7=TH!F382),"x","")</f>
        <v/>
      </c>
      <c r="AD382" s="85" t="str">
        <f>IF(AND(N382="1521",MONTH(C382)='BK-NL'!$M$11),"x","")</f>
        <v/>
      </c>
    </row>
    <row r="383" spans="1:30" ht="15.75" customHeight="1">
      <c r="A383" s="343" t="str">
        <f>IF(B383&lt;&gt;"",IF(AND(B383='IN-TC'!$S$4,OR(TH!N383="1111",TH!O383="1111")),TH!D383,""),"")</f>
        <v/>
      </c>
      <c r="B383" s="63">
        <f t="shared" si="54"/>
        <v>2</v>
      </c>
      <c r="C383" s="64">
        <v>42403</v>
      </c>
      <c r="D383" s="64" t="s">
        <v>706</v>
      </c>
      <c r="E383" s="64">
        <v>42403</v>
      </c>
      <c r="F383" s="67" t="s">
        <v>1056</v>
      </c>
      <c r="G383" s="67" t="s">
        <v>931</v>
      </c>
      <c r="H383" s="74"/>
      <c r="I383" s="447"/>
      <c r="J383" s="447"/>
      <c r="K383" s="438"/>
      <c r="L383" s="447"/>
      <c r="M383" s="65">
        <v>500000000</v>
      </c>
      <c r="N383" s="66" t="s">
        <v>26</v>
      </c>
      <c r="O383" s="66" t="s">
        <v>26</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
      </c>
      <c r="V383" s="85" t="str">
        <f>IF(ISERROR(FIND('112'!$M$9,G383,1)),"",IF((AND(RIGHT(G383,2)=RIGHT('112'!$M$9,2),B383&lt;'112'!$K$9,$O383='112'!$I$6)),"x",""))</f>
        <v/>
      </c>
      <c r="W383" s="85" t="str">
        <f>IF(AND('341-CT'!$H$9=H383,OR(LEFT(N383,3)=$W$7,LEFT(O383,3)=$W$7)),"x","")</f>
        <v/>
      </c>
      <c r="X383" s="85" t="str">
        <f>IF(OR(TH!N383=TH!$X$7,O383=TH!$X$7),"x","")</f>
        <v/>
      </c>
      <c r="Y383" s="85" t="str">
        <f>IF(AND(OR(N383="131",O383="131"),H383='131-CT'!$H$9),"x","")</f>
        <v/>
      </c>
      <c r="Z383" s="85"/>
      <c r="AA383" s="85" t="str">
        <f>IF(AND(MONTH(E383)='IN-NX'!$J$5,'IN-NX'!$D$7=D383),"x","")</f>
        <v/>
      </c>
      <c r="AB383" s="85" t="str">
        <f>IF(AND(OR(LEFT(TH!N383,2)="15",LEFT(TH!O383,2)="15"),'152-CT'!$J$8=TH!F383),"x","")</f>
        <v/>
      </c>
      <c r="AC383" s="85" t="str">
        <f>IF(AND(OR(LEFT(TH!N383,2)="15",LEFT(TH!O383,2)="15"),TK!$E$7=TH!F383),"x","")</f>
        <v/>
      </c>
      <c r="AD383" s="85" t="str">
        <f>IF(AND(N383="1521",MONTH(C383)='BK-NL'!$M$11),"x","")</f>
        <v/>
      </c>
    </row>
    <row r="384" spans="1:30" ht="15.75" customHeight="1">
      <c r="A384" s="343" t="str">
        <f>IF(B384&lt;&gt;"",IF(AND(B384='IN-TC'!$S$4,OR(TH!N384="1111",TH!O384="1111")),TH!D384,""),"")</f>
        <v/>
      </c>
      <c r="B384" s="63">
        <f t="shared" si="54"/>
        <v>2</v>
      </c>
      <c r="C384" s="64">
        <v>42403</v>
      </c>
      <c r="D384" s="64" t="s">
        <v>706</v>
      </c>
      <c r="E384" s="64">
        <v>42403</v>
      </c>
      <c r="F384" s="67" t="s">
        <v>1057</v>
      </c>
      <c r="G384" s="67" t="s">
        <v>930</v>
      </c>
      <c r="H384" s="74" t="s">
        <v>1235</v>
      </c>
      <c r="I384" s="447"/>
      <c r="J384" s="447"/>
      <c r="K384" s="438"/>
      <c r="L384" s="447"/>
      <c r="M384" s="65">
        <v>110000000</v>
      </c>
      <c r="N384" s="66" t="s">
        <v>26</v>
      </c>
      <c r="O384" s="66" t="s">
        <v>72</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
      </c>
      <c r="V384" s="85" t="str">
        <f>IF(ISERROR(FIND('112'!$M$9,G384,1)),"",IF((AND(RIGHT(G384,2)=RIGHT('112'!$M$9,2),B384&lt;'112'!$K$9,$O384='112'!$I$6)),"x",""))</f>
        <v/>
      </c>
      <c r="W384" s="85" t="str">
        <f>IF(AND('341-CT'!$H$9=H384,OR(LEFT(N384,3)=$W$7,LEFT(O384,3)=$W$7)),"x","")</f>
        <v/>
      </c>
      <c r="X384" s="85" t="str">
        <f>IF(OR(TH!N384=TH!$X$7,O384=TH!$X$7),"x","")</f>
        <v>x</v>
      </c>
      <c r="Y384" s="85" t="str">
        <f>IF(AND(OR(N384="131",O384="131"),H384='131-CT'!$H$9),"x","")</f>
        <v/>
      </c>
      <c r="Z384" s="85"/>
      <c r="AA384" s="85" t="str">
        <f>IF(AND(MONTH(E384)='IN-NX'!$J$5,'IN-NX'!$D$7=D384),"x","")</f>
        <v/>
      </c>
      <c r="AB384" s="85" t="str">
        <f>IF(AND(OR(LEFT(TH!N384,2)="15",LEFT(TH!O384,2)="15"),'152-CT'!$J$8=TH!F384),"x","")</f>
        <v/>
      </c>
      <c r="AC384" s="85" t="str">
        <f>IF(AND(OR(LEFT(TH!N384,2)="15",LEFT(TH!O384,2)="15"),TK!$E$7=TH!F384),"x","")</f>
        <v/>
      </c>
      <c r="AD384" s="85" t="str">
        <f>IF(AND(N384="1521",MONTH(C384)='BK-NL'!$M$11),"x","")</f>
        <v/>
      </c>
    </row>
    <row r="385" spans="1:30" ht="15.75" customHeight="1">
      <c r="A385" s="343" t="str">
        <f>IF(B385&lt;&gt;"",IF(AND(B385='IN-TC'!$S$4,OR(TH!N385="1111",TH!O385="1111")),TH!D385,""),"")</f>
        <v/>
      </c>
      <c r="B385" s="63">
        <f t="shared" si="54"/>
        <v>2</v>
      </c>
      <c r="C385" s="64">
        <v>42403</v>
      </c>
      <c r="D385" s="64" t="s">
        <v>709</v>
      </c>
      <c r="E385" s="64">
        <v>42403</v>
      </c>
      <c r="F385" s="67" t="s">
        <v>1110</v>
      </c>
      <c r="G385" s="67" t="s">
        <v>930</v>
      </c>
      <c r="H385" s="7" t="s">
        <v>635</v>
      </c>
      <c r="I385" s="447"/>
      <c r="J385" s="447"/>
      <c r="K385" s="438"/>
      <c r="L385" s="447"/>
      <c r="M385" s="65">
        <v>100000000</v>
      </c>
      <c r="N385" s="66" t="s">
        <v>8</v>
      </c>
      <c r="O385" s="66" t="s">
        <v>26</v>
      </c>
      <c r="P385" s="85" t="str">
        <f>IF(AND('331-CT'!$E$7=TH!H385,OR(N385="331",O385="331")),"x","")</f>
        <v/>
      </c>
      <c r="Q385" s="85" t="str">
        <f>IF(AND(B385='111'!$L$11,OR($N385=$Q$7,$O385=$Q$7)),"x","")</f>
        <v/>
      </c>
      <c r="R385" s="85" t="str">
        <f>IF(AND($N385=$Q$7,$B385&lt;'111'!$L$11),"x","")</f>
        <v/>
      </c>
      <c r="S385" s="85" t="str">
        <f>IF(AND($O385=$Q$7,$B385&lt;'111'!$L$11),"x","")</f>
        <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
      </c>
      <c r="W385" s="85" t="str">
        <f>IF(AND('341-CT'!$H$9=H385,OR(LEFT(N385,3)=$W$7,LEFT(O385,3)=$W$7)),"x","")</f>
        <v/>
      </c>
      <c r="X385" s="85" t="str">
        <f>IF(OR(TH!N385=TH!$X$7,O385=TH!$X$7),"x","")</f>
        <v/>
      </c>
      <c r="Y385" s="85" t="str">
        <f>IF(AND(OR(N385="131",O385="131"),H385='131-CT'!$H$9),"x","")</f>
        <v/>
      </c>
      <c r="Z385" s="85"/>
      <c r="AA385" s="85" t="str">
        <f>IF(AND(MONTH(E385)='IN-NX'!$J$5,'IN-NX'!$D$7=D385),"x","")</f>
        <v/>
      </c>
      <c r="AB385" s="85" t="str">
        <f>IF(AND(OR(LEFT(TH!N385,2)="15",LEFT(TH!O385,2)="15"),'152-CT'!$J$8=TH!F385),"x","")</f>
        <v/>
      </c>
      <c r="AC385" s="85" t="str">
        <f>IF(AND(OR(LEFT(TH!N385,2)="15",LEFT(TH!O385,2)="15"),TK!$E$7=TH!F385),"x","")</f>
        <v/>
      </c>
      <c r="AD385" s="85" t="str">
        <f>IF(AND(N385="1521",MONTH(C385)='BK-NL'!$M$11),"x","")</f>
        <v/>
      </c>
    </row>
    <row r="386" spans="1:30" ht="15.75" customHeight="1">
      <c r="A386" s="343" t="str">
        <f>IF(B386&lt;&gt;"",IF(AND(B386='IN-TC'!$S$4,OR(TH!N386="1111",TH!O386="1111")),TH!D386,""),"")</f>
        <v/>
      </c>
      <c r="B386" s="63">
        <f t="shared" si="54"/>
        <v>2</v>
      </c>
      <c r="C386" s="64">
        <v>42403</v>
      </c>
      <c r="D386" s="64" t="s">
        <v>709</v>
      </c>
      <c r="E386" s="64">
        <v>42403</v>
      </c>
      <c r="F386" s="67" t="s">
        <v>752</v>
      </c>
      <c r="G386" s="67" t="s">
        <v>930</v>
      </c>
      <c r="H386" s="74"/>
      <c r="I386" s="447"/>
      <c r="J386" s="447"/>
      <c r="K386" s="438"/>
      <c r="L386" s="447"/>
      <c r="M386" s="65">
        <v>50000</v>
      </c>
      <c r="N386" s="66" t="s">
        <v>101</v>
      </c>
      <c r="O386" s="66" t="s">
        <v>26</v>
      </c>
      <c r="P386" s="85" t="str">
        <f>IF(AND('331-CT'!$E$7=TH!H386,OR(N386="331",O386="331")),"x","")</f>
        <v/>
      </c>
      <c r="Q386" s="85" t="str">
        <f>IF(AND(B386='111'!$L$11,OR($N386=$Q$7,$O386=$Q$7)),"x","")</f>
        <v/>
      </c>
      <c r="R386" s="85" t="str">
        <f>IF(AND($N386=$Q$7,$B386&lt;'111'!$L$11),"x","")</f>
        <v/>
      </c>
      <c r="S386" s="85" t="str">
        <f>IF(AND($O386=$Q$7,$B386&lt;'111'!$L$11),"x","")</f>
        <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
      </c>
      <c r="W386" s="85" t="str">
        <f>IF(AND('341-CT'!$H$9=H386,OR(LEFT(N386,3)=$W$7,LEFT(O386,3)=$W$7)),"x","")</f>
        <v/>
      </c>
      <c r="X386" s="85" t="str">
        <f>IF(OR(TH!N386=TH!$X$7,O386=TH!$X$7),"x","")</f>
        <v/>
      </c>
      <c r="Y386" s="85" t="str">
        <f>IF(AND(OR(N386="131",O386="131"),H386='131-CT'!$H$9),"x","")</f>
        <v/>
      </c>
      <c r="Z386" s="85"/>
      <c r="AA386" s="85" t="str">
        <f>IF(AND(MONTH(E386)='IN-NX'!$J$5,'IN-NX'!$D$7=D386),"x","")</f>
        <v/>
      </c>
      <c r="AB386" s="85" t="str">
        <f>IF(AND(OR(LEFT(TH!N386,2)="15",LEFT(TH!O386,2)="15"),'152-CT'!$J$8=TH!F386),"x","")</f>
        <v/>
      </c>
      <c r="AC386" s="85" t="str">
        <f>IF(AND(OR(LEFT(TH!N386,2)="15",LEFT(TH!O386,2)="15"),TK!$E$7=TH!F386),"x","")</f>
        <v/>
      </c>
      <c r="AD386" s="85" t="str">
        <f>IF(AND(N386="1521",MONTH(C386)='BK-NL'!$M$11),"x","")</f>
        <v/>
      </c>
    </row>
    <row r="387" spans="1:30" ht="15.75" customHeight="1">
      <c r="A387" s="343" t="str">
        <f>IF(B387&lt;&gt;"",IF(AND(B387='IN-TC'!$S$4,OR(TH!N387="1111",TH!O387="1111")),TH!D387,""),"")</f>
        <v/>
      </c>
      <c r="B387" s="63">
        <f t="shared" si="54"/>
        <v>2</v>
      </c>
      <c r="C387" s="64">
        <v>42403</v>
      </c>
      <c r="D387" s="64" t="s">
        <v>709</v>
      </c>
      <c r="E387" s="64">
        <v>42403</v>
      </c>
      <c r="F387" s="67" t="s">
        <v>754</v>
      </c>
      <c r="G387" s="67" t="s">
        <v>930</v>
      </c>
      <c r="H387" s="74"/>
      <c r="I387" s="447"/>
      <c r="J387" s="447"/>
      <c r="K387" s="438"/>
      <c r="L387" s="447"/>
      <c r="M387" s="65">
        <v>5000</v>
      </c>
      <c r="N387" s="66" t="s">
        <v>9</v>
      </c>
      <c r="O387" s="66" t="s">
        <v>26</v>
      </c>
      <c r="P387" s="85" t="str">
        <f>IF(AND('331-CT'!$E$7=TH!H387,OR(N387="331",O387="331")),"x","")</f>
        <v/>
      </c>
      <c r="Q387" s="85" t="str">
        <f>IF(AND(B387='111'!$L$11,OR($N387=$Q$7,$O387=$Q$7)),"x","")</f>
        <v/>
      </c>
      <c r="R387" s="85" t="str">
        <f>IF(AND($N387=$Q$7,$B387&lt;'111'!$L$11),"x","")</f>
        <v/>
      </c>
      <c r="S387" s="85" t="str">
        <f>IF(AND($O387=$Q$7,$B387&lt;'111'!$L$11),"x","")</f>
        <v/>
      </c>
      <c r="T387" s="85" t="str">
        <f>IF(ISERROR(FIND('112'!$M$9,G387,1)),"",IF((AND(FIND('112'!$M$9,G387,1)&gt;=1,B387='112'!$K$9,OR($N387='112'!$I$6,$O387='112'!$I$6))),"x",""))</f>
        <v/>
      </c>
      <c r="U387" s="85" t="str">
        <f>IF(ISERROR(FIND('112'!$M$9,G387,1)),"",IF((AND(LEFT(G387,2)=LEFT('112'!$M$9,2),B387&lt;'112'!$K$9,$N387='112'!$I$6)),"x",""))</f>
        <v/>
      </c>
      <c r="V387" s="85" t="str">
        <f>IF(ISERROR(FIND('112'!$M$9,G387,1)),"",IF((AND(RIGHT(G387,2)=RIGHT('112'!$M$9,2),B387&lt;'112'!$K$9,$O387='112'!$I$6)),"x",""))</f>
        <v/>
      </c>
      <c r="W387" s="85" t="str">
        <f>IF(AND('341-CT'!$H$9=H387,OR(LEFT(N387,3)=$W$7,LEFT(O387,3)=$W$7)),"x","")</f>
        <v/>
      </c>
      <c r="X387" s="85" t="str">
        <f>IF(OR(TH!N387=TH!$X$7,O387=TH!$X$7),"x","")</f>
        <v/>
      </c>
      <c r="Y387" s="85" t="str">
        <f>IF(AND(OR(N387="131",O387="131"),H387='131-CT'!$H$9),"x","")</f>
        <v/>
      </c>
      <c r="Z387" s="85"/>
      <c r="AA387" s="85" t="str">
        <f>IF(AND(MONTH(E387)='IN-NX'!$J$5,'IN-NX'!$D$7=D387),"x","")</f>
        <v/>
      </c>
      <c r="AB387" s="85" t="str">
        <f>IF(AND(OR(LEFT(TH!N387,2)="15",LEFT(TH!O387,2)="15"),'152-CT'!$J$8=TH!F387),"x","")</f>
        <v/>
      </c>
      <c r="AC387" s="85" t="str">
        <f>IF(AND(OR(LEFT(TH!N387,2)="15",LEFT(TH!O387,2)="15"),TK!$E$7=TH!F387),"x","")</f>
        <v/>
      </c>
      <c r="AD387" s="85" t="str">
        <f>IF(AND(N387="1521",MONTH(C387)='BK-NL'!$M$11),"x","")</f>
        <v/>
      </c>
    </row>
    <row r="388" spans="1:30" ht="15.75" customHeight="1">
      <c r="A388" s="343" t="str">
        <f>IF(B388&lt;&gt;"",IF(AND(B388='IN-TC'!$S$4,OR(TH!N388="1111",TH!O388="1111")),TH!D388,""),"")</f>
        <v/>
      </c>
      <c r="B388" s="63">
        <f t="shared" si="54"/>
        <v>2</v>
      </c>
      <c r="C388" s="64">
        <v>42403</v>
      </c>
      <c r="D388" s="64" t="s">
        <v>709</v>
      </c>
      <c r="E388" s="64">
        <v>42403</v>
      </c>
      <c r="F388" s="67" t="s">
        <v>1111</v>
      </c>
      <c r="G388" s="67" t="s">
        <v>930</v>
      </c>
      <c r="H388" s="7" t="s">
        <v>632</v>
      </c>
      <c r="I388" s="447"/>
      <c r="J388" s="447"/>
      <c r="K388" s="438"/>
      <c r="L388" s="447"/>
      <c r="M388" s="65">
        <v>24446400</v>
      </c>
      <c r="N388" s="66" t="s">
        <v>8</v>
      </c>
      <c r="O388" s="66" t="s">
        <v>26</v>
      </c>
      <c r="P388" s="85" t="str">
        <f>IF(AND('331-CT'!$E$7=TH!H388,OR(N388="331",O388="331")),"x","")</f>
        <v/>
      </c>
      <c r="Q388" s="85" t="str">
        <f>IF(AND(B388='111'!$L$11,OR($N388=$Q$7,$O388=$Q$7)),"x","")</f>
        <v/>
      </c>
      <c r="R388" s="85" t="str">
        <f>IF(AND($N388=$Q$7,$B388&lt;'111'!$L$11),"x","")</f>
        <v/>
      </c>
      <c r="S388" s="85" t="str">
        <f>IF(AND($O388=$Q$7,$B388&lt;'111'!$L$11),"x","")</f>
        <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
      </c>
      <c r="W388" s="85" t="str">
        <f>IF(AND('341-CT'!$H$9=H388,OR(LEFT(N388,3)=$W$7,LEFT(O388,3)=$W$7)),"x","")</f>
        <v/>
      </c>
      <c r="X388" s="85" t="str">
        <f>IF(OR(TH!N388=TH!$X$7,O388=TH!$X$7),"x","")</f>
        <v/>
      </c>
      <c r="Y388" s="85" t="str">
        <f>IF(AND(OR(N388="131",O388="131"),H388='131-CT'!$H$9),"x","")</f>
        <v/>
      </c>
      <c r="Z388" s="85"/>
      <c r="AA388" s="85" t="str">
        <f>IF(AND(MONTH(E388)='IN-NX'!$J$5,'IN-NX'!$D$7=D388),"x","")</f>
        <v/>
      </c>
      <c r="AB388" s="85" t="str">
        <f>IF(AND(OR(LEFT(TH!N388,2)="15",LEFT(TH!O388,2)="15"),'152-CT'!$J$8=TH!F388),"x","")</f>
        <v/>
      </c>
      <c r="AC388" s="85" t="str">
        <f>IF(AND(OR(LEFT(TH!N388,2)="15",LEFT(TH!O388,2)="15"),TK!$E$7=TH!F388),"x","")</f>
        <v/>
      </c>
      <c r="AD388" s="85" t="str">
        <f>IF(AND(N388="1521",MONTH(C388)='BK-NL'!$M$11),"x","")</f>
        <v/>
      </c>
    </row>
    <row r="389" spans="1:30" ht="15.75" customHeight="1">
      <c r="A389" s="343" t="str">
        <f>IF(B389&lt;&gt;"",IF(AND(B389='IN-TC'!$S$4,OR(TH!N389="1111",TH!O389="1111")),TH!D389,""),"")</f>
        <v/>
      </c>
      <c r="B389" s="63">
        <f t="shared" si="54"/>
        <v>2</v>
      </c>
      <c r="C389" s="64">
        <v>42403</v>
      </c>
      <c r="D389" s="64" t="s">
        <v>709</v>
      </c>
      <c r="E389" s="64">
        <v>42403</v>
      </c>
      <c r="F389" s="67" t="s">
        <v>752</v>
      </c>
      <c r="G389" s="67" t="s">
        <v>930</v>
      </c>
      <c r="H389" s="74"/>
      <c r="I389" s="447"/>
      <c r="J389" s="447"/>
      <c r="K389" s="438"/>
      <c r="L389" s="447"/>
      <c r="M389" s="65">
        <v>20000</v>
      </c>
      <c r="N389" s="66" t="s">
        <v>101</v>
      </c>
      <c r="O389" s="66" t="s">
        <v>26</v>
      </c>
      <c r="P389" s="85" t="str">
        <f>IF(AND('331-CT'!$E$7=TH!H389,OR(N389="331",O389="331")),"x","")</f>
        <v/>
      </c>
      <c r="Q389" s="85" t="str">
        <f>IF(AND(B389='111'!$L$11,OR($N389=$Q$7,$O389=$Q$7)),"x","")</f>
        <v/>
      </c>
      <c r="R389" s="85" t="str">
        <f>IF(AND($N389=$Q$7,$B389&lt;'111'!$L$11),"x","")</f>
        <v/>
      </c>
      <c r="S389" s="85" t="str">
        <f>IF(AND($O389=$Q$7,$B389&lt;'111'!$L$11),"x","")</f>
        <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
      </c>
      <c r="W389" s="85" t="str">
        <f>IF(AND('341-CT'!$H$9=H389,OR(LEFT(N389,3)=$W$7,LEFT(O389,3)=$W$7)),"x","")</f>
        <v/>
      </c>
      <c r="X389" s="85" t="str">
        <f>IF(OR(TH!N389=TH!$X$7,O389=TH!$X$7),"x","")</f>
        <v/>
      </c>
      <c r="Y389" s="85" t="str">
        <f>IF(AND(OR(N389="131",O389="131"),H389='131-CT'!$H$9),"x","")</f>
        <v/>
      </c>
      <c r="Z389" s="85"/>
      <c r="AA389" s="85" t="str">
        <f>IF(AND(MONTH(E389)='IN-NX'!$J$5,'IN-NX'!$D$7=D389),"x","")</f>
        <v/>
      </c>
      <c r="AB389" s="85" t="str">
        <f>IF(AND(OR(LEFT(TH!N389,2)="15",LEFT(TH!O389,2)="15"),'152-CT'!$J$8=TH!F389),"x","")</f>
        <v/>
      </c>
      <c r="AC389" s="85" t="str">
        <f>IF(AND(OR(LEFT(TH!N389,2)="15",LEFT(TH!O389,2)="15"),TK!$E$7=TH!F389),"x","")</f>
        <v/>
      </c>
      <c r="AD389" s="85" t="str">
        <f>IF(AND(N389="1521",MONTH(C389)='BK-NL'!$M$11),"x","")</f>
        <v/>
      </c>
    </row>
    <row r="390" spans="1:30" ht="15.75" customHeight="1">
      <c r="A390" s="343" t="str">
        <f>IF(B390&lt;&gt;"",IF(AND(B390='IN-TC'!$S$4,OR(TH!N390="1111",TH!O390="1111")),TH!D390,""),"")</f>
        <v/>
      </c>
      <c r="B390" s="63">
        <f t="shared" si="54"/>
        <v>2</v>
      </c>
      <c r="C390" s="64">
        <v>42403</v>
      </c>
      <c r="D390" s="64" t="s">
        <v>709</v>
      </c>
      <c r="E390" s="64">
        <v>42403</v>
      </c>
      <c r="F390" s="67" t="s">
        <v>754</v>
      </c>
      <c r="G390" s="67" t="s">
        <v>930</v>
      </c>
      <c r="H390" s="74"/>
      <c r="I390" s="447"/>
      <c r="J390" s="447"/>
      <c r="K390" s="438"/>
      <c r="L390" s="447"/>
      <c r="M390" s="65">
        <v>2000</v>
      </c>
      <c r="N390" s="66" t="s">
        <v>9</v>
      </c>
      <c r="O390" s="66" t="s">
        <v>26</v>
      </c>
      <c r="P390" s="85" t="str">
        <f>IF(AND('331-CT'!$E$7=TH!H390,OR(N390="331",O390="331")),"x","")</f>
        <v/>
      </c>
      <c r="Q390" s="85" t="str">
        <f>IF(AND(B390='111'!$L$11,OR($N390=$Q$7,$O390=$Q$7)),"x","")</f>
        <v/>
      </c>
      <c r="R390" s="85" t="str">
        <f>IF(AND($N390=$Q$7,$B390&lt;'111'!$L$11),"x","")</f>
        <v/>
      </c>
      <c r="S390" s="85" t="str">
        <f>IF(AND($O390=$Q$7,$B390&lt;'111'!$L$11),"x","")</f>
        <v/>
      </c>
      <c r="T390" s="85" t="str">
        <f>IF(ISERROR(FIND('112'!$M$9,G390,1)),"",IF((AND(FIND('112'!$M$9,G390,1)&gt;=1,B390='112'!$K$9,OR($N390='112'!$I$6,$O390='112'!$I$6))),"x",""))</f>
        <v/>
      </c>
      <c r="U390" s="85" t="str">
        <f>IF(ISERROR(FIND('112'!$M$9,G390,1)),"",IF((AND(LEFT(G390,2)=LEFT('112'!$M$9,2),B390&lt;'112'!$K$9,$N390='112'!$I$6)),"x",""))</f>
        <v/>
      </c>
      <c r="V390" s="85" t="str">
        <f>IF(ISERROR(FIND('112'!$M$9,G390,1)),"",IF((AND(RIGHT(G390,2)=RIGHT('112'!$M$9,2),B390&lt;'112'!$K$9,$O390='112'!$I$6)),"x",""))</f>
        <v/>
      </c>
      <c r="W390" s="85" t="str">
        <f>IF(AND('341-CT'!$H$9=H390,OR(LEFT(N390,3)=$W$7,LEFT(O390,3)=$W$7)),"x","")</f>
        <v/>
      </c>
      <c r="X390" s="85" t="str">
        <f>IF(OR(TH!N390=TH!$X$7,O390=TH!$X$7),"x","")</f>
        <v/>
      </c>
      <c r="Y390" s="85" t="str">
        <f>IF(AND(OR(N390="131",O390="131"),H390='131-CT'!$H$9),"x","")</f>
        <v/>
      </c>
      <c r="Z390" s="85"/>
      <c r="AA390" s="85" t="str">
        <f>IF(AND(MONTH(E390)='IN-NX'!$J$5,'IN-NX'!$D$7=D390),"x","")</f>
        <v/>
      </c>
      <c r="AB390" s="85" t="str">
        <f>IF(AND(OR(LEFT(TH!N390,2)="15",LEFT(TH!O390,2)="15"),'152-CT'!$J$8=TH!F390),"x","")</f>
        <v/>
      </c>
      <c r="AC390" s="85" t="str">
        <f>IF(AND(OR(LEFT(TH!N390,2)="15",LEFT(TH!O390,2)="15"),TK!$E$7=TH!F390),"x","")</f>
        <v/>
      </c>
      <c r="AD390" s="85" t="str">
        <f>IF(AND(N390="1521",MONTH(C390)='BK-NL'!$M$11),"x","")</f>
        <v/>
      </c>
    </row>
    <row r="391" spans="1:30" ht="15.75" customHeight="1">
      <c r="A391" s="343" t="str">
        <f>IF(B391&lt;&gt;"",IF(AND(B391='IN-TC'!$S$4,OR(TH!N391="1111",TH!O391="1111")),TH!D391,""),"")</f>
        <v/>
      </c>
      <c r="B391" s="63">
        <f t="shared" si="54"/>
        <v>2</v>
      </c>
      <c r="C391" s="64">
        <v>42403</v>
      </c>
      <c r="D391" s="64" t="s">
        <v>709</v>
      </c>
      <c r="E391" s="64">
        <v>42403</v>
      </c>
      <c r="F391" s="67" t="s">
        <v>1112</v>
      </c>
      <c r="G391" s="67" t="s">
        <v>930</v>
      </c>
      <c r="H391" s="74" t="s">
        <v>628</v>
      </c>
      <c r="I391" s="447"/>
      <c r="J391" s="447"/>
      <c r="K391" s="438"/>
      <c r="L391" s="447"/>
      <c r="M391" s="65">
        <v>60000000</v>
      </c>
      <c r="N391" s="66" t="s">
        <v>8</v>
      </c>
      <c r="O391" s="66" t="s">
        <v>26</v>
      </c>
      <c r="P391" s="85" t="str">
        <f>IF(AND('331-CT'!$E$7=TH!H391,OR(N391="331",O391="331")),"x","")</f>
        <v/>
      </c>
      <c r="Q391" s="85" t="str">
        <f>IF(AND(B391='111'!$L$11,OR($N391=$Q$7,$O391=$Q$7)),"x","")</f>
        <v/>
      </c>
      <c r="R391" s="85" t="str">
        <f>IF(AND($N391=$Q$7,$B391&lt;'111'!$L$11),"x","")</f>
        <v/>
      </c>
      <c r="S391" s="85" t="str">
        <f>IF(AND($O391=$Q$7,$B391&lt;'111'!$L$11),"x","")</f>
        <v/>
      </c>
      <c r="T391" s="85" t="str">
        <f>IF(ISERROR(FIND('112'!$M$9,G391,1)),"",IF((AND(FIND('112'!$M$9,G391,1)&gt;=1,B391='112'!$K$9,OR($N391='112'!$I$6,$O391='112'!$I$6))),"x",""))</f>
        <v/>
      </c>
      <c r="U391" s="85" t="str">
        <f>IF(ISERROR(FIND('112'!$M$9,G391,1)),"",IF((AND(LEFT(G391,2)=LEFT('112'!$M$9,2),B391&lt;'112'!$K$9,$N391='112'!$I$6)),"x",""))</f>
        <v/>
      </c>
      <c r="V391" s="85" t="str">
        <f>IF(ISERROR(FIND('112'!$M$9,G391,1)),"",IF((AND(RIGHT(G391,2)=RIGHT('112'!$M$9,2),B391&lt;'112'!$K$9,$O391='112'!$I$6)),"x",""))</f>
        <v/>
      </c>
      <c r="W391" s="85" t="str">
        <f>IF(AND('341-CT'!$H$9=H391,OR(LEFT(N391,3)=$W$7,LEFT(O391,3)=$W$7)),"x","")</f>
        <v/>
      </c>
      <c r="X391" s="85" t="str">
        <f>IF(OR(TH!N391=TH!$X$7,O391=TH!$X$7),"x","")</f>
        <v/>
      </c>
      <c r="Y391" s="85" t="str">
        <f>IF(AND(OR(N391="131",O391="131"),H391='131-CT'!$H$9),"x","")</f>
        <v/>
      </c>
      <c r="Z391" s="85"/>
      <c r="AA391" s="85" t="str">
        <f>IF(AND(MONTH(E391)='IN-NX'!$J$5,'IN-NX'!$D$7=D391),"x","")</f>
        <v/>
      </c>
      <c r="AB391" s="85" t="str">
        <f>IF(AND(OR(LEFT(TH!N391,2)="15",LEFT(TH!O391,2)="15"),'152-CT'!$J$8=TH!F391),"x","")</f>
        <v/>
      </c>
      <c r="AC391" s="85" t="str">
        <f>IF(AND(OR(LEFT(TH!N391,2)="15",LEFT(TH!O391,2)="15"),TK!$E$7=TH!F391),"x","")</f>
        <v/>
      </c>
      <c r="AD391" s="85" t="str">
        <f>IF(AND(N391="1521",MONTH(C391)='BK-NL'!$M$11),"x","")</f>
        <v/>
      </c>
    </row>
    <row r="392" spans="1:30" ht="15.75" customHeight="1">
      <c r="A392" s="343" t="str">
        <f>IF(B392&lt;&gt;"",IF(AND(B392='IN-TC'!$S$4,OR(TH!N392="1111",TH!O392="1111")),TH!D392,""),"")</f>
        <v/>
      </c>
      <c r="B392" s="63">
        <f t="shared" si="54"/>
        <v>2</v>
      </c>
      <c r="C392" s="64">
        <v>42403</v>
      </c>
      <c r="D392" s="64" t="s">
        <v>709</v>
      </c>
      <c r="E392" s="64">
        <v>42403</v>
      </c>
      <c r="F392" s="67" t="s">
        <v>752</v>
      </c>
      <c r="G392" s="67" t="s">
        <v>930</v>
      </c>
      <c r="H392" s="74"/>
      <c r="I392" s="447"/>
      <c r="J392" s="447"/>
      <c r="K392" s="438"/>
      <c r="L392" s="447"/>
      <c r="M392" s="65">
        <v>30000</v>
      </c>
      <c r="N392" s="66" t="s">
        <v>101</v>
      </c>
      <c r="O392" s="66" t="s">
        <v>26</v>
      </c>
      <c r="P392" s="85" t="str">
        <f>IF(AND('331-CT'!$E$7=TH!H392,OR(N392="331",O392="331")),"x","")</f>
        <v/>
      </c>
      <c r="Q392" s="85" t="str">
        <f>IF(AND(B392='111'!$L$11,OR($N392=$Q$7,$O392=$Q$7)),"x","")</f>
        <v/>
      </c>
      <c r="R392" s="85" t="str">
        <f>IF(AND($N392=$Q$7,$B392&lt;'111'!$L$11),"x","")</f>
        <v/>
      </c>
      <c r="S392" s="85" t="str">
        <f>IF(AND($O392=$Q$7,$B392&lt;'111'!$L$11),"x","")</f>
        <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
      </c>
      <c r="W392" s="85" t="str">
        <f>IF(AND('341-CT'!$H$9=H392,OR(LEFT(N392,3)=$W$7,LEFT(O392,3)=$W$7)),"x","")</f>
        <v/>
      </c>
      <c r="X392" s="85" t="str">
        <f>IF(OR(TH!N392=TH!$X$7,O392=TH!$X$7),"x","")</f>
        <v/>
      </c>
      <c r="Y392" s="85" t="str">
        <f>IF(AND(OR(N392="131",O392="131"),H392='131-CT'!$H$9),"x","")</f>
        <v/>
      </c>
      <c r="Z392" s="85"/>
      <c r="AA392" s="85" t="str">
        <f>IF(AND(MONTH(E392)='IN-NX'!$J$5,'IN-NX'!$D$7=D392),"x","")</f>
        <v/>
      </c>
      <c r="AB392" s="85" t="str">
        <f>IF(AND(OR(LEFT(TH!N392,2)="15",LEFT(TH!O392,2)="15"),'152-CT'!$J$8=TH!F392),"x","")</f>
        <v/>
      </c>
      <c r="AC392" s="85" t="str">
        <f>IF(AND(OR(LEFT(TH!N392,2)="15",LEFT(TH!O392,2)="15"),TK!$E$7=TH!F392),"x","")</f>
        <v/>
      </c>
      <c r="AD392" s="85" t="str">
        <f>IF(AND(N392="1521",MONTH(C392)='BK-NL'!$M$11),"x","")</f>
        <v/>
      </c>
    </row>
    <row r="393" spans="1:30" ht="15.75" customHeight="1">
      <c r="A393" s="343" t="str">
        <f>IF(B393&lt;&gt;"",IF(AND(B393='IN-TC'!$S$4,OR(TH!N393="1111",TH!O393="1111")),TH!D393,""),"")</f>
        <v/>
      </c>
      <c r="B393" s="63">
        <f t="shared" si="54"/>
        <v>2</v>
      </c>
      <c r="C393" s="64">
        <v>42403</v>
      </c>
      <c r="D393" s="64" t="s">
        <v>709</v>
      </c>
      <c r="E393" s="64">
        <v>42403</v>
      </c>
      <c r="F393" s="67" t="s">
        <v>754</v>
      </c>
      <c r="G393" s="67" t="s">
        <v>930</v>
      </c>
      <c r="H393" s="74"/>
      <c r="I393" s="447"/>
      <c r="J393" s="447"/>
      <c r="K393" s="438"/>
      <c r="L393" s="447"/>
      <c r="M393" s="65">
        <v>3000</v>
      </c>
      <c r="N393" s="66" t="s">
        <v>9</v>
      </c>
      <c r="O393" s="66" t="s">
        <v>26</v>
      </c>
      <c r="P393" s="85" t="str">
        <f>IF(AND('331-CT'!$E$7=TH!H393,OR(N393="331",O393="331")),"x","")</f>
        <v/>
      </c>
      <c r="Q393" s="85" t="str">
        <f>IF(AND(B393='111'!$L$11,OR($N393=$Q$7,$O393=$Q$7)),"x","")</f>
        <v/>
      </c>
      <c r="R393" s="85" t="str">
        <f>IF(AND($N393=$Q$7,$B393&lt;'111'!$L$11),"x","")</f>
        <v/>
      </c>
      <c r="S393" s="85" t="str">
        <f>IF(AND($O393=$Q$7,$B393&lt;'111'!$L$11),"x","")</f>
        <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
      </c>
      <c r="W393" s="85" t="str">
        <f>IF(AND('341-CT'!$H$9=H393,OR(LEFT(N393,3)=$W$7,LEFT(O393,3)=$W$7)),"x","")</f>
        <v/>
      </c>
      <c r="X393" s="85" t="str">
        <f>IF(OR(TH!N393=TH!$X$7,O393=TH!$X$7),"x","")</f>
        <v/>
      </c>
      <c r="Y393" s="85" t="str">
        <f>IF(AND(OR(N393="131",O393="131"),H393='131-CT'!$H$9),"x","")</f>
        <v/>
      </c>
      <c r="Z393" s="85"/>
      <c r="AA393" s="85" t="str">
        <f>IF(AND(MONTH(E393)='IN-NX'!$J$5,'IN-NX'!$D$7=D393),"x","")</f>
        <v/>
      </c>
      <c r="AB393" s="85" t="str">
        <f>IF(AND(OR(LEFT(TH!N393,2)="15",LEFT(TH!O393,2)="15"),'152-CT'!$J$8=TH!F393),"x","")</f>
        <v/>
      </c>
      <c r="AC393" s="85" t="str">
        <f>IF(AND(OR(LEFT(TH!N393,2)="15",LEFT(TH!O393,2)="15"),TK!$E$7=TH!F393),"x","")</f>
        <v/>
      </c>
      <c r="AD393" s="85" t="str">
        <f>IF(AND(N393="1521",MONTH(C393)='BK-NL'!$M$11),"x","")</f>
        <v/>
      </c>
    </row>
    <row r="394" spans="1:30" ht="15.75" customHeight="1">
      <c r="A394" s="343" t="str">
        <f>IF(B394&lt;&gt;"",IF(AND(B394='IN-TC'!$S$4,OR(TH!N394="1111",TH!O394="1111")),TH!D394,""),"")</f>
        <v/>
      </c>
      <c r="B394" s="63">
        <f t="shared" si="54"/>
        <v>2</v>
      </c>
      <c r="C394" s="64">
        <v>42403</v>
      </c>
      <c r="D394" s="64" t="s">
        <v>709</v>
      </c>
      <c r="E394" s="64">
        <v>42403</v>
      </c>
      <c r="F394" s="67" t="s">
        <v>1113</v>
      </c>
      <c r="G394" s="67" t="s">
        <v>930</v>
      </c>
      <c r="H394" s="74"/>
      <c r="I394" s="447"/>
      <c r="J394" s="447"/>
      <c r="K394" s="438"/>
      <c r="L394" s="447"/>
      <c r="M394" s="65">
        <v>32260140</v>
      </c>
      <c r="N394" s="66" t="s">
        <v>19</v>
      </c>
      <c r="O394" s="66" t="s">
        <v>26</v>
      </c>
      <c r="P394" s="85" t="str">
        <f>IF(AND('331-CT'!$E$7=TH!H394,OR(N394="331",O394="331")),"x","")</f>
        <v/>
      </c>
      <c r="Q394" s="85" t="str">
        <f>IF(AND(B394='111'!$L$11,OR($N394=$Q$7,$O394=$Q$7)),"x","")</f>
        <v/>
      </c>
      <c r="R394" s="85" t="str">
        <f>IF(AND($N394=$Q$7,$B394&lt;'111'!$L$11),"x","")</f>
        <v/>
      </c>
      <c r="S394" s="85" t="str">
        <f>IF(AND($O394=$Q$7,$B394&lt;'111'!$L$11),"x","")</f>
        <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
      </c>
      <c r="W394" s="85" t="str">
        <f>IF(AND('341-CT'!$H$9=H394,OR(LEFT(N394,3)=$W$7,LEFT(O394,3)=$W$7)),"x","")</f>
        <v/>
      </c>
      <c r="X394" s="85" t="str">
        <f>IF(OR(TH!N394=TH!$X$7,O394=TH!$X$7),"x","")</f>
        <v/>
      </c>
      <c r="Y394" s="85" t="str">
        <f>IF(AND(OR(N394="131",O394="131"),H394='131-CT'!$H$9),"x","")</f>
        <v/>
      </c>
      <c r="Z394" s="85"/>
      <c r="AA394" s="85" t="str">
        <f>IF(AND(MONTH(E394)='IN-NX'!$J$5,'IN-NX'!$D$7=D394),"x","")</f>
        <v/>
      </c>
      <c r="AB394" s="85" t="str">
        <f>IF(AND(OR(LEFT(TH!N394,2)="15",LEFT(TH!O394,2)="15"),'152-CT'!$J$8=TH!F394),"x","")</f>
        <v/>
      </c>
      <c r="AC394" s="85" t="str">
        <f>IF(AND(OR(LEFT(TH!N394,2)="15",LEFT(TH!O394,2)="15"),TK!$E$7=TH!F394),"x","")</f>
        <v/>
      </c>
      <c r="AD394" s="85" t="str">
        <f>IF(AND(N394="1521",MONTH(C394)='BK-NL'!$M$11),"x","")</f>
        <v/>
      </c>
    </row>
    <row r="395" spans="1:30" ht="15.75" customHeight="1">
      <c r="A395" s="343" t="str">
        <f>IF(B395&lt;&gt;"",IF(AND(B395='IN-TC'!$S$4,OR(TH!N395="1111",TH!O395="1111")),TH!D395,""),"")</f>
        <v/>
      </c>
      <c r="B395" s="63">
        <f t="shared" ref="B395:B458" si="55">IF(C395&lt;&gt;"",MONTH(C395),"")</f>
        <v>2</v>
      </c>
      <c r="C395" s="64">
        <v>42403</v>
      </c>
      <c r="D395" s="64" t="s">
        <v>709</v>
      </c>
      <c r="E395" s="64">
        <v>42403</v>
      </c>
      <c r="F395" s="67" t="s">
        <v>752</v>
      </c>
      <c r="G395" s="67" t="s">
        <v>930</v>
      </c>
      <c r="H395" s="74"/>
      <c r="I395" s="447"/>
      <c r="J395" s="447"/>
      <c r="K395" s="438"/>
      <c r="L395" s="447"/>
      <c r="M395" s="65">
        <v>25000</v>
      </c>
      <c r="N395" s="66" t="s">
        <v>101</v>
      </c>
      <c r="O395" s="66" t="s">
        <v>26</v>
      </c>
      <c r="P395" s="85" t="str">
        <f>IF(AND('331-CT'!$E$7=TH!H395,OR(N395="331",O395="331")),"x","")</f>
        <v/>
      </c>
      <c r="Q395" s="85" t="str">
        <f>IF(AND(B395='111'!$L$11,OR($N395=$Q$7,$O395=$Q$7)),"x","")</f>
        <v/>
      </c>
      <c r="R395" s="85" t="str">
        <f>IF(AND($N395=$Q$7,$B395&lt;'111'!$L$11),"x","")</f>
        <v/>
      </c>
      <c r="S395" s="85" t="str">
        <f>IF(AND($O395=$Q$7,$B395&lt;'111'!$L$11),"x","")</f>
        <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
      </c>
      <c r="W395" s="85" t="str">
        <f>IF(AND('341-CT'!$H$9=H395,OR(LEFT(N395,3)=$W$7,LEFT(O395,3)=$W$7)),"x","")</f>
        <v/>
      </c>
      <c r="X395" s="85" t="str">
        <f>IF(OR(TH!N395=TH!$X$7,O395=TH!$X$7),"x","")</f>
        <v/>
      </c>
      <c r="Y395" s="85" t="str">
        <f>IF(AND(OR(N395="131",O395="131"),H395='131-CT'!$H$9),"x","")</f>
        <v/>
      </c>
      <c r="Z395" s="85"/>
      <c r="AA395" s="85" t="str">
        <f>IF(AND(MONTH(E395)='IN-NX'!$J$5,'IN-NX'!$D$7=D395),"x","")</f>
        <v/>
      </c>
      <c r="AB395" s="85" t="str">
        <f>IF(AND(OR(LEFT(TH!N395,2)="15",LEFT(TH!O395,2)="15"),'152-CT'!$J$8=TH!F395),"x","")</f>
        <v/>
      </c>
      <c r="AC395" s="85" t="str">
        <f>IF(AND(OR(LEFT(TH!N395,2)="15",LEFT(TH!O395,2)="15"),TK!$E$7=TH!F395),"x","")</f>
        <v/>
      </c>
      <c r="AD395" s="85" t="str">
        <f>IF(AND(N395="1521",MONTH(C395)='BK-NL'!$M$11),"x","")</f>
        <v/>
      </c>
    </row>
    <row r="396" spans="1:30" ht="15.75" customHeight="1">
      <c r="A396" s="343" t="str">
        <f>IF(B396&lt;&gt;"",IF(AND(B396='IN-TC'!$S$4,OR(TH!N396="1111",TH!O396="1111")),TH!D396,""),"")</f>
        <v/>
      </c>
      <c r="B396" s="63">
        <f t="shared" si="55"/>
        <v>2</v>
      </c>
      <c r="C396" s="150">
        <v>42403</v>
      </c>
      <c r="D396" s="64" t="s">
        <v>709</v>
      </c>
      <c r="E396" s="150">
        <v>42403</v>
      </c>
      <c r="F396" s="94" t="s">
        <v>754</v>
      </c>
      <c r="G396" s="67" t="s">
        <v>930</v>
      </c>
      <c r="H396" s="74"/>
      <c r="I396" s="452"/>
      <c r="J396" s="452"/>
      <c r="K396" s="443"/>
      <c r="L396" s="452"/>
      <c r="M396" s="151">
        <v>2500</v>
      </c>
      <c r="N396" s="152" t="s">
        <v>9</v>
      </c>
      <c r="O396" s="66" t="s">
        <v>26</v>
      </c>
      <c r="P396" s="85" t="str">
        <f>IF(AND('331-CT'!$E$7=TH!H396,OR(N396="331",O396="331")),"x","")</f>
        <v/>
      </c>
      <c r="Q396" s="85" t="str">
        <f>IF(AND(B396='111'!$L$11,OR($N396=$Q$7,$O396=$Q$7)),"x","")</f>
        <v/>
      </c>
      <c r="R396" s="85" t="str">
        <f>IF(AND($N396=$Q$7,$B396&lt;'111'!$L$11),"x","")</f>
        <v/>
      </c>
      <c r="S396" s="85" t="str">
        <f>IF(AND($O396=$Q$7,$B396&lt;'111'!$L$11),"x","")</f>
        <v/>
      </c>
      <c r="T396" s="85" t="str">
        <f>IF(ISERROR(FIND('112'!$M$9,G396,1)),"",IF((AND(FIND('112'!$M$9,G396,1)&gt;=1,B396='112'!$K$9,OR($N396='112'!$I$6,$O396='112'!$I$6))),"x",""))</f>
        <v/>
      </c>
      <c r="U396" s="85" t="str">
        <f>IF(ISERROR(FIND('112'!$M$9,G396,1)),"",IF((AND(LEFT(G396,2)=LEFT('112'!$M$9,2),B396&lt;'112'!$K$9,$N396='112'!$I$6)),"x",""))</f>
        <v/>
      </c>
      <c r="V396" s="85" t="str">
        <f>IF(ISERROR(FIND('112'!$M$9,G396,1)),"",IF((AND(RIGHT(G396,2)=RIGHT('112'!$M$9,2),B396&lt;'112'!$K$9,$O396='112'!$I$6)),"x",""))</f>
        <v/>
      </c>
      <c r="W396" s="85" t="str">
        <f>IF(AND('341-CT'!$H$9=H396,OR(LEFT(N396,3)=$W$7,LEFT(O396,3)=$W$7)),"x","")</f>
        <v/>
      </c>
      <c r="X396" s="85" t="str">
        <f>IF(OR(TH!N396=TH!$X$7,O396=TH!$X$7),"x","")</f>
        <v/>
      </c>
      <c r="Y396" s="85" t="str">
        <f>IF(AND(OR(N396="131",O396="131"),H396='131-CT'!$H$9),"x","")</f>
        <v/>
      </c>
      <c r="Z396" s="85"/>
      <c r="AA396" s="85" t="str">
        <f>IF(AND(MONTH(E396)='IN-NX'!$J$5,'IN-NX'!$D$7=D396),"x","")</f>
        <v/>
      </c>
      <c r="AB396" s="85" t="str">
        <f>IF(AND(OR(LEFT(TH!N396,2)="15",LEFT(TH!O396,2)="15"),'152-CT'!$J$8=TH!F396),"x","")</f>
        <v/>
      </c>
      <c r="AC396" s="85" t="str">
        <f>IF(AND(OR(LEFT(TH!N396,2)="15",LEFT(TH!O396,2)="15"),TK!$E$7=TH!F396),"x","")</f>
        <v/>
      </c>
      <c r="AD396" s="85" t="str">
        <f>IF(AND(N396="1521",MONTH(C396)='BK-NL'!$M$11),"x","")</f>
        <v/>
      </c>
    </row>
    <row r="397" spans="1:30" ht="15.75" customHeight="1">
      <c r="A397" s="343" t="str">
        <f>IF(B397&lt;&gt;"",IF(AND(B397='IN-TC'!$S$4,OR(TH!N397="1111",TH!O397="1111")),TH!D397,""),"")</f>
        <v>T01</v>
      </c>
      <c r="B397" s="63">
        <f t="shared" si="55"/>
        <v>2</v>
      </c>
      <c r="C397" s="64">
        <v>42403</v>
      </c>
      <c r="D397" s="64" t="s">
        <v>885</v>
      </c>
      <c r="E397" s="64">
        <v>42403</v>
      </c>
      <c r="F397" s="67" t="s">
        <v>765</v>
      </c>
      <c r="G397" s="67" t="s">
        <v>929</v>
      </c>
      <c r="H397" s="75" t="s">
        <v>773</v>
      </c>
      <c r="I397" s="447"/>
      <c r="J397" s="447"/>
      <c r="K397" s="438"/>
      <c r="L397" s="447"/>
      <c r="M397" s="65">
        <v>1670000000</v>
      </c>
      <c r="N397" s="66" t="s">
        <v>63</v>
      </c>
      <c r="O397" s="66" t="s">
        <v>26</v>
      </c>
      <c r="P397" s="85" t="str">
        <f>IF(AND('331-CT'!$E$7=TH!H397,OR(N397="331",O397="331")),"x","")</f>
        <v/>
      </c>
      <c r="Q397" s="85" t="str">
        <f>IF(AND(B397='111'!$L$11,OR($N397=$Q$7,$O397=$Q$7)),"x","")</f>
        <v/>
      </c>
      <c r="R397" s="85" t="str">
        <f>IF(AND($N397=$Q$7,$B397&lt;'111'!$L$11),"x","")</f>
        <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
      </c>
      <c r="W397" s="85" t="str">
        <f>IF(AND('341-CT'!$H$9=H397,OR(LEFT(N397,3)=$W$7,LEFT(O397,3)=$W$7)),"x","")</f>
        <v/>
      </c>
      <c r="X397" s="85" t="str">
        <f>IF(OR(TH!N397=TH!$X$7,O397=TH!$X$7),"x","")</f>
        <v/>
      </c>
      <c r="Y397" s="85" t="str">
        <f>IF(AND(OR(N397="131",O397="131"),H397='131-CT'!$H$9),"x","")</f>
        <v/>
      </c>
      <c r="Z397" s="85"/>
      <c r="AA397" s="85" t="str">
        <f>IF(AND(MONTH(E397)='IN-NX'!$J$5,'IN-NX'!$D$7=D397),"x","")</f>
        <v/>
      </c>
      <c r="AB397" s="85" t="str">
        <f>IF(AND(OR(LEFT(TH!N397,2)="15",LEFT(TH!O397,2)="15"),'152-CT'!$J$8=TH!F397),"x","")</f>
        <v/>
      </c>
      <c r="AC397" s="85" t="str">
        <f>IF(AND(OR(LEFT(TH!N397,2)="15",LEFT(TH!O397,2)="15"),TK!$E$7=TH!F397),"x","")</f>
        <v/>
      </c>
      <c r="AD397" s="85" t="str">
        <f>IF(AND(N397="1521",MONTH(C397)='BK-NL'!$M$11),"x","")</f>
        <v/>
      </c>
    </row>
    <row r="398" spans="1:30" ht="15.75" customHeight="1">
      <c r="A398" s="343" t="str">
        <f>IF(B398&lt;&gt;"",IF(AND(B398='IN-TC'!$S$4,OR(TH!N398="1111",TH!O398="1111")),TH!D398,""),"")</f>
        <v>C05</v>
      </c>
      <c r="B398" s="63">
        <f t="shared" si="55"/>
        <v>2</v>
      </c>
      <c r="C398" s="64">
        <v>42404</v>
      </c>
      <c r="D398" s="64" t="s">
        <v>883</v>
      </c>
      <c r="E398" s="64">
        <v>42404</v>
      </c>
      <c r="F398" s="67" t="s">
        <v>781</v>
      </c>
      <c r="G398" s="67" t="s">
        <v>1035</v>
      </c>
      <c r="H398" s="353" t="s">
        <v>819</v>
      </c>
      <c r="I398" s="451"/>
      <c r="J398" s="451"/>
      <c r="K398" s="442"/>
      <c r="L398" s="451"/>
      <c r="M398" s="65">
        <v>452873</v>
      </c>
      <c r="N398" s="66" t="s">
        <v>101</v>
      </c>
      <c r="O398" s="66" t="s">
        <v>63</v>
      </c>
      <c r="P398" s="85" t="str">
        <f>IF(AND('331-CT'!$E$7=TH!H398,OR(N398="331",O398="331")),"x","")</f>
        <v/>
      </c>
      <c r="Q398" s="85" t="str">
        <f>IF(AND(B398='111'!$L$11,OR($N398=$Q$7,$O398=$Q$7)),"x","")</f>
        <v/>
      </c>
      <c r="R398" s="85" t="str">
        <f>IF(AND($N398=$Q$7,$B398&lt;'111'!$L$11),"x","")</f>
        <v/>
      </c>
      <c r="S398" s="85" t="str">
        <f>IF(AND($O398=$Q$7,$B398&lt;'111'!$L$11),"x","")</f>
        <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IF(AND('341-CT'!$H$9=H398,OR(LEFT(N398,3)=$W$7,LEFT(O398,3)=$W$7)),"x","")</f>
        <v/>
      </c>
      <c r="X398" s="85" t="str">
        <f>IF(OR(TH!N398=TH!$X$7,O398=TH!$X$7),"x","")</f>
        <v/>
      </c>
      <c r="Y398" s="85" t="str">
        <f>IF(AND(OR(N398="131",O398="131"),H398='131-CT'!$H$9),"x","")</f>
        <v/>
      </c>
      <c r="Z398" s="85"/>
      <c r="AA398" s="85" t="str">
        <f>IF(AND(MONTH(E398)='IN-NX'!$J$5,'IN-NX'!$D$7=D398),"x","")</f>
        <v/>
      </c>
      <c r="AB398" s="85" t="str">
        <f>IF(AND(OR(LEFT(TH!N398,2)="15",LEFT(TH!O398,2)="15"),'152-CT'!$J$8=TH!F398),"x","")</f>
        <v/>
      </c>
      <c r="AC398" s="85" t="str">
        <f>IF(AND(OR(LEFT(TH!N398,2)="15",LEFT(TH!O398,2)="15"),TK!$E$7=TH!F398),"x","")</f>
        <v/>
      </c>
      <c r="AD398" s="85" t="str">
        <f>IF(AND(N398="1521",MONTH(C398)='BK-NL'!$M$11),"x","")</f>
        <v/>
      </c>
    </row>
    <row r="399" spans="1:30" ht="15.75" customHeight="1">
      <c r="A399" s="343" t="str">
        <f>IF(B399&lt;&gt;"",IF(AND(B399='IN-TC'!$S$4,OR(TH!N399="1111",TH!O399="1111")),TH!D399,""),"")</f>
        <v>C05</v>
      </c>
      <c r="B399" s="63">
        <f t="shared" si="55"/>
        <v>2</v>
      </c>
      <c r="C399" s="64">
        <v>42404</v>
      </c>
      <c r="D399" s="64" t="s">
        <v>883</v>
      </c>
      <c r="E399" s="64">
        <v>42404</v>
      </c>
      <c r="F399" s="67" t="s">
        <v>782</v>
      </c>
      <c r="G399" s="67" t="s">
        <v>1035</v>
      </c>
      <c r="H399" s="74" t="s">
        <v>819</v>
      </c>
      <c r="I399" s="447"/>
      <c r="J399" s="447"/>
      <c r="K399" s="438"/>
      <c r="L399" s="447"/>
      <c r="M399" s="65">
        <v>45287</v>
      </c>
      <c r="N399" s="66" t="s">
        <v>9</v>
      </c>
      <c r="O399" s="66" t="s">
        <v>63</v>
      </c>
      <c r="P399" s="85" t="str">
        <f>IF(AND('331-CT'!$E$7=TH!H399,OR(N399="331",O399="331")),"x","")</f>
        <v/>
      </c>
      <c r="Q399" s="85" t="str">
        <f>IF(AND(B399='111'!$L$11,OR($N399=$Q$7,$O399=$Q$7)),"x","")</f>
        <v/>
      </c>
      <c r="R399" s="85" t="str">
        <f>IF(AND($N399=$Q$7,$B399&lt;'111'!$L$11),"x","")</f>
        <v/>
      </c>
      <c r="S399" s="85" t="str">
        <f>IF(AND($O399=$Q$7,$B399&lt;'111'!$L$11),"x","")</f>
        <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IF(AND('341-CT'!$H$9=H399,OR(LEFT(N399,3)=$W$7,LEFT(O399,3)=$W$7)),"x","")</f>
        <v/>
      </c>
      <c r="X399" s="85" t="str">
        <f>IF(OR(TH!N399=TH!$X$7,O399=TH!$X$7),"x","")</f>
        <v/>
      </c>
      <c r="Y399" s="85" t="str">
        <f>IF(AND(OR(N399="131",O399="131"),H399='131-CT'!$H$9),"x","")</f>
        <v/>
      </c>
      <c r="Z399" s="85"/>
      <c r="AA399" s="85" t="str">
        <f>IF(AND(MONTH(E399)='IN-NX'!$J$5,'IN-NX'!$D$7=D399),"x","")</f>
        <v/>
      </c>
      <c r="AB399" s="85" t="str">
        <f>IF(AND(OR(LEFT(TH!N399,2)="15",LEFT(TH!O399,2)="15"),'152-CT'!$J$8=TH!F399),"x","")</f>
        <v/>
      </c>
      <c r="AC399" s="85" t="str">
        <f>IF(AND(OR(LEFT(TH!N399,2)="15",LEFT(TH!O399,2)="15"),TK!$E$7=TH!F399),"x","")</f>
        <v/>
      </c>
      <c r="AD399" s="85" t="str">
        <f>IF(AND(N399="1521",MONTH(C399)='BK-NL'!$M$11),"x","")</f>
        <v/>
      </c>
    </row>
    <row r="400" spans="1:30" ht="15.75" customHeight="1">
      <c r="A400" s="343" t="str">
        <f>IF(B400&lt;&gt;"",IF(AND(B400='IN-TC'!$S$4,OR(TH!N400="1111",TH!O400="1111")),TH!D400,""),"")</f>
        <v>T02</v>
      </c>
      <c r="B400" s="63">
        <f t="shared" si="55"/>
        <v>2</v>
      </c>
      <c r="C400" s="150">
        <v>42404</v>
      </c>
      <c r="D400" s="64" t="s">
        <v>914</v>
      </c>
      <c r="E400" s="150">
        <v>42404</v>
      </c>
      <c r="F400" s="94" t="s">
        <v>755</v>
      </c>
      <c r="G400" s="67" t="s">
        <v>930</v>
      </c>
      <c r="H400" s="75" t="s">
        <v>773</v>
      </c>
      <c r="I400" s="452"/>
      <c r="J400" s="452"/>
      <c r="K400" s="443"/>
      <c r="L400" s="452"/>
      <c r="M400" s="151">
        <v>390000000</v>
      </c>
      <c r="N400" s="152" t="s">
        <v>63</v>
      </c>
      <c r="O400" s="66" t="s">
        <v>26</v>
      </c>
      <c r="P400" s="85" t="str">
        <f>IF(AND('331-CT'!$E$7=TH!H400,OR(N400="331",O400="331")),"x","")</f>
        <v/>
      </c>
      <c r="Q400" s="85" t="str">
        <f>IF(AND(B400='111'!$L$11,OR($N400=$Q$7,$O400=$Q$7)),"x","")</f>
        <v/>
      </c>
      <c r="R400" s="85" t="str">
        <f>IF(AND($N400=$Q$7,$B400&lt;'111'!$L$11),"x","")</f>
        <v/>
      </c>
      <c r="S400" s="85" t="str">
        <f>IF(AND($O400=$Q$7,$B400&lt;'111'!$L$11),"x","")</f>
        <v/>
      </c>
      <c r="T400" s="85" t="str">
        <f>IF(ISERROR(FIND('112'!$M$9,G400,1)),"",IF((AND(FIND('112'!$M$9,G400,1)&gt;=1,B400='112'!$K$9,OR($N400='112'!$I$6,$O400='112'!$I$6))),"x",""))</f>
        <v/>
      </c>
      <c r="U400" s="85" t="str">
        <f>IF(ISERROR(FIND('112'!$M$9,G400,1)),"",IF((AND(LEFT(G400,2)=LEFT('112'!$M$9,2),B400&lt;'112'!$K$9,$N400='112'!$I$6)),"x",""))</f>
        <v/>
      </c>
      <c r="V400" s="85" t="str">
        <f>IF(ISERROR(FIND('112'!$M$9,G400,1)),"",IF((AND(RIGHT(G400,2)=RIGHT('112'!$M$9,2),B400&lt;'112'!$K$9,$O400='112'!$I$6)),"x",""))</f>
        <v/>
      </c>
      <c r="W400" s="85" t="str">
        <f>IF(AND('341-CT'!$H$9=H400,OR(LEFT(N400,3)=$W$7,LEFT(O400,3)=$W$7)),"x","")</f>
        <v/>
      </c>
      <c r="X400" s="85" t="str">
        <f>IF(OR(TH!N400=TH!$X$7,O400=TH!$X$7),"x","")</f>
        <v/>
      </c>
      <c r="Y400" s="85" t="str">
        <f>IF(AND(OR(N400="131",O400="131"),H400='131-CT'!$H$9),"x","")</f>
        <v/>
      </c>
      <c r="Z400" s="85"/>
      <c r="AA400" s="85" t="str">
        <f>IF(AND(MONTH(E400)='IN-NX'!$J$5,'IN-NX'!$D$7=D400),"x","")</f>
        <v/>
      </c>
      <c r="AB400" s="85" t="str">
        <f>IF(AND(OR(LEFT(TH!N400,2)="15",LEFT(TH!O400,2)="15"),'152-CT'!$J$8=TH!F400),"x","")</f>
        <v/>
      </c>
      <c r="AC400" s="85" t="str">
        <f>IF(AND(OR(LEFT(TH!N400,2)="15",LEFT(TH!O400,2)="15"),TK!$E$7=TH!F400),"x","")</f>
        <v/>
      </c>
      <c r="AD400" s="85" t="str">
        <f>IF(AND(N400="1521",MONTH(C400)='BK-NL'!$M$11),"x","")</f>
        <v/>
      </c>
    </row>
    <row r="401" spans="1:30" ht="15.75" customHeight="1">
      <c r="A401" s="343" t="str">
        <f>IF(B401&lt;&gt;"",IF(AND(B401='IN-TC'!$S$4,OR(TH!N401="1111",TH!O401="1111")),TH!D401,""),"")</f>
        <v/>
      </c>
      <c r="B401" s="63">
        <f t="shared" si="55"/>
        <v>2</v>
      </c>
      <c r="C401" s="64">
        <v>42405</v>
      </c>
      <c r="D401" s="64" t="s">
        <v>706</v>
      </c>
      <c r="E401" s="64">
        <v>42405</v>
      </c>
      <c r="F401" s="67" t="s">
        <v>1058</v>
      </c>
      <c r="G401" s="67" t="s">
        <v>930</v>
      </c>
      <c r="H401" s="74"/>
      <c r="I401" s="447"/>
      <c r="J401" s="447"/>
      <c r="K401" s="438"/>
      <c r="L401" s="447"/>
      <c r="M401" s="65">
        <v>32260140</v>
      </c>
      <c r="N401" s="66" t="s">
        <v>26</v>
      </c>
      <c r="O401" s="66" t="s">
        <v>19</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
      </c>
      <c r="V401" s="85" t="str">
        <f>IF(ISERROR(FIND('112'!$M$9,G401,1)),"",IF((AND(RIGHT(G401,2)=RIGHT('112'!$M$9,2),B401&lt;'112'!$K$9,$O401='112'!$I$6)),"x",""))</f>
        <v/>
      </c>
      <c r="W401" s="85" t="str">
        <f>IF(AND('341-CT'!$H$9=H401,OR(LEFT(N401,3)=$W$7,LEFT(O401,3)=$W$7)),"x","")</f>
        <v/>
      </c>
      <c r="X401" s="85" t="str">
        <f>IF(OR(TH!N401=TH!$X$7,O401=TH!$X$7),"x","")</f>
        <v/>
      </c>
      <c r="Y401" s="85" t="str">
        <f>IF(AND(OR(N401="131",O401="131"),H401='131-CT'!$H$9),"x","")</f>
        <v/>
      </c>
      <c r="Z401" s="85"/>
      <c r="AA401" s="85" t="str">
        <f>IF(AND(MONTH(E401)='IN-NX'!$J$5,'IN-NX'!$D$7=D401),"x","")</f>
        <v/>
      </c>
      <c r="AB401" s="85" t="str">
        <f>IF(AND(OR(LEFT(TH!N401,2)="15",LEFT(TH!O401,2)="15"),'152-CT'!$J$8=TH!F401),"x","")</f>
        <v/>
      </c>
      <c r="AC401" s="85" t="str">
        <f>IF(AND(OR(LEFT(TH!N401,2)="15",LEFT(TH!O401,2)="15"),TK!$E$7=TH!F401),"x","")</f>
        <v/>
      </c>
      <c r="AD401" s="85" t="str">
        <f>IF(AND(N401="1521",MONTH(C401)='BK-NL'!$M$11),"x","")</f>
        <v/>
      </c>
    </row>
    <row r="402" spans="1:30" ht="15.75" customHeight="1">
      <c r="A402" s="343" t="str">
        <f>IF(B402&lt;&gt;"",IF(AND(B402='IN-TC'!$S$4,OR(TH!N402="1111",TH!O402="1111")),TH!D402,""),"")</f>
        <v/>
      </c>
      <c r="B402" s="63">
        <f t="shared" si="55"/>
        <v>2</v>
      </c>
      <c r="C402" s="64">
        <v>42405</v>
      </c>
      <c r="D402" s="64" t="s">
        <v>706</v>
      </c>
      <c r="E402" s="64">
        <v>42405</v>
      </c>
      <c r="F402" s="67" t="s">
        <v>1063</v>
      </c>
      <c r="G402" s="67" t="s">
        <v>930</v>
      </c>
      <c r="H402" s="74" t="s">
        <v>604</v>
      </c>
      <c r="I402" s="447"/>
      <c r="J402" s="447"/>
      <c r="K402" s="438">
        <v>7743.32</v>
      </c>
      <c r="L402" s="447">
        <v>22270</v>
      </c>
      <c r="M402" s="65">
        <f>ROUND(K402*L402,0)</f>
        <v>172443736</v>
      </c>
      <c r="N402" s="66" t="s">
        <v>267</v>
      </c>
      <c r="O402" s="66" t="s">
        <v>591</v>
      </c>
      <c r="P402" s="85" t="str">
        <f>IF(AND('331-CT'!$E$7=TH!H402,OR(N402="331",O402="331")),"x","")</f>
        <v/>
      </c>
      <c r="Q402" s="85" t="str">
        <f>IF(AND(B402='111'!$L$11,OR($N402=$Q$7,$O402=$Q$7)),"x","")</f>
        <v/>
      </c>
      <c r="R402" s="85" t="str">
        <f>IF(AND($N402=$Q$7,$B402&lt;'111'!$L$11),"x","")</f>
        <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
      </c>
      <c r="W402" s="85" t="str">
        <f>IF(AND('341-CT'!$H$9=H402,OR(LEFT(N402,3)=$W$7,LEFT(O402,3)=$W$7)),"x","")</f>
        <v/>
      </c>
      <c r="X402" s="85" t="str">
        <f>IF(OR(TH!N402=TH!$X$7,O402=TH!$X$7),"x","")</f>
        <v/>
      </c>
      <c r="Y402" s="85" t="str">
        <f>IF(AND(OR(N402="131",O402="131"),H402='131-CT'!$H$9),"x","")</f>
        <v/>
      </c>
      <c r="Z402" s="85"/>
      <c r="AA402" s="85" t="str">
        <f>IF(AND(MONTH(E402)='IN-NX'!$J$5,'IN-NX'!$D$7=D402),"x","")</f>
        <v/>
      </c>
      <c r="AB402" s="85" t="str">
        <f>IF(AND(OR(LEFT(TH!N402,2)="15",LEFT(TH!O402,2)="15"),'152-CT'!$J$8=TH!F402),"x","")</f>
        <v/>
      </c>
      <c r="AC402" s="85" t="str">
        <f>IF(AND(OR(LEFT(TH!N402,2)="15",LEFT(TH!O402,2)="15"),TK!$E$7=TH!F402),"x","")</f>
        <v/>
      </c>
      <c r="AD402" s="85" t="str">
        <f>IF(AND(N402="1521",MONTH(C402)='BK-NL'!$M$11),"x","")</f>
        <v/>
      </c>
    </row>
    <row r="403" spans="1:30" ht="15.75" customHeight="1">
      <c r="A403" s="343" t="str">
        <f>IF(B403&lt;&gt;"",IF(AND(B403='IN-TC'!$S$4,OR(TH!N403="1111",TH!O403="1111")),TH!D403,""),"")</f>
        <v/>
      </c>
      <c r="B403" s="63">
        <f t="shared" si="55"/>
        <v>2</v>
      </c>
      <c r="C403" s="64">
        <f t="shared" ref="C403:C408" si="56">E403</f>
        <v>42405</v>
      </c>
      <c r="D403" s="64" t="s">
        <v>585</v>
      </c>
      <c r="E403" s="64">
        <v>42405</v>
      </c>
      <c r="F403" s="67" t="s">
        <v>1076</v>
      </c>
      <c r="G403" s="67" t="s">
        <v>930</v>
      </c>
      <c r="H403" s="74" t="s">
        <v>604</v>
      </c>
      <c r="I403" s="447"/>
      <c r="J403" s="447"/>
      <c r="K403" s="438">
        <v>107.34</v>
      </c>
      <c r="L403" s="447">
        <v>22270</v>
      </c>
      <c r="M403" s="65">
        <f>ROUND(K403*L403,0)</f>
        <v>2390462</v>
      </c>
      <c r="N403" s="66" t="s">
        <v>101</v>
      </c>
      <c r="O403" s="66" t="s">
        <v>591</v>
      </c>
      <c r="P403" s="85" t="str">
        <f>IF(AND('331-CT'!$E$7=TH!H403,OR(N403="331",O403="331")),"x","")</f>
        <v/>
      </c>
      <c r="Q403" s="85" t="str">
        <f>IF(AND(B403='111'!$L$11,OR($N403=$Q$7,$O403=$Q$7)),"x","")</f>
        <v/>
      </c>
      <c r="R403" s="85" t="str">
        <f>IF(AND($N403=$Q$7,$B403&lt;'111'!$L$11),"x","")</f>
        <v/>
      </c>
      <c r="S403" s="85" t="str">
        <f>IF(AND($O403=$Q$7,$B403&lt;'111'!$L$11),"x","")</f>
        <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
      </c>
      <c r="W403" s="85" t="str">
        <f>IF(AND('341-CT'!$H$9=H403,OR(LEFT(N403,3)=$W$7,LEFT(O403,3)=$W$7)),"x","")</f>
        <v/>
      </c>
      <c r="X403" s="85" t="str">
        <f>IF(OR(TH!N403=TH!$X$7,O403=TH!$X$7),"x","")</f>
        <v/>
      </c>
      <c r="Y403" s="85" t="str">
        <f>IF(AND(OR(N403="131",O403="131"),H403='131-CT'!$H$9),"x","")</f>
        <v/>
      </c>
      <c r="Z403" s="85"/>
      <c r="AA403" s="85" t="str">
        <f>IF(AND(MONTH(E403)='IN-NX'!$J$5,'IN-NX'!$D$7=D403),"x","")</f>
        <v/>
      </c>
      <c r="AB403" s="85" t="str">
        <f>IF(AND(OR(LEFT(TH!N403,2)="15",LEFT(TH!O403,2)="15"),'152-CT'!$J$8=TH!F403),"x","")</f>
        <v/>
      </c>
      <c r="AC403" s="85" t="str">
        <f>IF(AND(OR(LEFT(TH!N403,2)="15",LEFT(TH!O403,2)="15"),TK!$E$7=TH!F403),"x","")</f>
        <v/>
      </c>
      <c r="AD403" s="85" t="str">
        <f>IF(AND(N403="1521",MONTH(C403)='BK-NL'!$M$11),"x","")</f>
        <v/>
      </c>
    </row>
    <row r="404" spans="1:30" ht="15.75" customHeight="1">
      <c r="A404" s="343" t="str">
        <f>IF(B404&lt;&gt;"",IF(AND(B404='IN-TC'!$S$4,OR(TH!N404="1111",TH!O404="1111")),TH!D404,""),"")</f>
        <v/>
      </c>
      <c r="B404" s="63">
        <f t="shared" si="55"/>
        <v>2</v>
      </c>
      <c r="C404" s="64">
        <f t="shared" si="56"/>
        <v>42405</v>
      </c>
      <c r="D404" s="64" t="s">
        <v>585</v>
      </c>
      <c r="E404" s="64">
        <v>42405</v>
      </c>
      <c r="F404" s="67" t="s">
        <v>1077</v>
      </c>
      <c r="G404" s="67" t="s">
        <v>930</v>
      </c>
      <c r="H404" s="74" t="s">
        <v>604</v>
      </c>
      <c r="I404" s="447"/>
      <c r="J404" s="447"/>
      <c r="K404" s="438">
        <v>10.73</v>
      </c>
      <c r="L404" s="447">
        <v>22270</v>
      </c>
      <c r="M404" s="65">
        <f>ROUND(K404*L404,0)</f>
        <v>238957</v>
      </c>
      <c r="N404" s="66" t="s">
        <v>9</v>
      </c>
      <c r="O404" s="66" t="s">
        <v>591</v>
      </c>
      <c r="P404" s="85" t="str">
        <f>IF(AND('331-CT'!$E$7=TH!H404,OR(N404="331",O404="331")),"x","")</f>
        <v/>
      </c>
      <c r="Q404" s="85" t="str">
        <f>IF(AND(B404='111'!$L$11,OR($N404=$Q$7,$O404=$Q$7)),"x","")</f>
        <v/>
      </c>
      <c r="R404" s="85" t="str">
        <f>IF(AND($N404=$Q$7,$B404&lt;'111'!$L$11),"x","")</f>
        <v/>
      </c>
      <c r="S404" s="85" t="str">
        <f>IF(AND($O404=$Q$7,$B404&lt;'111'!$L$11),"x","")</f>
        <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
      </c>
      <c r="W404" s="85" t="str">
        <f>IF(AND('341-CT'!$H$9=H404,OR(LEFT(N404,3)=$W$7,LEFT(O404,3)=$W$7)),"x","")</f>
        <v/>
      </c>
      <c r="X404" s="85" t="str">
        <f>IF(OR(TH!N404=TH!$X$7,O404=TH!$X$7),"x","")</f>
        <v/>
      </c>
      <c r="Y404" s="85" t="str">
        <f>IF(AND(OR(N404="131",O404="131"),H404='131-CT'!$H$9),"x","")</f>
        <v/>
      </c>
      <c r="Z404" s="85"/>
      <c r="AA404" s="85" t="str">
        <f>IF(AND(MONTH(E404)='IN-NX'!$J$5,'IN-NX'!$D$7=D404),"x","")</f>
        <v/>
      </c>
      <c r="AB404" s="85" t="str">
        <f>IF(AND(OR(LEFT(TH!N404,2)="15",LEFT(TH!O404,2)="15"),'152-CT'!$J$8=TH!F404),"x","")</f>
        <v/>
      </c>
      <c r="AC404" s="85" t="str">
        <f>IF(AND(OR(LEFT(TH!N404,2)="15",LEFT(TH!O404,2)="15"),TK!$E$7=TH!F404),"x","")</f>
        <v/>
      </c>
      <c r="AD404" s="85" t="str">
        <f>IF(AND(N404="1521",MONTH(C404)='BK-NL'!$M$11),"x","")</f>
        <v/>
      </c>
    </row>
    <row r="405" spans="1:30" ht="15.75" customHeight="1">
      <c r="A405" s="343" t="str">
        <f>IF(B405&lt;&gt;"",IF(AND(B405='IN-TC'!$S$4,OR(TH!N405="1111",TH!O405="1111")),TH!D405,""),"")</f>
        <v/>
      </c>
      <c r="B405" s="63">
        <f t="shared" si="55"/>
        <v>2</v>
      </c>
      <c r="C405" s="64">
        <f t="shared" si="56"/>
        <v>42405</v>
      </c>
      <c r="D405" s="64" t="s">
        <v>585</v>
      </c>
      <c r="E405" s="64">
        <v>42405</v>
      </c>
      <c r="F405" s="67" t="s">
        <v>1078</v>
      </c>
      <c r="G405" s="67" t="s">
        <v>930</v>
      </c>
      <c r="H405" s="74" t="s">
        <v>604</v>
      </c>
      <c r="I405" s="447"/>
      <c r="J405" s="447"/>
      <c r="K405" s="438">
        <v>63.61</v>
      </c>
      <c r="L405" s="447">
        <v>22270</v>
      </c>
      <c r="M405" s="65">
        <f>ROUND(K405*L405,0)</f>
        <v>1416595</v>
      </c>
      <c r="N405" s="66" t="s">
        <v>99</v>
      </c>
      <c r="O405" s="66" t="s">
        <v>591</v>
      </c>
      <c r="P405" s="85" t="str">
        <f>IF(AND('331-CT'!$E$7=TH!H405,OR(N405="331",O405="331")),"x","")</f>
        <v/>
      </c>
      <c r="Q405" s="85" t="str">
        <f>IF(AND(B405='111'!$L$11,OR($N405=$Q$7,$O405=$Q$7)),"x","")</f>
        <v/>
      </c>
      <c r="R405" s="85" t="str">
        <f>IF(AND($N405=$Q$7,$B405&lt;'111'!$L$11),"x","")</f>
        <v/>
      </c>
      <c r="S405" s="85" t="str">
        <f>IF(AND($O405=$Q$7,$B405&lt;'111'!$L$11),"x","")</f>
        <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
      </c>
      <c r="W405" s="85" t="str">
        <f>IF(AND('341-CT'!$H$9=H405,OR(LEFT(N405,3)=$W$7,LEFT(O405,3)=$W$7)),"x","")</f>
        <v/>
      </c>
      <c r="X405" s="85" t="str">
        <f>IF(OR(TH!N405=TH!$X$7,O405=TH!$X$7),"x","")</f>
        <v/>
      </c>
      <c r="Y405" s="85" t="str">
        <f>IF(AND(OR(N405="131",O405="131"),H405='131-CT'!$H$9),"x","")</f>
        <v/>
      </c>
      <c r="Z405" s="85"/>
      <c r="AA405" s="85" t="str">
        <f>IF(AND(MONTH(E405)='IN-NX'!$J$5,'IN-NX'!$D$7=D405),"x","")</f>
        <v/>
      </c>
      <c r="AB405" s="85" t="str">
        <f>IF(AND(OR(LEFT(TH!N405,2)="15",LEFT(TH!O405,2)="15"),'152-CT'!$J$8=TH!F405),"x","")</f>
        <v/>
      </c>
      <c r="AC405" s="85" t="str">
        <f>IF(AND(OR(LEFT(TH!N405,2)="15",LEFT(TH!O405,2)="15"),TK!$E$7=TH!F405),"x","")</f>
        <v/>
      </c>
      <c r="AD405" s="85" t="str">
        <f>IF(AND(N405="1521",MONTH(C405)='BK-NL'!$M$11),"x","")</f>
        <v/>
      </c>
    </row>
    <row r="406" spans="1:30" ht="15.75" customHeight="1">
      <c r="A406" s="343" t="str">
        <f>IF(B406&lt;&gt;"",IF(AND(B406='IN-TC'!$S$4,OR(TH!N406="1111",TH!O406="1111")),TH!D406,""),"")</f>
        <v/>
      </c>
      <c r="B406" s="63">
        <f t="shared" si="55"/>
        <v>2</v>
      </c>
      <c r="C406" s="64">
        <f t="shared" si="56"/>
        <v>42405</v>
      </c>
      <c r="D406" s="64" t="s">
        <v>585</v>
      </c>
      <c r="E406" s="64">
        <v>42405</v>
      </c>
      <c r="F406" s="67" t="s">
        <v>1079</v>
      </c>
      <c r="G406" s="67" t="s">
        <v>930</v>
      </c>
      <c r="H406" s="74" t="s">
        <v>604</v>
      </c>
      <c r="I406" s="447"/>
      <c r="J406" s="447"/>
      <c r="K406" s="438">
        <v>35</v>
      </c>
      <c r="L406" s="447">
        <v>22270</v>
      </c>
      <c r="M406" s="65">
        <f>ROUND(K406*L406,0)</f>
        <v>779450</v>
      </c>
      <c r="N406" s="66" t="s">
        <v>101</v>
      </c>
      <c r="O406" s="66" t="s">
        <v>591</v>
      </c>
      <c r="P406" s="85" t="str">
        <f>IF(AND('331-CT'!$E$7=TH!H406,OR(N406="331",O406="331")),"x","")</f>
        <v/>
      </c>
      <c r="Q406" s="85" t="str">
        <f>IF(AND(B406='111'!$L$11,OR($N406=$Q$7,$O406=$Q$7)),"x","")</f>
        <v/>
      </c>
      <c r="R406" s="85" t="str">
        <f>IF(AND($N406=$Q$7,$B406&lt;'111'!$L$11),"x","")</f>
        <v/>
      </c>
      <c r="S406" s="85" t="str">
        <f>IF(AND($O406=$Q$7,$B406&lt;'111'!$L$11),"x","")</f>
        <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IF(AND('341-CT'!$H$9=H406,OR(LEFT(N406,3)=$W$7,LEFT(O406,3)=$W$7)),"x","")</f>
        <v/>
      </c>
      <c r="X406" s="85" t="str">
        <f>IF(OR(TH!N406=TH!$X$7,O406=TH!$X$7),"x","")</f>
        <v/>
      </c>
      <c r="Y406" s="85" t="str">
        <f>IF(AND(OR(N406="131",O406="131"),H406='131-CT'!$H$9),"x","")</f>
        <v/>
      </c>
      <c r="Z406" s="85"/>
      <c r="AA406" s="85" t="str">
        <f>IF(AND(MONTH(E406)='IN-NX'!$J$5,'IN-NX'!$D$7=D406),"x","")</f>
        <v/>
      </c>
      <c r="AB406" s="85" t="str">
        <f>IF(AND(OR(LEFT(TH!N406,2)="15",LEFT(TH!O406,2)="15"),'152-CT'!$J$8=TH!F406),"x","")</f>
        <v/>
      </c>
      <c r="AC406" s="85" t="str">
        <f>IF(AND(OR(LEFT(TH!N406,2)="15",LEFT(TH!O406,2)="15"),TK!$E$7=TH!F406),"x","")</f>
        <v/>
      </c>
      <c r="AD406" s="85" t="str">
        <f>IF(AND(N406="1521",MONTH(C406)='BK-NL'!$M$11),"x","")</f>
        <v/>
      </c>
    </row>
    <row r="407" spans="1:30" ht="15.75" customHeight="1">
      <c r="A407" s="343" t="str">
        <f>IF(B407&lt;&gt;"",IF(AND(B407='IN-TC'!$S$4,OR(TH!N407="1111",TH!O407="1111")),TH!D407,""),"")</f>
        <v/>
      </c>
      <c r="B407" s="63">
        <f t="shared" si="55"/>
        <v>2</v>
      </c>
      <c r="C407" s="64">
        <f t="shared" si="56"/>
        <v>42405</v>
      </c>
      <c r="D407" s="64" t="s">
        <v>585</v>
      </c>
      <c r="E407" s="64">
        <v>42405</v>
      </c>
      <c r="F407" s="67" t="s">
        <v>1080</v>
      </c>
      <c r="G407" s="67"/>
      <c r="H407" s="74" t="s">
        <v>604</v>
      </c>
      <c r="I407" s="447"/>
      <c r="J407" s="447"/>
      <c r="K407" s="438"/>
      <c r="L407" s="447"/>
      <c r="M407" s="65">
        <v>5407186</v>
      </c>
      <c r="N407" s="66" t="s">
        <v>99</v>
      </c>
      <c r="O407" s="66" t="s">
        <v>591</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IF(AND('341-CT'!$H$9=H407,OR(LEFT(N407,3)=$W$7,LEFT(O407,3)=$W$7)),"x","")</f>
        <v/>
      </c>
      <c r="X407" s="85" t="str">
        <f>IF(OR(TH!N407=TH!$X$7,O407=TH!$X$7),"x","")</f>
        <v/>
      </c>
      <c r="Y407" s="85" t="str">
        <f>IF(AND(OR(N407="131",O407="131"),H407='131-CT'!$H$9),"x","")</f>
        <v/>
      </c>
      <c r="Z407" s="85"/>
      <c r="AA407" s="85" t="str">
        <f>IF(AND(MONTH(E407)='IN-NX'!$J$5,'IN-NX'!$D$7=D407),"x","")</f>
        <v/>
      </c>
      <c r="AB407" s="85" t="str">
        <f>IF(AND(OR(LEFT(TH!N407,2)="15",LEFT(TH!O407,2)="15"),'152-CT'!$J$8=TH!F407),"x","")</f>
        <v/>
      </c>
      <c r="AC407" s="85" t="str">
        <f>IF(AND(OR(LEFT(TH!N407,2)="15",LEFT(TH!O407,2)="15"),TK!$E$7=TH!F407),"x","")</f>
        <v/>
      </c>
      <c r="AD407" s="85" t="str">
        <f>IF(AND(N407="1521",MONTH(C407)='BK-NL'!$M$11),"x","")</f>
        <v/>
      </c>
    </row>
    <row r="408" spans="1:30" ht="15.75" customHeight="1">
      <c r="A408" s="343" t="str">
        <f>IF(B408&lt;&gt;"",IF(AND(B408='IN-TC'!$S$4,OR(TH!N408="1111",TH!O408="1111")),TH!D408,""),"")</f>
        <v>C06</v>
      </c>
      <c r="B408" s="63">
        <f t="shared" si="55"/>
        <v>2</v>
      </c>
      <c r="C408" s="320">
        <f t="shared" si="56"/>
        <v>42405</v>
      </c>
      <c r="D408" s="64" t="s">
        <v>884</v>
      </c>
      <c r="E408" s="320">
        <v>42405</v>
      </c>
      <c r="F408" s="82" t="s">
        <v>975</v>
      </c>
      <c r="G408" s="82"/>
      <c r="H408" s="83" t="s">
        <v>974</v>
      </c>
      <c r="I408" s="445"/>
      <c r="J408" s="445"/>
      <c r="K408" s="436"/>
      <c r="L408" s="445"/>
      <c r="M408" s="84">
        <v>300000000</v>
      </c>
      <c r="N408" s="85" t="s">
        <v>273</v>
      </c>
      <c r="O408" s="85" t="s">
        <v>63</v>
      </c>
      <c r="P408" s="85" t="str">
        <f>IF(AND('331-CT'!$E$7=TH!H408,OR(N408="331",O408="331")),"x","")</f>
        <v/>
      </c>
      <c r="Q408" s="85" t="str">
        <f>IF(AND(B408='111'!$L$11,OR($N408=$Q$7,$O408=$Q$7)),"x","")</f>
        <v/>
      </c>
      <c r="R408" s="85" t="str">
        <f>IF(AND($N408=$Q$7,$B408&lt;'111'!$L$11),"x","")</f>
        <v/>
      </c>
      <c r="S408" s="85" t="str">
        <f>IF(AND($O408=$Q$7,$B408&lt;'111'!$L$11),"x","")</f>
        <v/>
      </c>
      <c r="T408" s="85" t="str">
        <f>IF(ISERROR(FIND('112'!$M$9,G408,1)),"",IF((AND(FIND('112'!$M$9,G408,1)&gt;=1,B408='112'!$K$9,OR($N408='112'!$I$6,$O408='112'!$I$6))),"x",""))</f>
        <v/>
      </c>
      <c r="U408" s="85" t="str">
        <f>IF(ISERROR(FIND('112'!$M$9,G408,1)),"",IF((AND(LEFT(G408,2)=LEFT('112'!$M$9,2),B408&lt;'112'!$K$9,$N408='112'!$I$6)),"x",""))</f>
        <v/>
      </c>
      <c r="V408" s="85" t="str">
        <f>IF(ISERROR(FIND('112'!$M$9,G408,1)),"",IF((AND(RIGHT(G408,2)=RIGHT('112'!$M$9,2),B408&lt;'112'!$K$9,$O408='112'!$I$6)),"x",""))</f>
        <v/>
      </c>
      <c r="W408" s="85" t="str">
        <f>IF(AND('341-CT'!$H$9=H408,OR(LEFT(N408,3)=$W$7,LEFT(O408,3)=$W$7)),"x","")</f>
        <v/>
      </c>
      <c r="X408" s="85" t="str">
        <f>IF(OR(TH!N408=TH!$X$7,O408=TH!$X$7),"x","")</f>
        <v/>
      </c>
      <c r="Y408" s="85" t="str">
        <f>IF(AND(OR(N408="131",O408="131"),H408='131-CT'!$H$9),"x","")</f>
        <v/>
      </c>
      <c r="Z408" s="85"/>
      <c r="AA408" s="85" t="str">
        <f>IF(AND(MONTH(E408)='IN-NX'!$J$5,'IN-NX'!$D$7=D408),"x","")</f>
        <v/>
      </c>
      <c r="AB408" s="85" t="str">
        <f>IF(AND(OR(LEFT(TH!N408,2)="15",LEFT(TH!O408,2)="15"),'152-CT'!$J$8=TH!F408),"x","")</f>
        <v/>
      </c>
      <c r="AC408" s="85" t="str">
        <f>IF(AND(OR(LEFT(TH!N408,2)="15",LEFT(TH!O408,2)="15"),TK!$E$7=TH!F408),"x","")</f>
        <v/>
      </c>
      <c r="AD408" s="85" t="str">
        <f>IF(AND(N408="1521",MONTH(C408)='BK-NL'!$M$11),"x","")</f>
        <v/>
      </c>
    </row>
    <row r="409" spans="1:30" ht="15.75" customHeight="1">
      <c r="A409" s="343" t="str">
        <f>IF(B409&lt;&gt;"",IF(AND(B409='IN-TC'!$S$4,OR(TH!N409="1111",TH!O409="1111")),TH!D409,""),"")</f>
        <v>C07</v>
      </c>
      <c r="B409" s="63">
        <f t="shared" si="55"/>
        <v>2</v>
      </c>
      <c r="C409" s="64">
        <v>42406</v>
      </c>
      <c r="D409" s="64" t="s">
        <v>886</v>
      </c>
      <c r="E409" s="64">
        <v>42406</v>
      </c>
      <c r="F409" s="67" t="s">
        <v>1016</v>
      </c>
      <c r="G409" s="67" t="s">
        <v>1036</v>
      </c>
      <c r="H409" s="74" t="s">
        <v>819</v>
      </c>
      <c r="I409" s="447"/>
      <c r="J409" s="447"/>
      <c r="K409" s="438"/>
      <c r="L409" s="447"/>
      <c r="M409" s="65">
        <v>798518</v>
      </c>
      <c r="N409" s="66" t="s">
        <v>101</v>
      </c>
      <c r="O409" s="66" t="s">
        <v>63</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
      </c>
      <c r="W409" s="85" t="str">
        <f>IF(AND('341-CT'!$H$9=H409,OR(LEFT(N409,3)=$W$7,LEFT(O409,3)=$W$7)),"x","")</f>
        <v/>
      </c>
      <c r="X409" s="85" t="str">
        <f>IF(OR(TH!N409=TH!$X$7,O409=TH!$X$7),"x","")</f>
        <v/>
      </c>
      <c r="Y409" s="85" t="str">
        <f>IF(AND(OR(N409="131",O409="131"),H409='131-CT'!$H$9),"x","")</f>
        <v/>
      </c>
      <c r="Z409" s="85"/>
      <c r="AA409" s="85" t="str">
        <f>IF(AND(MONTH(E409)='IN-NX'!$J$5,'IN-NX'!$D$7=D409),"x","")</f>
        <v/>
      </c>
      <c r="AB409" s="85" t="str">
        <f>IF(AND(OR(LEFT(TH!N409,2)="15",LEFT(TH!O409,2)="15"),'152-CT'!$J$8=TH!F409),"x","")</f>
        <v/>
      </c>
      <c r="AC409" s="85" t="str">
        <f>IF(AND(OR(LEFT(TH!N409,2)="15",LEFT(TH!O409,2)="15"),TK!$E$7=TH!F409),"x","")</f>
        <v/>
      </c>
      <c r="AD409" s="85" t="str">
        <f>IF(AND(N409="1521",MONTH(C409)='BK-NL'!$M$11),"x","")</f>
        <v/>
      </c>
    </row>
    <row r="410" spans="1:30" ht="15.75" customHeight="1">
      <c r="A410" s="343" t="str">
        <f>IF(B410&lt;&gt;"",IF(AND(B410='IN-TC'!$S$4,OR(TH!N410="1111",TH!O410="1111")),TH!D410,""),"")</f>
        <v>C07</v>
      </c>
      <c r="B410" s="63">
        <f t="shared" si="55"/>
        <v>2</v>
      </c>
      <c r="C410" s="64">
        <v>42406</v>
      </c>
      <c r="D410" s="64" t="s">
        <v>886</v>
      </c>
      <c r="E410" s="64">
        <v>42406</v>
      </c>
      <c r="F410" s="67" t="s">
        <v>1017</v>
      </c>
      <c r="G410" s="67" t="s">
        <v>1036</v>
      </c>
      <c r="H410" s="74" t="s">
        <v>819</v>
      </c>
      <c r="I410" s="447"/>
      <c r="J410" s="447"/>
      <c r="K410" s="438"/>
      <c r="L410" s="447"/>
      <c r="M410" s="65">
        <v>79852</v>
      </c>
      <c r="N410" s="66" t="s">
        <v>9</v>
      </c>
      <c r="O410" s="66" t="s">
        <v>63</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
      </c>
      <c r="V410" s="85" t="str">
        <f>IF(ISERROR(FIND('112'!$M$9,G410,1)),"",IF((AND(RIGHT(G410,2)=RIGHT('112'!$M$9,2),B410&lt;'112'!$K$9,$O410='112'!$I$6)),"x",""))</f>
        <v/>
      </c>
      <c r="W410" s="85" t="str">
        <f>IF(AND('341-CT'!$H$9=H410,OR(LEFT(N410,3)=$W$7,LEFT(O410,3)=$W$7)),"x","")</f>
        <v/>
      </c>
      <c r="X410" s="85" t="str">
        <f>IF(OR(TH!N410=TH!$X$7,O410=TH!$X$7),"x","")</f>
        <v/>
      </c>
      <c r="Y410" s="85" t="str">
        <f>IF(AND(OR(N410="131",O410="131"),H410='131-CT'!$H$9),"x","")</f>
        <v/>
      </c>
      <c r="Z410" s="85"/>
      <c r="AA410" s="85" t="str">
        <f>IF(AND(MONTH(E410)='IN-NX'!$J$5,'IN-NX'!$D$7=D410),"x","")</f>
        <v/>
      </c>
      <c r="AB410" s="85" t="str">
        <f>IF(AND(OR(LEFT(TH!N410,2)="15",LEFT(TH!O410,2)="15"),'152-CT'!$J$8=TH!F410),"x","")</f>
        <v/>
      </c>
      <c r="AC410" s="85" t="str">
        <f>IF(AND(OR(LEFT(TH!N410,2)="15",LEFT(TH!O410,2)="15"),TK!$E$7=TH!F410),"x","")</f>
        <v/>
      </c>
      <c r="AD410" s="85" t="str">
        <f>IF(AND(N410="1521",MONTH(C410)='BK-NL'!$M$11),"x","")</f>
        <v/>
      </c>
    </row>
    <row r="411" spans="1:30" ht="15.75" customHeight="1">
      <c r="A411" s="343" t="str">
        <f>IF(B411&lt;&gt;"",IF(AND(B411='IN-TC'!$S$4,OR(TH!N411="1111",TH!O411="1111")),TH!D411,""),"")</f>
        <v/>
      </c>
      <c r="B411" s="63">
        <f t="shared" si="55"/>
        <v>2</v>
      </c>
      <c r="C411" s="150">
        <v>42415</v>
      </c>
      <c r="D411" s="64" t="s">
        <v>709</v>
      </c>
      <c r="E411" s="150">
        <v>42415</v>
      </c>
      <c r="F411" s="94" t="s">
        <v>1059</v>
      </c>
      <c r="G411" s="67" t="s">
        <v>930</v>
      </c>
      <c r="H411" s="74" t="s">
        <v>720</v>
      </c>
      <c r="I411" s="447"/>
      <c r="J411" s="447"/>
      <c r="K411" s="438"/>
      <c r="L411" s="447"/>
      <c r="M411" s="151">
        <v>1341984</v>
      </c>
      <c r="N411" s="152" t="s">
        <v>99</v>
      </c>
      <c r="O411" s="66" t="s">
        <v>26</v>
      </c>
      <c r="P411" s="85" t="str">
        <f>IF(AND('331-CT'!$E$7=TH!H411,OR(N411="331",O411="331")),"x","")</f>
        <v/>
      </c>
      <c r="Q411" s="85" t="str">
        <f>IF(AND(B411='111'!$L$11,OR($N411=$Q$7,$O411=$Q$7)),"x","")</f>
        <v/>
      </c>
      <c r="R411" s="85" t="str">
        <f>IF(AND($N411=$Q$7,$B411&lt;'111'!$L$11),"x","")</f>
        <v/>
      </c>
      <c r="S411" s="85" t="str">
        <f>IF(AND($O411=$Q$7,$B411&lt;'111'!$L$11),"x","")</f>
        <v/>
      </c>
      <c r="T411" s="85" t="str">
        <f>IF(ISERROR(FIND('112'!$M$9,G411,1)),"",IF((AND(FIND('112'!$M$9,G411,1)&gt;=1,B411='112'!$K$9,OR($N411='112'!$I$6,$O411='112'!$I$6))),"x",""))</f>
        <v/>
      </c>
      <c r="U411" s="85" t="str">
        <f>IF(ISERROR(FIND('112'!$M$9,G411,1)),"",IF((AND(LEFT(G411,2)=LEFT('112'!$M$9,2),B411&lt;'112'!$K$9,$N411='112'!$I$6)),"x",""))</f>
        <v/>
      </c>
      <c r="V411" s="85" t="str">
        <f>IF(ISERROR(FIND('112'!$M$9,G411,1)),"",IF((AND(RIGHT(G411,2)=RIGHT('112'!$M$9,2),B411&lt;'112'!$K$9,$O411='112'!$I$6)),"x",""))</f>
        <v/>
      </c>
      <c r="W411" s="85" t="str">
        <f>IF(AND('341-CT'!$H$9=H411,OR(LEFT(N411,3)=$W$7,LEFT(O411,3)=$W$7)),"x","")</f>
        <v/>
      </c>
      <c r="X411" s="85" t="str">
        <f>IF(OR(TH!N411=TH!$X$7,O411=TH!$X$7),"x","")</f>
        <v/>
      </c>
      <c r="Y411" s="85" t="str">
        <f>IF(AND(OR(N411="131",O411="131"),H411='131-CT'!$H$9),"x","")</f>
        <v/>
      </c>
      <c r="Z411" s="85"/>
      <c r="AA411" s="85" t="str">
        <f>IF(AND(MONTH(E411)='IN-NX'!$J$5,'IN-NX'!$D$7=D411),"x","")</f>
        <v/>
      </c>
      <c r="AB411" s="85" t="str">
        <f>IF(AND(OR(LEFT(TH!N411,2)="15",LEFT(TH!O411,2)="15"),'152-CT'!$J$8=TH!F411),"x","")</f>
        <v/>
      </c>
      <c r="AC411" s="85" t="str">
        <f>IF(AND(OR(LEFT(TH!N411,2)="15",LEFT(TH!O411,2)="15"),TK!$E$7=TH!F411),"x","")</f>
        <v/>
      </c>
      <c r="AD411" s="85" t="str">
        <f>IF(AND(N411="1521",MONTH(C411)='BK-NL'!$M$11),"x","")</f>
        <v/>
      </c>
    </row>
    <row r="412" spans="1:30" ht="15.75" customHeight="1">
      <c r="A412" s="343" t="str">
        <f>IF(B412&lt;&gt;"",IF(AND(B412='IN-TC'!$S$4,OR(TH!N412="1111",TH!O412="1111")),TH!D412,""),"")</f>
        <v/>
      </c>
      <c r="B412" s="63">
        <f t="shared" si="55"/>
        <v>2</v>
      </c>
      <c r="C412" s="64">
        <v>42415</v>
      </c>
      <c r="D412" s="64" t="s">
        <v>709</v>
      </c>
      <c r="E412" s="64">
        <v>42415</v>
      </c>
      <c r="F412" s="67" t="s">
        <v>1060</v>
      </c>
      <c r="G412" s="67" t="s">
        <v>930</v>
      </c>
      <c r="H412" s="351" t="s">
        <v>721</v>
      </c>
      <c r="I412" s="449"/>
      <c r="J412" s="449"/>
      <c r="K412" s="440"/>
      <c r="L412" s="449"/>
      <c r="M412" s="65">
        <v>2892064</v>
      </c>
      <c r="N412" s="152" t="s">
        <v>99</v>
      </c>
      <c r="O412" s="66" t="s">
        <v>26</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
      </c>
      <c r="W412" s="85" t="str">
        <f>IF(AND('341-CT'!$H$9=H412,OR(LEFT(N412,3)=$W$7,LEFT(O412,3)=$W$7)),"x","")</f>
        <v/>
      </c>
      <c r="X412" s="85" t="str">
        <f>IF(OR(TH!N412=TH!$X$7,O412=TH!$X$7),"x","")</f>
        <v/>
      </c>
      <c r="Y412" s="85" t="str">
        <f>IF(AND(OR(N412="131",O412="131"),H412='131-CT'!$H$9),"x","")</f>
        <v/>
      </c>
      <c r="Z412" s="85"/>
      <c r="AA412" s="85" t="str">
        <f>IF(AND(MONTH(E412)='IN-NX'!$J$5,'IN-NX'!$D$7=D412),"x","")</f>
        <v/>
      </c>
      <c r="AB412" s="85" t="str">
        <f>IF(AND(OR(LEFT(TH!N412,2)="15",LEFT(TH!O412,2)="15"),'152-CT'!$J$8=TH!F412),"x","")</f>
        <v/>
      </c>
      <c r="AC412" s="85" t="str">
        <f>IF(AND(OR(LEFT(TH!N412,2)="15",LEFT(TH!O412,2)="15"),TK!$E$7=TH!F412),"x","")</f>
        <v/>
      </c>
      <c r="AD412" s="85" t="str">
        <f>IF(AND(N412="1521",MONTH(C412)='BK-NL'!$M$11),"x","")</f>
        <v/>
      </c>
    </row>
    <row r="413" spans="1:30" ht="15.75" customHeight="1">
      <c r="A413" s="343" t="str">
        <f>IF(B413&lt;&gt;"",IF(AND(B413='IN-TC'!$S$4,OR(TH!N413="1111",TH!O413="1111")),TH!D413,""),"")</f>
        <v/>
      </c>
      <c r="B413" s="63">
        <f t="shared" si="55"/>
        <v>2</v>
      </c>
      <c r="C413" s="64">
        <v>42415</v>
      </c>
      <c r="D413" s="64" t="s">
        <v>709</v>
      </c>
      <c r="E413" s="64">
        <v>42415</v>
      </c>
      <c r="F413" s="67" t="s">
        <v>1061</v>
      </c>
      <c r="G413" s="67" t="s">
        <v>930</v>
      </c>
      <c r="H413" s="351" t="s">
        <v>722</v>
      </c>
      <c r="I413" s="449"/>
      <c r="J413" s="449"/>
      <c r="K413" s="440"/>
      <c r="L413" s="449"/>
      <c r="M413" s="65">
        <v>1780800</v>
      </c>
      <c r="N413" s="66" t="s">
        <v>99</v>
      </c>
      <c r="O413" s="66" t="s">
        <v>26</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
      </c>
      <c r="W413" s="85" t="str">
        <f>IF(AND('341-CT'!$H$9=H413,OR(LEFT(N413,3)=$W$7,LEFT(O413,3)=$W$7)),"x","")</f>
        <v/>
      </c>
      <c r="X413" s="85" t="str">
        <f>IF(OR(TH!N413=TH!$X$7,O413=TH!$X$7),"x","")</f>
        <v/>
      </c>
      <c r="Y413" s="85" t="str">
        <f>IF(AND(OR(N413="131",O413="131"),H413='131-CT'!$H$9),"x","")</f>
        <v/>
      </c>
      <c r="Z413" s="85"/>
      <c r="AA413" s="85" t="str">
        <f>IF(AND(MONTH(E413)='IN-NX'!$J$5,'IN-NX'!$D$7=D413),"x","")</f>
        <v/>
      </c>
      <c r="AB413" s="85" t="str">
        <f>IF(AND(OR(LEFT(TH!N413,2)="15",LEFT(TH!O413,2)="15"),'152-CT'!$J$8=TH!F413),"x","")</f>
        <v/>
      </c>
      <c r="AC413" s="85" t="str">
        <f>IF(AND(OR(LEFT(TH!N413,2)="15",LEFT(TH!O413,2)="15"),TK!$E$7=TH!F413),"x","")</f>
        <v/>
      </c>
      <c r="AD413" s="85" t="str">
        <f>IF(AND(N413="1521",MONTH(C413)='BK-NL'!$M$11),"x","")</f>
        <v/>
      </c>
    </row>
    <row r="414" spans="1:30" ht="15.75" customHeight="1">
      <c r="A414" s="343" t="str">
        <f>IF(B414&lt;&gt;"",IF(AND(B414='IN-TC'!$S$4,OR(TH!N414="1111",TH!O414="1111")),TH!D414,""),"")</f>
        <v/>
      </c>
      <c r="B414" s="63">
        <f t="shared" si="55"/>
        <v>2</v>
      </c>
      <c r="C414" s="64">
        <v>42415</v>
      </c>
      <c r="D414" s="64" t="s">
        <v>709</v>
      </c>
      <c r="E414" s="64">
        <v>42415</v>
      </c>
      <c r="F414" s="67" t="s">
        <v>1062</v>
      </c>
      <c r="G414" s="67" t="s">
        <v>930</v>
      </c>
      <c r="H414" s="74" t="s">
        <v>723</v>
      </c>
      <c r="I414" s="447"/>
      <c r="J414" s="447"/>
      <c r="K414" s="438"/>
      <c r="L414" s="447"/>
      <c r="M414" s="65">
        <v>2492896</v>
      </c>
      <c r="N414" s="66" t="s">
        <v>99</v>
      </c>
      <c r="O414" s="66" t="s">
        <v>26</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
      </c>
      <c r="V414" s="85" t="str">
        <f>IF(ISERROR(FIND('112'!$M$9,G414,1)),"",IF((AND(RIGHT(G414,2)=RIGHT('112'!$M$9,2),B414&lt;'112'!$K$9,$O414='112'!$I$6)),"x",""))</f>
        <v/>
      </c>
      <c r="W414" s="85" t="str">
        <f>IF(AND('341-CT'!$H$9=H414,OR(LEFT(N414,3)=$W$7,LEFT(O414,3)=$W$7)),"x","")</f>
        <v/>
      </c>
      <c r="X414" s="85" t="str">
        <f>IF(OR(TH!N414=TH!$X$7,O414=TH!$X$7),"x","")</f>
        <v/>
      </c>
      <c r="Y414" s="85" t="str">
        <f>IF(AND(OR(N414="131",O414="131"),H414='131-CT'!$H$9),"x","")</f>
        <v/>
      </c>
      <c r="Z414" s="85"/>
      <c r="AA414" s="85" t="str">
        <f>IF(AND(MONTH(E414)='IN-NX'!$J$5,'IN-NX'!$D$7=D414),"x","")</f>
        <v/>
      </c>
      <c r="AB414" s="85" t="str">
        <f>IF(AND(OR(LEFT(TH!N414,2)="15",LEFT(TH!O414,2)="15"),'152-CT'!$J$8=TH!F414),"x","")</f>
        <v/>
      </c>
      <c r="AC414" s="85" t="str">
        <f>IF(AND(OR(LEFT(TH!N414,2)="15",LEFT(TH!O414,2)="15"),TK!$E$7=TH!F414),"x","")</f>
        <v/>
      </c>
      <c r="AD414" s="85" t="str">
        <f>IF(AND(N414="1521",MONTH(C414)='BK-NL'!$M$11),"x","")</f>
        <v/>
      </c>
    </row>
    <row r="415" spans="1:30" ht="15.75" customHeight="1">
      <c r="A415" s="343" t="str">
        <f>IF(B415&lt;&gt;"",IF(AND(B415='IN-TC'!$S$4,OR(TH!N415="1111",TH!O415="1111")),TH!D415,""),"")</f>
        <v/>
      </c>
      <c r="B415" s="63">
        <f t="shared" si="55"/>
        <v>2</v>
      </c>
      <c r="C415" s="64">
        <v>42415</v>
      </c>
      <c r="D415" s="64" t="s">
        <v>709</v>
      </c>
      <c r="E415" s="64">
        <v>42415</v>
      </c>
      <c r="F415" s="67" t="s">
        <v>770</v>
      </c>
      <c r="G415" s="67" t="s">
        <v>929</v>
      </c>
      <c r="H415" s="74"/>
      <c r="I415" s="447"/>
      <c r="J415" s="447"/>
      <c r="K415" s="438"/>
      <c r="L415" s="447"/>
      <c r="M415" s="65">
        <v>50000</v>
      </c>
      <c r="N415" s="66" t="s">
        <v>101</v>
      </c>
      <c r="O415" s="66" t="s">
        <v>26</v>
      </c>
      <c r="P415" s="85" t="str">
        <f>IF(AND('331-CT'!$E$7=TH!H415,OR(N415="331",O415="331")),"x","")</f>
        <v/>
      </c>
      <c r="Q415" s="85" t="str">
        <f>IF(AND(B415='111'!$L$11,OR($N415=$Q$7,$O415=$Q$7)),"x","")</f>
        <v/>
      </c>
      <c r="R415" s="85" t="str">
        <f>IF(AND($N415=$Q$7,$B415&lt;'111'!$L$11),"x","")</f>
        <v/>
      </c>
      <c r="S415" s="85" t="str">
        <f>IF(AND($O415=$Q$7,$B415&lt;'111'!$L$11),"x","")</f>
        <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
      </c>
      <c r="W415" s="85" t="str">
        <f>IF(AND('341-CT'!$H$9=H415,OR(LEFT(N415,3)=$W$7,LEFT(O415,3)=$W$7)),"x","")</f>
        <v/>
      </c>
      <c r="X415" s="85" t="str">
        <f>IF(OR(TH!N415=TH!$X$7,O415=TH!$X$7),"x","")</f>
        <v/>
      </c>
      <c r="Y415" s="85" t="str">
        <f>IF(AND(OR(N415="131",O415="131"),H415='131-CT'!$H$9),"x","")</f>
        <v/>
      </c>
      <c r="Z415" s="85"/>
      <c r="AA415" s="85" t="str">
        <f>IF(AND(MONTH(E415)='IN-NX'!$J$5,'IN-NX'!$D$7=D415),"x","")</f>
        <v/>
      </c>
      <c r="AB415" s="85" t="str">
        <f>IF(AND(OR(LEFT(TH!N415,2)="15",LEFT(TH!O415,2)="15"),'152-CT'!$J$8=TH!F415),"x","")</f>
        <v/>
      </c>
      <c r="AC415" s="85" t="str">
        <f>IF(AND(OR(LEFT(TH!N415,2)="15",LEFT(TH!O415,2)="15"),TK!$E$7=TH!F415),"x","")</f>
        <v/>
      </c>
      <c r="AD415" s="85" t="str">
        <f>IF(AND(N415="1521",MONTH(C415)='BK-NL'!$M$11),"x","")</f>
        <v/>
      </c>
    </row>
    <row r="416" spans="1:30" ht="15.75" customHeight="1">
      <c r="A416" s="343" t="str">
        <f>IF(B416&lt;&gt;"",IF(AND(B416='IN-TC'!$S$4,OR(TH!N416="1111",TH!O416="1111")),TH!D416,""),"")</f>
        <v/>
      </c>
      <c r="B416" s="63">
        <f t="shared" si="55"/>
        <v>2</v>
      </c>
      <c r="C416" s="64">
        <v>42415</v>
      </c>
      <c r="D416" s="64" t="s">
        <v>709</v>
      </c>
      <c r="E416" s="64">
        <v>42415</v>
      </c>
      <c r="F416" s="67" t="s">
        <v>771</v>
      </c>
      <c r="G416" s="67" t="s">
        <v>929</v>
      </c>
      <c r="H416" s="74"/>
      <c r="I416" s="447"/>
      <c r="J416" s="447"/>
      <c r="K416" s="438"/>
      <c r="L416" s="447"/>
      <c r="M416" s="65">
        <v>5000</v>
      </c>
      <c r="N416" s="66" t="s">
        <v>9</v>
      </c>
      <c r="O416" s="66" t="s">
        <v>26</v>
      </c>
      <c r="P416" s="85" t="str">
        <f>IF(AND('331-CT'!$E$7=TH!H416,OR(N416="331",O416="331")),"x","")</f>
        <v/>
      </c>
      <c r="Q416" s="85" t="str">
        <f>IF(AND(B416='111'!$L$11,OR($N416=$Q$7,$O416=$Q$7)),"x","")</f>
        <v/>
      </c>
      <c r="R416" s="85" t="str">
        <f>IF(AND($N416=$Q$7,$B416&lt;'111'!$L$11),"x","")</f>
        <v/>
      </c>
      <c r="S416" s="85" t="str">
        <f>IF(AND($O416=$Q$7,$B416&lt;'111'!$L$11),"x","")</f>
        <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
      </c>
      <c r="W416" s="85" t="str">
        <f>IF(AND('341-CT'!$H$9=H416,OR(LEFT(N416,3)=$W$7,LEFT(O416,3)=$W$7)),"x","")</f>
        <v/>
      </c>
      <c r="X416" s="85" t="str">
        <f>IF(OR(TH!N416=TH!$X$7,O416=TH!$X$7),"x","")</f>
        <v/>
      </c>
      <c r="Y416" s="85" t="str">
        <f>IF(AND(OR(N416="131",O416="131"),H416='131-CT'!$H$9),"x","")</f>
        <v/>
      </c>
      <c r="Z416" s="85"/>
      <c r="AA416" s="85" t="str">
        <f>IF(AND(MONTH(E416)='IN-NX'!$J$5,'IN-NX'!$D$7=D416),"x","")</f>
        <v/>
      </c>
      <c r="AB416" s="85" t="str">
        <f>IF(AND(OR(LEFT(TH!N416,2)="15",LEFT(TH!O416,2)="15"),'152-CT'!$J$8=TH!F416),"x","")</f>
        <v/>
      </c>
      <c r="AC416" s="85" t="str">
        <f>IF(AND(OR(LEFT(TH!N416,2)="15",LEFT(TH!O416,2)="15"),TK!$E$7=TH!F416),"x","")</f>
        <v/>
      </c>
      <c r="AD416" s="85" t="str">
        <f>IF(AND(N416="1521",MONTH(C416)='BK-NL'!$M$11),"x","")</f>
        <v/>
      </c>
    </row>
    <row r="417" spans="1:31" ht="15.75" customHeight="1">
      <c r="A417" s="343" t="str">
        <f>IF(B417&lt;&gt;"",IF(AND(B417='IN-TC'!$S$4,OR(TH!N417="1111",TH!O417="1111")),TH!D417,""),"")</f>
        <v/>
      </c>
      <c r="B417" s="63">
        <f t="shared" si="55"/>
        <v>2</v>
      </c>
      <c r="C417" s="64">
        <v>42415</v>
      </c>
      <c r="D417" s="64" t="s">
        <v>709</v>
      </c>
      <c r="E417" s="64">
        <v>42415</v>
      </c>
      <c r="F417" s="67" t="s">
        <v>770</v>
      </c>
      <c r="G417" s="67" t="s">
        <v>929</v>
      </c>
      <c r="H417" s="74"/>
      <c r="I417" s="447"/>
      <c r="J417" s="447"/>
      <c r="K417" s="438"/>
      <c r="L417" s="447"/>
      <c r="M417" s="65">
        <v>50000</v>
      </c>
      <c r="N417" s="66" t="s">
        <v>101</v>
      </c>
      <c r="O417" s="66" t="s">
        <v>26</v>
      </c>
      <c r="P417" s="85" t="str">
        <f>IF(AND('331-CT'!$E$7=TH!H417,OR(N417="331",O417="331")),"x","")</f>
        <v/>
      </c>
      <c r="Q417" s="85" t="str">
        <f>IF(AND(B417='111'!$L$11,OR($N417=$Q$7,$O417=$Q$7)),"x","")</f>
        <v/>
      </c>
      <c r="R417" s="85" t="str">
        <f>IF(AND($N417=$Q$7,$B417&lt;'111'!$L$11),"x","")</f>
        <v/>
      </c>
      <c r="S417" s="85" t="str">
        <f>IF(AND($O417=$Q$7,$B417&lt;'111'!$L$11),"x","")</f>
        <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
      </c>
      <c r="W417" s="85" t="str">
        <f>IF(AND('341-CT'!$H$9=H417,OR(LEFT(N417,3)=$W$7,LEFT(O417,3)=$W$7)),"x","")</f>
        <v/>
      </c>
      <c r="X417" s="85" t="str">
        <f>IF(OR(TH!N417=TH!$X$7,O417=TH!$X$7),"x","")</f>
        <v/>
      </c>
      <c r="Y417" s="85" t="str">
        <f>IF(AND(OR(N417="131",O417="131"),H417='131-CT'!$H$9),"x","")</f>
        <v/>
      </c>
      <c r="Z417" s="85"/>
      <c r="AA417" s="85" t="str">
        <f>IF(AND(MONTH(E417)='IN-NX'!$J$5,'IN-NX'!$D$7=D417),"x","")</f>
        <v/>
      </c>
      <c r="AB417" s="85" t="str">
        <f>IF(AND(OR(LEFT(TH!N417,2)="15",LEFT(TH!O417,2)="15"),'152-CT'!$J$8=TH!F417),"x","")</f>
        <v/>
      </c>
      <c r="AC417" s="85" t="str">
        <f>IF(AND(OR(LEFT(TH!N417,2)="15",LEFT(TH!O417,2)="15"),TK!$E$7=TH!F417),"x","")</f>
        <v/>
      </c>
      <c r="AD417" s="85" t="str">
        <f>IF(AND(N417="1521",MONTH(C417)='BK-NL'!$M$11),"x","")</f>
        <v/>
      </c>
    </row>
    <row r="418" spans="1:31" ht="15.75" customHeight="1">
      <c r="A418" s="343" t="str">
        <f>IF(B418&lt;&gt;"",IF(AND(B418='IN-TC'!$S$4,OR(TH!N418="1111",TH!O418="1111")),TH!D418,""),"")</f>
        <v/>
      </c>
      <c r="B418" s="63">
        <f t="shared" si="55"/>
        <v>2</v>
      </c>
      <c r="C418" s="64">
        <v>42415</v>
      </c>
      <c r="D418" s="64" t="s">
        <v>709</v>
      </c>
      <c r="E418" s="64">
        <v>42415</v>
      </c>
      <c r="F418" s="67" t="s">
        <v>771</v>
      </c>
      <c r="G418" s="67" t="s">
        <v>929</v>
      </c>
      <c r="H418" s="74"/>
      <c r="I418" s="447"/>
      <c r="J418" s="447"/>
      <c r="K418" s="438"/>
      <c r="L418" s="447"/>
      <c r="M418" s="65">
        <v>5000</v>
      </c>
      <c r="N418" s="66" t="s">
        <v>9</v>
      </c>
      <c r="O418" s="66" t="s">
        <v>26</v>
      </c>
      <c r="P418" s="85" t="str">
        <f>IF(AND('331-CT'!$E$7=TH!H418,OR(N418="331",O418="331")),"x","")</f>
        <v/>
      </c>
      <c r="Q418" s="85" t="str">
        <f>IF(AND(B418='111'!$L$11,OR($N418=$Q$7,$O418=$Q$7)),"x","")</f>
        <v/>
      </c>
      <c r="R418" s="85" t="str">
        <f>IF(AND($N418=$Q$7,$B418&lt;'111'!$L$11),"x","")</f>
        <v/>
      </c>
      <c r="S418" s="85" t="str">
        <f>IF(AND($O418=$Q$7,$B418&lt;'111'!$L$11),"x","")</f>
        <v/>
      </c>
      <c r="T418" s="85" t="str">
        <f>IF(ISERROR(FIND('112'!$M$9,G418,1)),"",IF((AND(FIND('112'!$M$9,G418,1)&gt;=1,B418='112'!$K$9,OR($N418='112'!$I$6,$O418='112'!$I$6))),"x",""))</f>
        <v/>
      </c>
      <c r="U418" s="85" t="str">
        <f>IF(ISERROR(FIND('112'!$M$9,G418,1)),"",IF((AND(LEFT(G418,2)=LEFT('112'!$M$9,2),B418&lt;'112'!$K$9,$N418='112'!$I$6)),"x",""))</f>
        <v/>
      </c>
      <c r="V418" s="85" t="str">
        <f>IF(ISERROR(FIND('112'!$M$9,G418,1)),"",IF((AND(RIGHT(G418,2)=RIGHT('112'!$M$9,2),B418&lt;'112'!$K$9,$O418='112'!$I$6)),"x",""))</f>
        <v/>
      </c>
      <c r="W418" s="85" t="str">
        <f>IF(AND('341-CT'!$H$9=H418,OR(LEFT(N418,3)=$W$7,LEFT(O418,3)=$W$7)),"x","")</f>
        <v/>
      </c>
      <c r="X418" s="85" t="str">
        <f>IF(OR(TH!N418=TH!$X$7,O418=TH!$X$7),"x","")</f>
        <v/>
      </c>
      <c r="Y418" s="85" t="str">
        <f>IF(AND(OR(N418="131",O418="131"),H418='131-CT'!$H$9),"x","")</f>
        <v/>
      </c>
      <c r="Z418" s="85"/>
      <c r="AA418" s="85" t="str">
        <f>IF(AND(MONTH(E418)='IN-NX'!$J$5,'IN-NX'!$D$7=D418),"x","")</f>
        <v/>
      </c>
      <c r="AB418" s="85" t="str">
        <f>IF(AND(OR(LEFT(TH!N418,2)="15",LEFT(TH!O418,2)="15"),'152-CT'!$J$8=TH!F418),"x","")</f>
        <v/>
      </c>
      <c r="AC418" s="85" t="str">
        <f>IF(AND(OR(LEFT(TH!N418,2)="15",LEFT(TH!O418,2)="15"),TK!$E$7=TH!F418),"x","")</f>
        <v/>
      </c>
      <c r="AD418" s="85" t="str">
        <f>IF(AND(N418="1521",MONTH(C418)='BK-NL'!$M$11),"x","")</f>
        <v/>
      </c>
    </row>
    <row r="419" spans="1:31" ht="15.75" customHeight="1">
      <c r="A419" s="343" t="str">
        <f>IF(B419&lt;&gt;"",IF(AND(B419='IN-TC'!$S$4,OR(TH!N419="1111",TH!O419="1111")),TH!D419,""),"")</f>
        <v>C08</v>
      </c>
      <c r="B419" s="63">
        <f t="shared" si="55"/>
        <v>2</v>
      </c>
      <c r="C419" s="320">
        <f>E419</f>
        <v>42417</v>
      </c>
      <c r="D419" s="64" t="s">
        <v>887</v>
      </c>
      <c r="E419" s="320">
        <v>42417</v>
      </c>
      <c r="F419" s="82" t="s">
        <v>975</v>
      </c>
      <c r="G419" s="82"/>
      <c r="H419" s="83" t="s">
        <v>974</v>
      </c>
      <c r="I419" s="445"/>
      <c r="J419" s="445"/>
      <c r="K419" s="436"/>
      <c r="L419" s="445"/>
      <c r="M419" s="84">
        <v>360000000</v>
      </c>
      <c r="N419" s="85" t="s">
        <v>273</v>
      </c>
      <c r="O419" s="85" t="s">
        <v>63</v>
      </c>
      <c r="P419" s="85" t="str">
        <f>IF(AND('331-CT'!$E$7=TH!H419,OR(N419="331",O419="331")),"x","")</f>
        <v/>
      </c>
      <c r="Q419" s="85" t="str">
        <f>IF(AND(B419='111'!$L$11,OR($N419=$Q$7,$O419=$Q$7)),"x","")</f>
        <v/>
      </c>
      <c r="R419" s="85" t="str">
        <f>IF(AND($N419=$Q$7,$B419&lt;'111'!$L$11),"x","")</f>
        <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
      </c>
      <c r="W419" s="85" t="str">
        <f>IF(AND('341-CT'!$H$9=H419,OR(LEFT(N419,3)=$W$7,LEFT(O419,3)=$W$7)),"x","")</f>
        <v/>
      </c>
      <c r="X419" s="85" t="str">
        <f>IF(OR(TH!N419=TH!$X$7,O419=TH!$X$7),"x","")</f>
        <v/>
      </c>
      <c r="Y419" s="85" t="str">
        <f>IF(AND(OR(N419="131",O419="131"),H419='131-CT'!$H$9),"x","")</f>
        <v/>
      </c>
      <c r="Z419" s="85"/>
      <c r="AA419" s="85" t="str">
        <f>IF(AND(MONTH(E419)='IN-NX'!$J$5,'IN-NX'!$D$7=D419),"x","")</f>
        <v/>
      </c>
      <c r="AB419" s="85" t="str">
        <f>IF(AND(OR(LEFT(TH!N419,2)="15",LEFT(TH!O419,2)="15"),'152-CT'!$J$8=TH!F419),"x","")</f>
        <v/>
      </c>
      <c r="AC419" s="85" t="str">
        <f>IF(AND(OR(LEFT(TH!N419,2)="15",LEFT(TH!O419,2)="15"),TK!$E$7=TH!F419),"x","")</f>
        <v/>
      </c>
      <c r="AD419" s="85" t="str">
        <f>IF(AND(N419="1521",MONTH(C419)='BK-NL'!$M$11),"x","")</f>
        <v/>
      </c>
    </row>
    <row r="420" spans="1:31" s="355" customFormat="1" ht="15.75" customHeight="1">
      <c r="A420" s="343" t="str">
        <f>IF(B420&lt;&gt;"",IF(AND(B420='IN-TC'!$S$4,OR(TH!N420="1111",TH!O420="1111")),TH!D420,""),"")</f>
        <v>C09</v>
      </c>
      <c r="B420" s="63">
        <f t="shared" si="55"/>
        <v>2</v>
      </c>
      <c r="C420" s="64">
        <v>42418</v>
      </c>
      <c r="D420" s="64" t="s">
        <v>888</v>
      </c>
      <c r="E420" s="64">
        <v>42418</v>
      </c>
      <c r="F420" s="67" t="s">
        <v>1016</v>
      </c>
      <c r="G420" s="67" t="s">
        <v>1037</v>
      </c>
      <c r="H420" s="74" t="s">
        <v>819</v>
      </c>
      <c r="I420" s="447"/>
      <c r="J420" s="447"/>
      <c r="K420" s="438"/>
      <c r="L420" s="447"/>
      <c r="M420" s="65">
        <v>602391</v>
      </c>
      <c r="N420" s="66" t="s">
        <v>101</v>
      </c>
      <c r="O420" s="66" t="s">
        <v>63</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
      </c>
      <c r="V420" s="85" t="str">
        <f>IF(ISERROR(FIND('112'!$M$9,G420,1)),"",IF((AND(RIGHT(G420,2)=RIGHT('112'!$M$9,2),B420&lt;'112'!$K$9,$O420='112'!$I$6)),"x",""))</f>
        <v/>
      </c>
      <c r="W420" s="85" t="str">
        <f>IF(AND('341-CT'!$H$9=H420,OR(LEFT(N420,3)=$W$7,LEFT(O420,3)=$W$7)),"x","")</f>
        <v/>
      </c>
      <c r="X420" s="85" t="str">
        <f>IF(OR(TH!N420=TH!$X$7,O420=TH!$X$7),"x","")</f>
        <v/>
      </c>
      <c r="Y420" s="85" t="str">
        <f>IF(AND(OR(N420="131",O420="131"),H420='131-CT'!$H$9),"x","")</f>
        <v/>
      </c>
      <c r="Z420" s="85"/>
      <c r="AA420" s="85" t="str">
        <f>IF(AND(MONTH(E420)='IN-NX'!$J$5,'IN-NX'!$D$7=D420),"x","")</f>
        <v/>
      </c>
      <c r="AB420" s="85" t="str">
        <f>IF(AND(OR(LEFT(TH!N420,2)="15",LEFT(TH!O420,2)="15"),'152-CT'!$J$8=TH!F420),"x","")</f>
        <v/>
      </c>
      <c r="AC420" s="85" t="str">
        <f>IF(AND(OR(LEFT(TH!N420,2)="15",LEFT(TH!O420,2)="15"),TK!$E$7=TH!F420),"x","")</f>
        <v/>
      </c>
      <c r="AD420" s="85" t="str">
        <f>IF(AND(N420="1521",MONTH(C420)='BK-NL'!$M$11),"x","")</f>
        <v/>
      </c>
      <c r="AE420" s="333"/>
    </row>
    <row r="421" spans="1:31" ht="15.75" customHeight="1">
      <c r="A421" s="343" t="str">
        <f>IF(B421&lt;&gt;"",IF(AND(B421='IN-TC'!$S$4,OR(TH!N421="1111",TH!O421="1111")),TH!D421,""),"")</f>
        <v>C09</v>
      </c>
      <c r="B421" s="63">
        <f t="shared" si="55"/>
        <v>2</v>
      </c>
      <c r="C421" s="64">
        <v>42418</v>
      </c>
      <c r="D421" s="64" t="s">
        <v>888</v>
      </c>
      <c r="E421" s="64">
        <v>42418</v>
      </c>
      <c r="F421" s="67" t="s">
        <v>1017</v>
      </c>
      <c r="G421" s="67" t="s">
        <v>1037</v>
      </c>
      <c r="H421" s="74" t="s">
        <v>819</v>
      </c>
      <c r="I421" s="447"/>
      <c r="J421" s="447"/>
      <c r="K421" s="438"/>
      <c r="L421" s="447"/>
      <c r="M421" s="65">
        <v>60239</v>
      </c>
      <c r="N421" s="66" t="s">
        <v>9</v>
      </c>
      <c r="O421" s="66" t="s">
        <v>63</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
      </c>
      <c r="W421" s="85" t="str">
        <f>IF(AND('341-CT'!$H$9=H421,OR(LEFT(N421,3)=$W$7,LEFT(O421,3)=$W$7)),"x","")</f>
        <v/>
      </c>
      <c r="X421" s="85" t="str">
        <f>IF(OR(TH!N421=TH!$X$7,O421=TH!$X$7),"x","")</f>
        <v/>
      </c>
      <c r="Y421" s="85" t="str">
        <f>IF(AND(OR(N421="131",O421="131"),H421='131-CT'!$H$9),"x","")</f>
        <v/>
      </c>
      <c r="Z421" s="85"/>
      <c r="AA421" s="85" t="str">
        <f>IF(AND(MONTH(E421)='IN-NX'!$J$5,'IN-NX'!$D$7=D421),"x","")</f>
        <v/>
      </c>
      <c r="AB421" s="85" t="str">
        <f>IF(AND(OR(LEFT(TH!N421,2)="15",LEFT(TH!O421,2)="15"),'152-CT'!$J$8=TH!F421),"x","")</f>
        <v/>
      </c>
      <c r="AC421" s="85" t="str">
        <f>IF(AND(OR(LEFT(TH!N421,2)="15",LEFT(TH!O421,2)="15"),TK!$E$7=TH!F421),"x","")</f>
        <v/>
      </c>
      <c r="AD421" s="85" t="str">
        <f>IF(AND(N421="1521",MONTH(C421)='BK-NL'!$M$11),"x","")</f>
        <v/>
      </c>
    </row>
    <row r="422" spans="1:31" ht="15.75" customHeight="1">
      <c r="A422" s="343" t="str">
        <f>IF(B422&lt;&gt;"",IF(AND(B422='IN-TC'!$S$4,OR(TH!N422="1111",TH!O422="1111")),TH!D422,""),"")</f>
        <v>C10</v>
      </c>
      <c r="B422" s="63">
        <f t="shared" si="55"/>
        <v>2</v>
      </c>
      <c r="C422" s="64">
        <v>42418</v>
      </c>
      <c r="D422" s="64" t="s">
        <v>889</v>
      </c>
      <c r="E422" s="64">
        <v>42418</v>
      </c>
      <c r="F422" s="67" t="s">
        <v>1014</v>
      </c>
      <c r="G422" s="67" t="s">
        <v>1038</v>
      </c>
      <c r="H422" s="74" t="s">
        <v>825</v>
      </c>
      <c r="I422" s="447"/>
      <c r="J422" s="447"/>
      <c r="K422" s="438"/>
      <c r="L422" s="447"/>
      <c r="M422" s="65">
        <v>106982</v>
      </c>
      <c r="N422" s="66" t="s">
        <v>101</v>
      </c>
      <c r="O422" s="66" t="s">
        <v>63</v>
      </c>
      <c r="P422" s="85" t="str">
        <f>IF(AND('331-CT'!$E$7=TH!H422,OR(N422="331",O422="331")),"x","")</f>
        <v/>
      </c>
      <c r="Q422" s="85" t="str">
        <f>IF(AND(B422='111'!$L$11,OR($N422=$Q$7,$O422=$Q$7)),"x","")</f>
        <v/>
      </c>
      <c r="R422" s="85" t="str">
        <f>IF(AND($N422=$Q$7,$B422&lt;'111'!$L$11),"x","")</f>
        <v/>
      </c>
      <c r="S422" s="85" t="str">
        <f>IF(AND($O422=$Q$7,$B422&lt;'111'!$L$11),"x","")</f>
        <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
      </c>
      <c r="W422" s="85" t="str">
        <f>IF(AND('341-CT'!$H$9=H422,OR(LEFT(N422,3)=$W$7,LEFT(O422,3)=$W$7)),"x","")</f>
        <v/>
      </c>
      <c r="X422" s="85" t="str">
        <f>IF(OR(TH!N422=TH!$X$7,O422=TH!$X$7),"x","")</f>
        <v/>
      </c>
      <c r="Y422" s="85" t="str">
        <f>IF(AND(OR(N422="131",O422="131"),H422='131-CT'!$H$9),"x","")</f>
        <v/>
      </c>
      <c r="Z422" s="85"/>
      <c r="AA422" s="85" t="str">
        <f>IF(AND(MONTH(E422)='IN-NX'!$J$5,'IN-NX'!$D$7=D422),"x","")</f>
        <v/>
      </c>
      <c r="AB422" s="85" t="str">
        <f>IF(AND(OR(LEFT(TH!N422,2)="15",LEFT(TH!O422,2)="15"),'152-CT'!$J$8=TH!F422),"x","")</f>
        <v/>
      </c>
      <c r="AC422" s="85" t="str">
        <f>IF(AND(OR(LEFT(TH!N422,2)="15",LEFT(TH!O422,2)="15"),TK!$E$7=TH!F422),"x","")</f>
        <v/>
      </c>
      <c r="AD422" s="85" t="str">
        <f>IF(AND(N422="1521",MONTH(C422)='BK-NL'!$M$11),"x","")</f>
        <v/>
      </c>
      <c r="AE422" s="355"/>
    </row>
    <row r="423" spans="1:31" ht="15.75" customHeight="1">
      <c r="A423" s="343" t="str">
        <f>IF(B423&lt;&gt;"",IF(AND(B423='IN-TC'!$S$4,OR(TH!N423="1111",TH!O423="1111")),TH!D423,""),"")</f>
        <v>C10</v>
      </c>
      <c r="B423" s="63">
        <f t="shared" si="55"/>
        <v>2</v>
      </c>
      <c r="C423" s="64">
        <v>42418</v>
      </c>
      <c r="D423" s="64" t="s">
        <v>889</v>
      </c>
      <c r="E423" s="64">
        <v>42418</v>
      </c>
      <c r="F423" s="67" t="s">
        <v>1015</v>
      </c>
      <c r="G423" s="67" t="s">
        <v>1038</v>
      </c>
      <c r="H423" s="74" t="s">
        <v>825</v>
      </c>
      <c r="I423" s="447"/>
      <c r="J423" s="447"/>
      <c r="K423" s="438"/>
      <c r="L423" s="447"/>
      <c r="M423" s="65">
        <v>10698</v>
      </c>
      <c r="N423" s="66" t="s">
        <v>9</v>
      </c>
      <c r="O423" s="66" t="s">
        <v>63</v>
      </c>
      <c r="P423" s="85" t="str">
        <f>IF(AND('331-CT'!$E$7=TH!H423,OR(N423="331",O423="331")),"x","")</f>
        <v/>
      </c>
      <c r="Q423" s="85" t="str">
        <f>IF(AND(B423='111'!$L$11,OR($N423=$Q$7,$O423=$Q$7)),"x","")</f>
        <v/>
      </c>
      <c r="R423" s="85" t="str">
        <f>IF(AND($N423=$Q$7,$B423&lt;'111'!$L$11),"x","")</f>
        <v/>
      </c>
      <c r="S423" s="85" t="str">
        <f>IF(AND($O423=$Q$7,$B423&lt;'111'!$L$11),"x","")</f>
        <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
      </c>
      <c r="W423" s="85" t="str">
        <f>IF(AND('341-CT'!$H$9=H423,OR(LEFT(N423,3)=$W$7,LEFT(O423,3)=$W$7)),"x","")</f>
        <v/>
      </c>
      <c r="X423" s="85" t="str">
        <f>IF(OR(TH!N423=TH!$X$7,O423=TH!$X$7),"x","")</f>
        <v/>
      </c>
      <c r="Y423" s="85" t="str">
        <f>IF(AND(OR(N423="131",O423="131"),H423='131-CT'!$H$9),"x","")</f>
        <v/>
      </c>
      <c r="Z423" s="85"/>
      <c r="AA423" s="85" t="str">
        <f>IF(AND(MONTH(E423)='IN-NX'!$J$5,'IN-NX'!$D$7=D423),"x","")</f>
        <v/>
      </c>
      <c r="AB423" s="85" t="str">
        <f>IF(AND(OR(LEFT(TH!N423,2)="15",LEFT(TH!O423,2)="15"),'152-CT'!$J$8=TH!F423),"x","")</f>
        <v/>
      </c>
      <c r="AC423" s="85" t="str">
        <f>IF(AND(OR(LEFT(TH!N423,2)="15",LEFT(TH!O423,2)="15"),TK!$E$7=TH!F423),"x","")</f>
        <v/>
      </c>
      <c r="AD423" s="85" t="str">
        <f>IF(AND(N423="1521",MONTH(C423)='BK-NL'!$M$11),"x","")</f>
        <v/>
      </c>
    </row>
    <row r="424" spans="1:31" ht="15.75" customHeight="1">
      <c r="A424" s="343" t="str">
        <f>IF(B424&lt;&gt;"",IF(AND(B424='IN-TC'!$S$4,OR(TH!N424="1111",TH!O424="1111")),TH!D424,""),"")</f>
        <v/>
      </c>
      <c r="B424" s="63">
        <f t="shared" si="55"/>
        <v>2</v>
      </c>
      <c r="C424" s="64">
        <v>42418</v>
      </c>
      <c r="D424" s="64" t="s">
        <v>706</v>
      </c>
      <c r="E424" s="64">
        <v>42418</v>
      </c>
      <c r="F424" s="67" t="s">
        <v>1064</v>
      </c>
      <c r="G424" s="67" t="s">
        <v>930</v>
      </c>
      <c r="H424" s="74" t="s">
        <v>601</v>
      </c>
      <c r="I424" s="447"/>
      <c r="J424" s="447"/>
      <c r="K424" s="438">
        <v>1750.86</v>
      </c>
      <c r="L424" s="447">
        <v>22370</v>
      </c>
      <c r="M424" s="65">
        <f>ROUND(K424*L424,0)</f>
        <v>39166738</v>
      </c>
      <c r="N424" s="66" t="s">
        <v>267</v>
      </c>
      <c r="O424" s="66" t="s">
        <v>591</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
      </c>
      <c r="W424" s="85" t="str">
        <f>IF(AND('341-CT'!$H$9=H424,OR(LEFT(N424,3)=$W$7,LEFT(O424,3)=$W$7)),"x","")</f>
        <v/>
      </c>
      <c r="X424" s="85" t="str">
        <f>IF(OR(TH!N424=TH!$X$7,O424=TH!$X$7),"x","")</f>
        <v/>
      </c>
      <c r="Y424" s="85" t="str">
        <f>IF(AND(OR(N424="131",O424="131"),H424='131-CT'!$H$9),"x","")</f>
        <v/>
      </c>
      <c r="Z424" s="85"/>
      <c r="AA424" s="85" t="str">
        <f>IF(AND(MONTH(E424)='IN-NX'!$J$5,'IN-NX'!$D$7=D424),"x","")</f>
        <v/>
      </c>
      <c r="AB424" s="85" t="str">
        <f>IF(AND(OR(LEFT(TH!N424,2)="15",LEFT(TH!O424,2)="15"),'152-CT'!$J$8=TH!F424),"x","")</f>
        <v/>
      </c>
      <c r="AC424" s="85" t="str">
        <f>IF(AND(OR(LEFT(TH!N424,2)="15",LEFT(TH!O424,2)="15"),TK!$E$7=TH!F424),"x","")</f>
        <v/>
      </c>
      <c r="AD424" s="85" t="str">
        <f>IF(AND(N424="1521",MONTH(C424)='BK-NL'!$M$11),"x","")</f>
        <v/>
      </c>
    </row>
    <row r="425" spans="1:31" ht="15.75" customHeight="1">
      <c r="A425" s="343" t="str">
        <f>IF(B425&lt;&gt;"",IF(AND(B425='IN-TC'!$S$4,OR(TH!N425="1111",TH!O425="1111")),TH!D425,""),"")</f>
        <v/>
      </c>
      <c r="B425" s="63">
        <f t="shared" si="55"/>
        <v>2</v>
      </c>
      <c r="C425" s="64">
        <f>E425</f>
        <v>42418</v>
      </c>
      <c r="D425" s="64" t="s">
        <v>585</v>
      </c>
      <c r="E425" s="64">
        <v>42418</v>
      </c>
      <c r="F425" s="67" t="s">
        <v>1076</v>
      </c>
      <c r="G425" s="67" t="s">
        <v>930</v>
      </c>
      <c r="H425" s="74" t="s">
        <v>601</v>
      </c>
      <c r="I425" s="447"/>
      <c r="J425" s="447"/>
      <c r="K425" s="438">
        <v>59.4</v>
      </c>
      <c r="L425" s="447">
        <v>22370</v>
      </c>
      <c r="M425" s="65">
        <f>ROUND(K425*L425,0)</f>
        <v>1328778</v>
      </c>
      <c r="N425" s="66" t="s">
        <v>101</v>
      </c>
      <c r="O425" s="66" t="s">
        <v>591</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
      </c>
      <c r="W425" s="85" t="str">
        <f>IF(AND('341-CT'!$H$9=H425,OR(LEFT(N425,3)=$W$7,LEFT(O425,3)=$W$7)),"x","")</f>
        <v/>
      </c>
      <c r="X425" s="85" t="str">
        <f>IF(OR(TH!N425=TH!$X$7,O425=TH!$X$7),"x","")</f>
        <v/>
      </c>
      <c r="Y425" s="85" t="str">
        <f>IF(AND(OR(N425="131",O425="131"),H425='131-CT'!$H$9),"x","")</f>
        <v/>
      </c>
      <c r="Z425" s="85"/>
      <c r="AA425" s="85" t="str">
        <f>IF(AND(MONTH(E425)='IN-NX'!$J$5,'IN-NX'!$D$7=D425),"x","")</f>
        <v/>
      </c>
      <c r="AB425" s="85" t="str">
        <f>IF(AND(OR(LEFT(TH!N425,2)="15",LEFT(TH!O425,2)="15"),'152-CT'!$J$8=TH!F425),"x","")</f>
        <v/>
      </c>
      <c r="AC425" s="85" t="str">
        <f>IF(AND(OR(LEFT(TH!N425,2)="15",LEFT(TH!O425,2)="15"),TK!$E$7=TH!F425),"x","")</f>
        <v/>
      </c>
      <c r="AD425" s="85" t="str">
        <f>IF(AND(N425="1521",MONTH(C425)='BK-NL'!$M$11),"x","")</f>
        <v/>
      </c>
    </row>
    <row r="426" spans="1:31" ht="15.75" customHeight="1">
      <c r="A426" s="343" t="str">
        <f>IF(B426&lt;&gt;"",IF(AND(B426='IN-TC'!$S$4,OR(TH!N426="1111",TH!O426="1111")),TH!D426,""),"")</f>
        <v/>
      </c>
      <c r="B426" s="63">
        <f t="shared" si="55"/>
        <v>2</v>
      </c>
      <c r="C426" s="64">
        <f>E426</f>
        <v>42418</v>
      </c>
      <c r="D426" s="64" t="s">
        <v>585</v>
      </c>
      <c r="E426" s="64">
        <v>42418</v>
      </c>
      <c r="F426" s="67" t="s">
        <v>1077</v>
      </c>
      <c r="G426" s="67" t="s">
        <v>930</v>
      </c>
      <c r="H426" s="74" t="s">
        <v>601</v>
      </c>
      <c r="I426" s="447"/>
      <c r="J426" s="447"/>
      <c r="K426" s="438">
        <v>5.94</v>
      </c>
      <c r="L426" s="447">
        <v>22370</v>
      </c>
      <c r="M426" s="65">
        <f>ROUND(K426*L426,0)</f>
        <v>132878</v>
      </c>
      <c r="N426" s="66" t="s">
        <v>9</v>
      </c>
      <c r="O426" s="66" t="s">
        <v>591</v>
      </c>
      <c r="P426" s="85" t="str">
        <f>IF(AND('331-CT'!$E$7=TH!H426,OR(N426="331",O426="331")),"x","")</f>
        <v/>
      </c>
      <c r="Q426" s="85" t="str">
        <f>IF(AND(B426='111'!$L$11,OR($N426=$Q$7,$O426=$Q$7)),"x","")</f>
        <v/>
      </c>
      <c r="R426" s="85" t="str">
        <f>IF(AND($N426=$Q$7,$B426&lt;'111'!$L$11),"x","")</f>
        <v/>
      </c>
      <c r="S426" s="85" t="str">
        <f>IF(AND($O426=$Q$7,$B426&lt;'111'!$L$11),"x","")</f>
        <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
      </c>
      <c r="W426" s="85" t="str">
        <f>IF(AND('341-CT'!$H$9=H426,OR(LEFT(N426,3)=$W$7,LEFT(O426,3)=$W$7)),"x","")</f>
        <v/>
      </c>
      <c r="X426" s="85" t="str">
        <f>IF(OR(TH!N426=TH!$X$7,O426=TH!$X$7),"x","")</f>
        <v/>
      </c>
      <c r="Y426" s="85" t="str">
        <f>IF(AND(OR(N426="131",O426="131"),H426='131-CT'!$H$9),"x","")</f>
        <v/>
      </c>
      <c r="Z426" s="85"/>
      <c r="AA426" s="85" t="str">
        <f>IF(AND(MONTH(E426)='IN-NX'!$J$5,'IN-NX'!$D$7=D426),"x","")</f>
        <v/>
      </c>
      <c r="AB426" s="85" t="str">
        <f>IF(AND(OR(LEFT(TH!N426,2)="15",LEFT(TH!O426,2)="15"),'152-CT'!$J$8=TH!F426),"x","")</f>
        <v/>
      </c>
      <c r="AC426" s="85" t="str">
        <f>IF(AND(OR(LEFT(TH!N426,2)="15",LEFT(TH!O426,2)="15"),TK!$E$7=TH!F426),"x","")</f>
        <v/>
      </c>
      <c r="AD426" s="85" t="str">
        <f>IF(AND(N426="1521",MONTH(C426)='BK-NL'!$M$11),"x","")</f>
        <v/>
      </c>
    </row>
    <row r="427" spans="1:31" ht="15.75" customHeight="1">
      <c r="A427" s="343" t="str">
        <f>IF(B427&lt;&gt;"",IF(AND(B427='IN-TC'!$S$4,OR(TH!N427="1111",TH!O427="1111")),TH!D427,""),"")</f>
        <v/>
      </c>
      <c r="B427" s="63">
        <f t="shared" si="55"/>
        <v>2</v>
      </c>
      <c r="C427" s="64">
        <f>E427</f>
        <v>42418</v>
      </c>
      <c r="D427" s="64" t="s">
        <v>585</v>
      </c>
      <c r="E427" s="64">
        <v>42418</v>
      </c>
      <c r="F427" s="67" t="s">
        <v>1078</v>
      </c>
      <c r="G427" s="67" t="s">
        <v>930</v>
      </c>
      <c r="H427" s="74" t="s">
        <v>601</v>
      </c>
      <c r="I427" s="447"/>
      <c r="J427" s="447"/>
      <c r="K427" s="438">
        <v>96.8</v>
      </c>
      <c r="L427" s="447">
        <v>22370</v>
      </c>
      <c r="M427" s="65">
        <f>ROUND(K427*L427,0)</f>
        <v>2165416</v>
      </c>
      <c r="N427" s="66" t="s">
        <v>99</v>
      </c>
      <c r="O427" s="66" t="s">
        <v>591</v>
      </c>
      <c r="P427" s="85" t="str">
        <f>IF(AND('331-CT'!$E$7=TH!H427,OR(N427="331",O427="331")),"x","")</f>
        <v/>
      </c>
      <c r="Q427" s="85" t="str">
        <f>IF(AND(B427='111'!$L$11,OR($N427=$Q$7,$O427=$Q$7)),"x","")</f>
        <v/>
      </c>
      <c r="R427" s="85" t="str">
        <f>IF(AND($N427=$Q$7,$B427&lt;'111'!$L$11),"x","")</f>
        <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
      </c>
      <c r="W427" s="85" t="str">
        <f>IF(AND('341-CT'!$H$9=H427,OR(LEFT(N427,3)=$W$7,LEFT(O427,3)=$W$7)),"x","")</f>
        <v/>
      </c>
      <c r="X427" s="85" t="str">
        <f>IF(OR(TH!N427=TH!$X$7,O427=TH!$X$7),"x","")</f>
        <v/>
      </c>
      <c r="Y427" s="85" t="str">
        <f>IF(AND(OR(N427="131",O427="131"),H427='131-CT'!$H$9),"x","")</f>
        <v/>
      </c>
      <c r="Z427" s="85"/>
      <c r="AA427" s="85" t="str">
        <f>IF(AND(MONTH(E427)='IN-NX'!$J$5,'IN-NX'!$D$7=D427),"x","")</f>
        <v/>
      </c>
      <c r="AB427" s="85" t="str">
        <f>IF(AND(OR(LEFT(TH!N427,2)="15",LEFT(TH!O427,2)="15"),'152-CT'!$J$8=TH!F427),"x","")</f>
        <v/>
      </c>
      <c r="AC427" s="85" t="str">
        <f>IF(AND(OR(LEFT(TH!N427,2)="15",LEFT(TH!O427,2)="15"),TK!$E$7=TH!F427),"x","")</f>
        <v/>
      </c>
      <c r="AD427" s="85" t="str">
        <f>IF(AND(N427="1521",MONTH(C427)='BK-NL'!$M$11),"x","")</f>
        <v/>
      </c>
    </row>
    <row r="428" spans="1:31" s="354" customFormat="1" ht="15.75" customHeight="1">
      <c r="A428" s="343" t="str">
        <f>IF(B428&lt;&gt;"",IF(AND(B428='IN-TC'!$S$4,OR(TH!N428="1111",TH!O428="1111")),TH!D428,""),"")</f>
        <v/>
      </c>
      <c r="B428" s="63">
        <f t="shared" si="55"/>
        <v>2</v>
      </c>
      <c r="C428" s="64">
        <f>E428</f>
        <v>42418</v>
      </c>
      <c r="D428" s="64" t="s">
        <v>585</v>
      </c>
      <c r="E428" s="64">
        <v>42418</v>
      </c>
      <c r="F428" s="67" t="s">
        <v>1105</v>
      </c>
      <c r="G428" s="67" t="s">
        <v>930</v>
      </c>
      <c r="H428" s="74" t="s">
        <v>601</v>
      </c>
      <c r="I428" s="447"/>
      <c r="J428" s="447"/>
      <c r="K428" s="438">
        <v>247</v>
      </c>
      <c r="L428" s="447">
        <v>22370</v>
      </c>
      <c r="M428" s="65">
        <f>ROUND(K428*L428,0)</f>
        <v>5525390</v>
      </c>
      <c r="N428" s="66" t="s">
        <v>101</v>
      </c>
      <c r="O428" s="66" t="s">
        <v>591</v>
      </c>
      <c r="P428" s="85" t="str">
        <f>IF(AND('331-CT'!$E$7=TH!H428,OR(N428="331",O428="331")),"x","")</f>
        <v/>
      </c>
      <c r="Q428" s="85" t="str">
        <f>IF(AND(B428='111'!$L$11,OR($N428=$Q$7,$O428=$Q$7)),"x","")</f>
        <v/>
      </c>
      <c r="R428" s="85" t="str">
        <f>IF(AND($N428=$Q$7,$B428&lt;'111'!$L$11),"x","")</f>
        <v/>
      </c>
      <c r="S428" s="85" t="str">
        <f>IF(AND($O428=$Q$7,$B428&lt;'111'!$L$11),"x","")</f>
        <v/>
      </c>
      <c r="T428" s="85" t="str">
        <f>IF(ISERROR(FIND('112'!$M$9,G428,1)),"",IF((AND(FIND('112'!$M$9,G428,1)&gt;=1,B428='112'!$K$9,OR($N428='112'!$I$6,$O428='112'!$I$6))),"x",""))</f>
        <v/>
      </c>
      <c r="U428" s="85" t="str">
        <f>IF(ISERROR(FIND('112'!$M$9,G428,1)),"",IF((AND(LEFT(G428,2)=LEFT('112'!$M$9,2),B428&lt;'112'!$K$9,$N428='112'!$I$6)),"x",""))</f>
        <v/>
      </c>
      <c r="V428" s="85" t="str">
        <f>IF(ISERROR(FIND('112'!$M$9,G428,1)),"",IF((AND(RIGHT(G428,2)=RIGHT('112'!$M$9,2),B428&lt;'112'!$K$9,$O428='112'!$I$6)),"x",""))</f>
        <v/>
      </c>
      <c r="W428" s="85" t="str">
        <f>IF(AND('341-CT'!$H$9=H428,OR(LEFT(N428,3)=$W$7,LEFT(O428,3)=$W$7)),"x","")</f>
        <v/>
      </c>
      <c r="X428" s="85" t="str">
        <f>IF(OR(TH!N428=TH!$X$7,O428=TH!$X$7),"x","")</f>
        <v/>
      </c>
      <c r="Y428" s="85" t="str">
        <f>IF(AND(OR(N428="131",O428="131"),H428='131-CT'!$H$9),"x","")</f>
        <v/>
      </c>
      <c r="Z428" s="85"/>
      <c r="AA428" s="85" t="str">
        <f>IF(AND(MONTH(E428)='IN-NX'!$J$5,'IN-NX'!$D$7=D428),"x","")</f>
        <v/>
      </c>
      <c r="AB428" s="85" t="str">
        <f>IF(AND(OR(LEFT(TH!N428,2)="15",LEFT(TH!O428,2)="15"),'152-CT'!$J$8=TH!F428),"x","")</f>
        <v/>
      </c>
      <c r="AC428" s="85" t="str">
        <f>IF(AND(OR(LEFT(TH!N428,2)="15",LEFT(TH!O428,2)="15"),TK!$E$7=TH!F428),"x","")</f>
        <v/>
      </c>
      <c r="AD428" s="85" t="str">
        <f>IF(AND(N428="1521",MONTH(C428)='BK-NL'!$M$11),"x","")</f>
        <v/>
      </c>
      <c r="AE428" s="333"/>
    </row>
    <row r="429" spans="1:31" ht="15.75" customHeight="1">
      <c r="A429" s="343" t="str">
        <f>IF(B429&lt;&gt;"",IF(AND(B429='IN-TC'!$S$4,OR(TH!N429="1111",TH!O429="1111")),TH!D429,""),"")</f>
        <v/>
      </c>
      <c r="B429" s="63">
        <f t="shared" si="55"/>
        <v>2</v>
      </c>
      <c r="C429" s="64">
        <f>E429</f>
        <v>42418</v>
      </c>
      <c r="D429" s="64" t="s">
        <v>585</v>
      </c>
      <c r="E429" s="64">
        <v>42418</v>
      </c>
      <c r="F429" s="67" t="s">
        <v>1080</v>
      </c>
      <c r="G429" s="67"/>
      <c r="H429" s="74" t="s">
        <v>601</v>
      </c>
      <c r="I429" s="447"/>
      <c r="J429" s="447"/>
      <c r="K429" s="438"/>
      <c r="L429" s="447"/>
      <c r="M429" s="65">
        <v>2167200</v>
      </c>
      <c r="N429" s="66" t="s">
        <v>99</v>
      </c>
      <c r="O429" s="66" t="s">
        <v>591</v>
      </c>
      <c r="P429" s="85" t="str">
        <f>IF(AND('331-CT'!$E$7=TH!H429,OR(N429="331",O429="331")),"x","")</f>
        <v/>
      </c>
      <c r="Q429" s="85" t="str">
        <f>IF(AND(B429='111'!$L$11,OR($N429=$Q$7,$O429=$Q$7)),"x","")</f>
        <v/>
      </c>
      <c r="R429" s="85" t="str">
        <f>IF(AND($N429=$Q$7,$B429&lt;'111'!$L$11),"x","")</f>
        <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
      </c>
      <c r="W429" s="85" t="str">
        <f>IF(AND('341-CT'!$H$9=H429,OR(LEFT(N429,3)=$W$7,LEFT(O429,3)=$W$7)),"x","")</f>
        <v/>
      </c>
      <c r="X429" s="85" t="str">
        <f>IF(OR(TH!N429=TH!$X$7,O429=TH!$X$7),"x","")</f>
        <v/>
      </c>
      <c r="Y429" s="85" t="str">
        <f>IF(AND(OR(N429="131",O429="131"),H429='131-CT'!$H$9),"x","")</f>
        <v/>
      </c>
      <c r="Z429" s="85"/>
      <c r="AA429" s="85" t="str">
        <f>IF(AND(MONTH(E429)='IN-NX'!$J$5,'IN-NX'!$D$7=D429),"x","")</f>
        <v/>
      </c>
      <c r="AB429" s="85" t="str">
        <f>IF(AND(OR(LEFT(TH!N429,2)="15",LEFT(TH!O429,2)="15"),'152-CT'!$J$8=TH!F429),"x","")</f>
        <v/>
      </c>
      <c r="AC429" s="85" t="str">
        <f>IF(AND(OR(LEFT(TH!N429,2)="15",LEFT(TH!O429,2)="15"),TK!$E$7=TH!F429),"x","")</f>
        <v/>
      </c>
      <c r="AD429" s="85" t="str">
        <f>IF(AND(N429="1521",MONTH(C429)='BK-NL'!$M$11),"x","")</f>
        <v/>
      </c>
    </row>
    <row r="430" spans="1:31" ht="15.75" customHeight="1">
      <c r="A430" s="343" t="str">
        <f>IF(B430&lt;&gt;"",IF(AND(B430='IN-TC'!$S$4,OR(TH!N430="1111",TH!O430="1111")),TH!D430,""),"")</f>
        <v/>
      </c>
      <c r="B430" s="63">
        <f t="shared" si="55"/>
        <v>2</v>
      </c>
      <c r="C430" s="64">
        <v>42418</v>
      </c>
      <c r="D430" s="64" t="s">
        <v>709</v>
      </c>
      <c r="E430" s="64">
        <v>42418</v>
      </c>
      <c r="F430" s="67" t="s">
        <v>1066</v>
      </c>
      <c r="G430" s="67" t="s">
        <v>930</v>
      </c>
      <c r="H430" s="74" t="s">
        <v>731</v>
      </c>
      <c r="I430" s="447"/>
      <c r="J430" s="447"/>
      <c r="K430" s="438">
        <v>282.44</v>
      </c>
      <c r="L430" s="447">
        <v>22370</v>
      </c>
      <c r="M430" s="65">
        <f t="shared" ref="M430:M437" si="57">ROUND(K430*L430,0)</f>
        <v>6318183</v>
      </c>
      <c r="N430" s="66" t="s">
        <v>99</v>
      </c>
      <c r="O430" s="66" t="s">
        <v>267</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
      </c>
      <c r="W430" s="85" t="str">
        <f>IF(AND('341-CT'!$H$9=H430,OR(LEFT(N430,3)=$W$7,LEFT(O430,3)=$W$7)),"x","")</f>
        <v/>
      </c>
      <c r="X430" s="85" t="str">
        <f>IF(OR(TH!N430=TH!$X$7,O430=TH!$X$7),"x","")</f>
        <v/>
      </c>
      <c r="Y430" s="85" t="str">
        <f>IF(AND(OR(N430="131",O430="131"),H430='131-CT'!$H$9),"x","")</f>
        <v/>
      </c>
      <c r="Z430" s="85"/>
      <c r="AA430" s="85" t="str">
        <f>IF(AND(MONTH(E430)='IN-NX'!$J$5,'IN-NX'!$D$7=D430),"x","")</f>
        <v/>
      </c>
      <c r="AB430" s="85" t="str">
        <f>IF(AND(OR(LEFT(TH!N430,2)="15",LEFT(TH!O430,2)="15"),'152-CT'!$J$8=TH!F430),"x","")</f>
        <v/>
      </c>
      <c r="AC430" s="85" t="str">
        <f>IF(AND(OR(LEFT(TH!N430,2)="15",LEFT(TH!O430,2)="15"),TK!$E$7=TH!F430),"x","")</f>
        <v/>
      </c>
      <c r="AD430" s="85" t="str">
        <f>IF(AND(N430="1521",MONTH(C430)='BK-NL'!$M$11),"x","")</f>
        <v/>
      </c>
      <c r="AE430" s="354"/>
    </row>
    <row r="431" spans="1:31" ht="15.75" customHeight="1">
      <c r="A431" s="343" t="str">
        <f>IF(B431&lt;&gt;"",IF(AND(B431='IN-TC'!$S$4,OR(TH!N431="1111",TH!O431="1111")),TH!D431,""),"")</f>
        <v/>
      </c>
      <c r="B431" s="63">
        <f t="shared" si="55"/>
        <v>2</v>
      </c>
      <c r="C431" s="64">
        <v>42418</v>
      </c>
      <c r="D431" s="64" t="s">
        <v>709</v>
      </c>
      <c r="E431" s="64">
        <v>42418</v>
      </c>
      <c r="F431" s="67" t="s">
        <v>1067</v>
      </c>
      <c r="G431" s="67" t="s">
        <v>930</v>
      </c>
      <c r="H431" s="74" t="s">
        <v>732</v>
      </c>
      <c r="I431" s="447"/>
      <c r="J431" s="447"/>
      <c r="K431" s="438">
        <v>137.78</v>
      </c>
      <c r="L431" s="447">
        <v>22370</v>
      </c>
      <c r="M431" s="65">
        <f t="shared" si="57"/>
        <v>3082139</v>
      </c>
      <c r="N431" s="66" t="s">
        <v>99</v>
      </c>
      <c r="O431" s="66" t="s">
        <v>267</v>
      </c>
      <c r="P431" s="85" t="str">
        <f>IF(AND('331-CT'!$E$7=TH!H431,OR(N431="331",O431="331")),"x","")</f>
        <v/>
      </c>
      <c r="Q431" s="85" t="str">
        <f>IF(AND(B431='111'!$L$11,OR($N431=$Q$7,$O431=$Q$7)),"x","")</f>
        <v/>
      </c>
      <c r="R431" s="85" t="str">
        <f>IF(AND($N431=$Q$7,$B431&lt;'111'!$L$11),"x","")</f>
        <v/>
      </c>
      <c r="S431" s="85" t="str">
        <f>IF(AND($O431=$Q$7,$B431&lt;'111'!$L$11),"x","")</f>
        <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
      </c>
      <c r="W431" s="85" t="str">
        <f>IF(AND('341-CT'!$H$9=H431,OR(LEFT(N431,3)=$W$7,LEFT(O431,3)=$W$7)),"x","")</f>
        <v/>
      </c>
      <c r="X431" s="85" t="str">
        <f>IF(OR(TH!N431=TH!$X$7,O431=TH!$X$7),"x","")</f>
        <v/>
      </c>
      <c r="Y431" s="85" t="str">
        <f>IF(AND(OR(N431="131",O431="131"),H431='131-CT'!$H$9),"x","")</f>
        <v/>
      </c>
      <c r="Z431" s="85"/>
      <c r="AA431" s="85" t="str">
        <f>IF(AND(MONTH(E431)='IN-NX'!$J$5,'IN-NX'!$D$7=D431),"x","")</f>
        <v/>
      </c>
      <c r="AB431" s="85" t="str">
        <f>IF(AND(OR(LEFT(TH!N431,2)="15",LEFT(TH!O431,2)="15"),'152-CT'!$J$8=TH!F431),"x","")</f>
        <v/>
      </c>
      <c r="AC431" s="85" t="str">
        <f>IF(AND(OR(LEFT(TH!N431,2)="15",LEFT(TH!O431,2)="15"),TK!$E$7=TH!F431),"x","")</f>
        <v/>
      </c>
      <c r="AD431" s="85" t="str">
        <f>IF(AND(N431="1521",MONTH(C431)='BK-NL'!$M$11),"x","")</f>
        <v/>
      </c>
    </row>
    <row r="432" spans="1:31" ht="15.75" customHeight="1">
      <c r="A432" s="343" t="str">
        <f>IF(B432&lt;&gt;"",IF(AND(B432='IN-TC'!$S$4,OR(TH!N432="1111",TH!O432="1111")),TH!D432,""),"")</f>
        <v/>
      </c>
      <c r="B432" s="63">
        <f t="shared" si="55"/>
        <v>2</v>
      </c>
      <c r="C432" s="64">
        <v>42418</v>
      </c>
      <c r="D432" s="64" t="s">
        <v>709</v>
      </c>
      <c r="E432" s="64">
        <v>42418</v>
      </c>
      <c r="F432" s="67" t="s">
        <v>1068</v>
      </c>
      <c r="G432" s="67" t="s">
        <v>930</v>
      </c>
      <c r="H432" s="74" t="s">
        <v>733</v>
      </c>
      <c r="I432" s="447"/>
      <c r="J432" s="447"/>
      <c r="K432" s="438">
        <v>172.22</v>
      </c>
      <c r="L432" s="447">
        <v>22370</v>
      </c>
      <c r="M432" s="65">
        <f t="shared" si="57"/>
        <v>3852561</v>
      </c>
      <c r="N432" s="66" t="s">
        <v>99</v>
      </c>
      <c r="O432" s="66" t="s">
        <v>267</v>
      </c>
      <c r="P432" s="85" t="str">
        <f>IF(AND('331-CT'!$E$7=TH!H432,OR(N432="331",O432="331")),"x","")</f>
        <v/>
      </c>
      <c r="Q432" s="85" t="str">
        <f>IF(AND(B432='111'!$L$11,OR($N432=$Q$7,$O432=$Q$7)),"x","")</f>
        <v/>
      </c>
      <c r="R432" s="85" t="str">
        <f>IF(AND($N432=$Q$7,$B432&lt;'111'!$L$11),"x","")</f>
        <v/>
      </c>
      <c r="S432" s="85" t="str">
        <f>IF(AND($O432=$Q$7,$B432&lt;'111'!$L$11),"x","")</f>
        <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
      </c>
      <c r="W432" s="85" t="str">
        <f>IF(AND('341-CT'!$H$9=H432,OR(LEFT(N432,3)=$W$7,LEFT(O432,3)=$W$7)),"x","")</f>
        <v/>
      </c>
      <c r="X432" s="85" t="str">
        <f>IF(OR(TH!N432=TH!$X$7,O432=TH!$X$7),"x","")</f>
        <v/>
      </c>
      <c r="Y432" s="85" t="str">
        <f>IF(AND(OR(N432="131",O432="131"),H432='131-CT'!$H$9),"x","")</f>
        <v/>
      </c>
      <c r="Z432" s="85"/>
      <c r="AA432" s="85" t="str">
        <f>IF(AND(MONTH(E432)='IN-NX'!$J$5,'IN-NX'!$D$7=D432),"x","")</f>
        <v/>
      </c>
      <c r="AB432" s="85" t="str">
        <f>IF(AND(OR(LEFT(TH!N432,2)="15",LEFT(TH!O432,2)="15"),'152-CT'!$J$8=TH!F432),"x","")</f>
        <v/>
      </c>
      <c r="AC432" s="85" t="str">
        <f>IF(AND(OR(LEFT(TH!N432,2)="15",LEFT(TH!O432,2)="15"),TK!$E$7=TH!F432),"x","")</f>
        <v/>
      </c>
      <c r="AD432" s="85" t="str">
        <f>IF(AND(N432="1521",MONTH(C432)='BK-NL'!$M$11),"x","")</f>
        <v/>
      </c>
    </row>
    <row r="433" spans="1:31" ht="15.75" customHeight="1">
      <c r="A433" s="343" t="str">
        <f>IF(B433&lt;&gt;"",IF(AND(B433='IN-TC'!$S$4,OR(TH!N433="1111",TH!O433="1111")),TH!D433,""),"")</f>
        <v/>
      </c>
      <c r="B433" s="63">
        <f t="shared" si="55"/>
        <v>2</v>
      </c>
      <c r="C433" s="64">
        <v>42418</v>
      </c>
      <c r="D433" s="64" t="s">
        <v>709</v>
      </c>
      <c r="E433" s="64">
        <v>42418</v>
      </c>
      <c r="F433" s="67" t="s">
        <v>1069</v>
      </c>
      <c r="G433" s="67" t="s">
        <v>930</v>
      </c>
      <c r="H433" s="74" t="s">
        <v>734</v>
      </c>
      <c r="I433" s="447"/>
      <c r="J433" s="447"/>
      <c r="K433" s="438">
        <v>308.27999999999997</v>
      </c>
      <c r="L433" s="447">
        <v>22370</v>
      </c>
      <c r="M433" s="65">
        <f t="shared" si="57"/>
        <v>6896224</v>
      </c>
      <c r="N433" s="66" t="s">
        <v>99</v>
      </c>
      <c r="O433" s="66" t="s">
        <v>267</v>
      </c>
      <c r="P433" s="85" t="str">
        <f>IF(AND('331-CT'!$E$7=TH!H433,OR(N433="331",O433="331")),"x","")</f>
        <v/>
      </c>
      <c r="Q433" s="85" t="str">
        <f>IF(AND(B433='111'!$L$11,OR($N433=$Q$7,$O433=$Q$7)),"x","")</f>
        <v/>
      </c>
      <c r="R433" s="85" t="str">
        <f>IF(AND($N433=$Q$7,$B433&lt;'111'!$L$11),"x","")</f>
        <v/>
      </c>
      <c r="S433" s="85" t="str">
        <f>IF(AND($O433=$Q$7,$B433&lt;'111'!$L$11),"x","")</f>
        <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
      </c>
      <c r="W433" s="85" t="str">
        <f>IF(AND('341-CT'!$H$9=H433,OR(LEFT(N433,3)=$W$7,LEFT(O433,3)=$W$7)),"x","")</f>
        <v/>
      </c>
      <c r="X433" s="85" t="str">
        <f>IF(OR(TH!N433=TH!$X$7,O433=TH!$X$7),"x","")</f>
        <v/>
      </c>
      <c r="Y433" s="85" t="str">
        <f>IF(AND(OR(N433="131",O433="131"),H433='131-CT'!$H$9),"x","")</f>
        <v/>
      </c>
      <c r="Z433" s="85"/>
      <c r="AA433" s="85" t="str">
        <f>IF(AND(MONTH(E433)='IN-NX'!$J$5,'IN-NX'!$D$7=D433),"x","")</f>
        <v/>
      </c>
      <c r="AB433" s="85" t="str">
        <f>IF(AND(OR(LEFT(TH!N433,2)="15",LEFT(TH!O433,2)="15"),'152-CT'!$J$8=TH!F433),"x","")</f>
        <v/>
      </c>
      <c r="AC433" s="85" t="str">
        <f>IF(AND(OR(LEFT(TH!N433,2)="15",LEFT(TH!O433,2)="15"),TK!$E$7=TH!F433),"x","")</f>
        <v/>
      </c>
      <c r="AD433" s="85" t="str">
        <f>IF(AND(N433="1521",MONTH(C433)='BK-NL'!$M$11),"x","")</f>
        <v/>
      </c>
    </row>
    <row r="434" spans="1:31" ht="15.75" customHeight="1">
      <c r="A434" s="343" t="str">
        <f>IF(B434&lt;&gt;"",IF(AND(B434='IN-TC'!$S$4,OR(TH!N434="1111",TH!O434="1111")),TH!D434,""),"")</f>
        <v/>
      </c>
      <c r="B434" s="63">
        <f t="shared" si="55"/>
        <v>2</v>
      </c>
      <c r="C434" s="64">
        <v>42418</v>
      </c>
      <c r="D434" s="64" t="s">
        <v>709</v>
      </c>
      <c r="E434" s="64">
        <v>42418</v>
      </c>
      <c r="F434" s="67" t="s">
        <v>1070</v>
      </c>
      <c r="G434" s="67" t="s">
        <v>930</v>
      </c>
      <c r="H434" s="74" t="s">
        <v>735</v>
      </c>
      <c r="I434" s="447"/>
      <c r="J434" s="447"/>
      <c r="K434" s="438">
        <v>306.56</v>
      </c>
      <c r="L434" s="447">
        <v>22370</v>
      </c>
      <c r="M434" s="65">
        <f t="shared" si="57"/>
        <v>6857747</v>
      </c>
      <c r="N434" s="66" t="s">
        <v>99</v>
      </c>
      <c r="O434" s="66" t="s">
        <v>267</v>
      </c>
      <c r="P434" s="85" t="str">
        <f>IF(AND('331-CT'!$E$7=TH!H434,OR(N434="331",O434="331")),"x","")</f>
        <v/>
      </c>
      <c r="Q434" s="85" t="str">
        <f>IF(AND(B434='111'!$L$11,OR($N434=$Q$7,$O434=$Q$7)),"x","")</f>
        <v/>
      </c>
      <c r="R434" s="85" t="str">
        <f>IF(AND($N434=$Q$7,$B434&lt;'111'!$L$11),"x","")</f>
        <v/>
      </c>
      <c r="S434" s="85" t="str">
        <f>IF(AND($O434=$Q$7,$B434&lt;'111'!$L$11),"x","")</f>
        <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
      </c>
      <c r="W434" s="85" t="str">
        <f>IF(AND('341-CT'!$H$9=H434,OR(LEFT(N434,3)=$W$7,LEFT(O434,3)=$W$7)),"x","")</f>
        <v/>
      </c>
      <c r="X434" s="85" t="str">
        <f>IF(OR(TH!N434=TH!$X$7,O434=TH!$X$7),"x","")</f>
        <v/>
      </c>
      <c r="Y434" s="85" t="str">
        <f>IF(AND(OR(N434="131",O434="131"),H434='131-CT'!$H$9),"x","")</f>
        <v/>
      </c>
      <c r="Z434" s="85"/>
      <c r="AA434" s="85" t="str">
        <f>IF(AND(MONTH(E434)='IN-NX'!$J$5,'IN-NX'!$D$7=D434),"x","")</f>
        <v/>
      </c>
      <c r="AB434" s="85" t="str">
        <f>IF(AND(OR(LEFT(TH!N434,2)="15",LEFT(TH!O434,2)="15"),'152-CT'!$J$8=TH!F434),"x","")</f>
        <v/>
      </c>
      <c r="AC434" s="85" t="str">
        <f>IF(AND(OR(LEFT(TH!N434,2)="15",LEFT(TH!O434,2)="15"),TK!$E$7=TH!F434),"x","")</f>
        <v/>
      </c>
      <c r="AD434" s="85" t="str">
        <f>IF(AND(N434="1521",MONTH(C434)='BK-NL'!$M$11),"x","")</f>
        <v/>
      </c>
    </row>
    <row r="435" spans="1:31" ht="15.75" customHeight="1">
      <c r="A435" s="343" t="str">
        <f>IF(B435&lt;&gt;"",IF(AND(B435='IN-TC'!$S$4,OR(TH!N435="1111",TH!O435="1111")),TH!D435,""),"")</f>
        <v/>
      </c>
      <c r="B435" s="63">
        <f t="shared" si="55"/>
        <v>2</v>
      </c>
      <c r="C435" s="64">
        <v>42418</v>
      </c>
      <c r="D435" s="64" t="s">
        <v>709</v>
      </c>
      <c r="E435" s="64">
        <v>42418</v>
      </c>
      <c r="F435" s="67" t="s">
        <v>1071</v>
      </c>
      <c r="G435" s="67" t="s">
        <v>930</v>
      </c>
      <c r="H435" s="74" t="s">
        <v>742</v>
      </c>
      <c r="I435" s="447"/>
      <c r="J435" s="447"/>
      <c r="K435" s="438">
        <v>210.11</v>
      </c>
      <c r="L435" s="447">
        <v>22370</v>
      </c>
      <c r="M435" s="65">
        <f t="shared" si="57"/>
        <v>4700161</v>
      </c>
      <c r="N435" s="66" t="s">
        <v>99</v>
      </c>
      <c r="O435" s="66" t="s">
        <v>267</v>
      </c>
      <c r="P435" s="85" t="str">
        <f>IF(AND('331-CT'!$E$7=TH!H435,OR(N435="331",O435="331")),"x","")</f>
        <v/>
      </c>
      <c r="Q435" s="85" t="str">
        <f>IF(AND(B435='111'!$L$11,OR($N435=$Q$7,$O435=$Q$7)),"x","")</f>
        <v/>
      </c>
      <c r="R435" s="85" t="str">
        <f>IF(AND($N435=$Q$7,$B435&lt;'111'!$L$11),"x","")</f>
        <v/>
      </c>
      <c r="S435" s="85" t="str">
        <f>IF(AND($O435=$Q$7,$B435&lt;'111'!$L$11),"x","")</f>
        <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
      </c>
      <c r="W435" s="85" t="str">
        <f>IF(AND('341-CT'!$H$9=H435,OR(LEFT(N435,3)=$W$7,LEFT(O435,3)=$W$7)),"x","")</f>
        <v/>
      </c>
      <c r="X435" s="85" t="str">
        <f>IF(OR(TH!N435=TH!$X$7,O435=TH!$X$7),"x","")</f>
        <v/>
      </c>
      <c r="Y435" s="85" t="str">
        <f>IF(AND(OR(N435="131",O435="131"),H435='131-CT'!$H$9),"x","")</f>
        <v/>
      </c>
      <c r="Z435" s="85"/>
      <c r="AA435" s="85" t="str">
        <f>IF(AND(MONTH(E435)='IN-NX'!$J$5,'IN-NX'!$D$7=D435),"x","")</f>
        <v/>
      </c>
      <c r="AB435" s="85" t="str">
        <f>IF(AND(OR(LEFT(TH!N435,2)="15",LEFT(TH!O435,2)="15"),'152-CT'!$J$8=TH!F435),"x","")</f>
        <v/>
      </c>
      <c r="AC435" s="85" t="str">
        <f>IF(AND(OR(LEFT(TH!N435,2)="15",LEFT(TH!O435,2)="15"),TK!$E$7=TH!F435),"x","")</f>
        <v/>
      </c>
      <c r="AD435" s="85" t="str">
        <f>IF(AND(N435="1521",MONTH(C435)='BK-NL'!$M$11),"x","")</f>
        <v/>
      </c>
    </row>
    <row r="436" spans="1:31" ht="15.75" customHeight="1">
      <c r="A436" s="343" t="str">
        <f>IF(B436&lt;&gt;"",IF(AND(B436='IN-TC'!$S$4,OR(TH!N436="1111",TH!O436="1111")),TH!D436,""),"")</f>
        <v/>
      </c>
      <c r="B436" s="63">
        <f t="shared" si="55"/>
        <v>2</v>
      </c>
      <c r="C436" s="64">
        <v>42418</v>
      </c>
      <c r="D436" s="64" t="s">
        <v>709</v>
      </c>
      <c r="E436" s="64">
        <v>42418</v>
      </c>
      <c r="F436" s="67" t="s">
        <v>1072</v>
      </c>
      <c r="G436" s="67" t="s">
        <v>930</v>
      </c>
      <c r="H436" s="74" t="s">
        <v>737</v>
      </c>
      <c r="I436" s="447"/>
      <c r="J436" s="447"/>
      <c r="K436" s="438">
        <v>567.11</v>
      </c>
      <c r="L436" s="447">
        <v>22370</v>
      </c>
      <c r="M436" s="65">
        <f t="shared" si="57"/>
        <v>12686251</v>
      </c>
      <c r="N436" s="66" t="s">
        <v>99</v>
      </c>
      <c r="O436" s="66" t="s">
        <v>267</v>
      </c>
      <c r="P436" s="85" t="str">
        <f>IF(AND('331-CT'!$E$7=TH!H436,OR(N436="331",O436="331")),"x","")</f>
        <v/>
      </c>
      <c r="Q436" s="85" t="str">
        <f>IF(AND(B436='111'!$L$11,OR($N436=$Q$7,$O436=$Q$7)),"x","")</f>
        <v/>
      </c>
      <c r="R436" s="85" t="str">
        <f>IF(AND($N436=$Q$7,$B436&lt;'111'!$L$11),"x","")</f>
        <v/>
      </c>
      <c r="S436" s="85" t="str">
        <f>IF(AND($O436=$Q$7,$B436&lt;'111'!$L$11),"x","")</f>
        <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
      </c>
      <c r="W436" s="85" t="str">
        <f>IF(AND('341-CT'!$H$9=H436,OR(LEFT(N436,3)=$W$7,LEFT(O436,3)=$W$7)),"x","")</f>
        <v/>
      </c>
      <c r="X436" s="85" t="str">
        <f>IF(OR(TH!N436=TH!$X$7,O436=TH!$X$7),"x","")</f>
        <v/>
      </c>
      <c r="Y436" s="85" t="str">
        <f>IF(AND(OR(N436="131",O436="131"),H436='131-CT'!$H$9),"x","")</f>
        <v/>
      </c>
      <c r="Z436" s="85"/>
      <c r="AA436" s="85" t="str">
        <f>IF(AND(MONTH(E436)='IN-NX'!$J$5,'IN-NX'!$D$7=D436),"x","")</f>
        <v/>
      </c>
      <c r="AB436" s="85" t="str">
        <f>IF(AND(OR(LEFT(TH!N436,2)="15",LEFT(TH!O436,2)="15"),'152-CT'!$J$8=TH!F436),"x","")</f>
        <v/>
      </c>
      <c r="AC436" s="85" t="str">
        <f>IF(AND(OR(LEFT(TH!N436,2)="15",LEFT(TH!O436,2)="15"),TK!$E$7=TH!F436),"x","")</f>
        <v/>
      </c>
      <c r="AD436" s="85" t="str">
        <f>IF(AND(N436="1521",MONTH(C436)='BK-NL'!$M$11),"x","")</f>
        <v/>
      </c>
    </row>
    <row r="437" spans="1:31" ht="15.75" customHeight="1">
      <c r="A437" s="343" t="str">
        <f>IF(B437&lt;&gt;"",IF(AND(B437='IN-TC'!$S$4,OR(TH!N437="1111",TH!O437="1111")),TH!D437,""),"")</f>
        <v/>
      </c>
      <c r="B437" s="63">
        <f t="shared" si="55"/>
        <v>2</v>
      </c>
      <c r="C437" s="64">
        <v>42418</v>
      </c>
      <c r="D437" s="64" t="s">
        <v>709</v>
      </c>
      <c r="E437" s="64">
        <v>42418</v>
      </c>
      <c r="F437" s="67" t="s">
        <v>1073</v>
      </c>
      <c r="G437" s="67" t="s">
        <v>930</v>
      </c>
      <c r="H437" s="74" t="s">
        <v>736</v>
      </c>
      <c r="I437" s="447"/>
      <c r="J437" s="447"/>
      <c r="K437" s="438">
        <v>306.56</v>
      </c>
      <c r="L437" s="447">
        <v>22370</v>
      </c>
      <c r="M437" s="65">
        <f t="shared" si="57"/>
        <v>6857747</v>
      </c>
      <c r="N437" s="66" t="s">
        <v>99</v>
      </c>
      <c r="O437" s="66" t="s">
        <v>267</v>
      </c>
      <c r="P437" s="85" t="str">
        <f>IF(AND('331-CT'!$E$7=TH!H437,OR(N437="331",O437="331")),"x","")</f>
        <v/>
      </c>
      <c r="Q437" s="85" t="str">
        <f>IF(AND(B437='111'!$L$11,OR($N437=$Q$7,$O437=$Q$7)),"x","")</f>
        <v/>
      </c>
      <c r="R437" s="85" t="str">
        <f>IF(AND($N437=$Q$7,$B437&lt;'111'!$L$11),"x","")</f>
        <v/>
      </c>
      <c r="S437" s="85" t="str">
        <f>IF(AND($O437=$Q$7,$B437&lt;'111'!$L$11),"x","")</f>
        <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
      </c>
      <c r="W437" s="85" t="str">
        <f>IF(AND('341-CT'!$H$9=H437,OR(LEFT(N437,3)=$W$7,LEFT(O437,3)=$W$7)),"x","")</f>
        <v/>
      </c>
      <c r="X437" s="85" t="str">
        <f>IF(OR(TH!N437=TH!$X$7,O437=TH!$X$7),"x","")</f>
        <v/>
      </c>
      <c r="Y437" s="85" t="str">
        <f>IF(AND(OR(N437="131",O437="131"),H437='131-CT'!$H$9),"x","")</f>
        <v/>
      </c>
      <c r="Z437" s="85"/>
      <c r="AA437" s="85" t="str">
        <f>IF(AND(MONTH(E437)='IN-NX'!$J$5,'IN-NX'!$D$7=D437),"x","")</f>
        <v/>
      </c>
      <c r="AB437" s="85" t="str">
        <f>IF(AND(OR(LEFT(TH!N437,2)="15",LEFT(TH!O437,2)="15"),'152-CT'!$J$8=TH!F437),"x","")</f>
        <v/>
      </c>
      <c r="AC437" s="85" t="str">
        <f>IF(AND(OR(LEFT(TH!N437,2)="15",LEFT(TH!O437,2)="15"),TK!$E$7=TH!F437),"x","")</f>
        <v/>
      </c>
      <c r="AD437" s="85" t="str">
        <f>IF(AND(N437="1521",MONTH(C437)='BK-NL'!$M$11),"x","")</f>
        <v/>
      </c>
    </row>
    <row r="438" spans="1:31" s="355" customFormat="1" ht="15.75" customHeight="1">
      <c r="A438" s="343" t="str">
        <f>IF(B438&lt;&gt;"",IF(AND(B438='IN-TC'!$S$4,OR(TH!N438="1111",TH!O438="1111")),TH!D438,""),"")</f>
        <v>C11</v>
      </c>
      <c r="B438" s="63">
        <f t="shared" si="55"/>
        <v>2</v>
      </c>
      <c r="C438" s="64">
        <v>42419</v>
      </c>
      <c r="D438" s="64" t="s">
        <v>890</v>
      </c>
      <c r="E438" s="64">
        <v>42419</v>
      </c>
      <c r="F438" s="67" t="s">
        <v>1018</v>
      </c>
      <c r="G438" s="67" t="s">
        <v>1039</v>
      </c>
      <c r="H438" s="74" t="s">
        <v>1040</v>
      </c>
      <c r="I438" s="452"/>
      <c r="J438" s="452"/>
      <c r="K438" s="443"/>
      <c r="L438" s="452"/>
      <c r="M438" s="65">
        <v>4889537</v>
      </c>
      <c r="N438" s="66" t="s">
        <v>594</v>
      </c>
      <c r="O438" s="66" t="s">
        <v>63</v>
      </c>
      <c r="P438" s="85" t="str">
        <f>IF(AND('331-CT'!$E$7=TH!H438,OR(N438="331",O438="331")),"x","")</f>
        <v/>
      </c>
      <c r="Q438" s="85" t="str">
        <f>IF(AND(B438='111'!$L$11,OR($N438=$Q$7,$O438=$Q$7)),"x","")</f>
        <v/>
      </c>
      <c r="R438" s="85" t="str">
        <f>IF(AND($N438=$Q$7,$B438&lt;'111'!$L$11),"x","")</f>
        <v/>
      </c>
      <c r="S438" s="85" t="str">
        <f>IF(AND($O438=$Q$7,$B438&lt;'111'!$L$11),"x","")</f>
        <v/>
      </c>
      <c r="T438" s="85" t="str">
        <f>IF(ISERROR(FIND('112'!$M$9,G438,1)),"",IF((AND(FIND('112'!$M$9,G438,1)&gt;=1,B438='112'!$K$9,OR($N438='112'!$I$6,$O438='112'!$I$6))),"x",""))</f>
        <v/>
      </c>
      <c r="U438" s="85" t="str">
        <f>IF(ISERROR(FIND('112'!$M$9,G438,1)),"",IF((AND(LEFT(G438,2)=LEFT('112'!$M$9,2),B438&lt;'112'!$K$9,$N438='112'!$I$6)),"x",""))</f>
        <v/>
      </c>
      <c r="V438" s="85" t="str">
        <f>IF(ISERROR(FIND('112'!$M$9,G438,1)),"",IF((AND(RIGHT(G438,2)=RIGHT('112'!$M$9,2),B438&lt;'112'!$K$9,$O438='112'!$I$6)),"x",""))</f>
        <v/>
      </c>
      <c r="W438" s="85" t="str">
        <f>IF(AND('341-CT'!$H$9=H438,OR(LEFT(N438,3)=$W$7,LEFT(O438,3)=$W$7)),"x","")</f>
        <v/>
      </c>
      <c r="X438" s="85" t="str">
        <f>IF(OR(TH!N438=TH!$X$7,O438=TH!$X$7),"x","")</f>
        <v/>
      </c>
      <c r="Y438" s="85" t="str">
        <f>IF(AND(OR(N438="131",O438="131"),H438='131-CT'!$H$9),"x","")</f>
        <v/>
      </c>
      <c r="Z438" s="85"/>
      <c r="AA438" s="85" t="str">
        <f>IF(AND(MONTH(E438)='IN-NX'!$J$5,'IN-NX'!$D$7=D438),"x","")</f>
        <v/>
      </c>
      <c r="AB438" s="85" t="str">
        <f>IF(AND(OR(LEFT(TH!N438,2)="15",LEFT(TH!O438,2)="15"),'152-CT'!$J$8=TH!F438),"x","")</f>
        <v/>
      </c>
      <c r="AC438" s="85" t="str">
        <f>IF(AND(OR(LEFT(TH!N438,2)="15",LEFT(TH!O438,2)="15"),TK!$E$7=TH!F438),"x","")</f>
        <v/>
      </c>
      <c r="AD438" s="85" t="str">
        <f>IF(AND(N438="1521",MONTH(C438)='BK-NL'!$M$11),"x","")</f>
        <v/>
      </c>
      <c r="AE438" s="333"/>
    </row>
    <row r="439" spans="1:31" s="355" customFormat="1" ht="15.75" customHeight="1">
      <c r="A439" s="343" t="str">
        <f>IF(B439&lt;&gt;"",IF(AND(B439='IN-TC'!$S$4,OR(TH!N439="1111",TH!O439="1111")),TH!D439,""),"")</f>
        <v>C11</v>
      </c>
      <c r="B439" s="63">
        <f t="shared" si="55"/>
        <v>2</v>
      </c>
      <c r="C439" s="64">
        <v>42419</v>
      </c>
      <c r="D439" s="64" t="s">
        <v>890</v>
      </c>
      <c r="E439" s="64">
        <v>42419</v>
      </c>
      <c r="F439" s="67" t="s">
        <v>1019</v>
      </c>
      <c r="G439" s="67" t="s">
        <v>1039</v>
      </c>
      <c r="H439" s="74" t="s">
        <v>1040</v>
      </c>
      <c r="I439" s="452"/>
      <c r="J439" s="452"/>
      <c r="K439" s="443"/>
      <c r="L439" s="452"/>
      <c r="M439" s="65">
        <v>270263</v>
      </c>
      <c r="N439" s="66" t="s">
        <v>9</v>
      </c>
      <c r="O439" s="66" t="s">
        <v>63</v>
      </c>
      <c r="P439" s="85" t="str">
        <f>IF(AND('331-CT'!$E$7=TH!H439,OR(N439="331",O439="331")),"x","")</f>
        <v/>
      </c>
      <c r="Q439" s="85" t="str">
        <f>IF(AND(B439='111'!$L$11,OR($N439=$Q$7,$O439=$Q$7)),"x","")</f>
        <v/>
      </c>
      <c r="R439" s="85" t="str">
        <f>IF(AND($N439=$Q$7,$B439&lt;'111'!$L$11),"x","")</f>
        <v/>
      </c>
      <c r="S439" s="85" t="str">
        <f>IF(AND($O439=$Q$7,$B439&lt;'111'!$L$11),"x","")</f>
        <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
      </c>
      <c r="W439" s="85" t="str">
        <f>IF(AND('341-CT'!$H$9=H439,OR(LEFT(N439,3)=$W$7,LEFT(O439,3)=$W$7)),"x","")</f>
        <v/>
      </c>
      <c r="X439" s="85" t="str">
        <f>IF(OR(TH!N439=TH!$X$7,O439=TH!$X$7),"x","")</f>
        <v/>
      </c>
      <c r="Y439" s="85" t="str">
        <f>IF(AND(OR(N439="131",O439="131"),H439='131-CT'!$H$9),"x","")</f>
        <v/>
      </c>
      <c r="Z439" s="85"/>
      <c r="AA439" s="85" t="str">
        <f>IF(AND(MONTH(E439)='IN-NX'!$J$5,'IN-NX'!$D$7=D439),"x","")</f>
        <v/>
      </c>
      <c r="AB439" s="85" t="str">
        <f>IF(AND(OR(LEFT(TH!N439,2)="15",LEFT(TH!O439,2)="15"),'152-CT'!$J$8=TH!F439),"x","")</f>
        <v/>
      </c>
      <c r="AC439" s="85" t="str">
        <f>IF(AND(OR(LEFT(TH!N439,2)="15",LEFT(TH!O439,2)="15"),TK!$E$7=TH!F439),"x","")</f>
        <v/>
      </c>
      <c r="AD439" s="85" t="str">
        <f>IF(AND(N439="1521",MONTH(C439)='BK-NL'!$M$11),"x","")</f>
        <v/>
      </c>
      <c r="AE439" s="333"/>
    </row>
    <row r="440" spans="1:31" s="356" customFormat="1" ht="15.75" customHeight="1">
      <c r="A440" s="343" t="str">
        <f>IF(B440&lt;&gt;"",IF(AND(B440='IN-TC'!$S$4,OR(TH!N440="1111",TH!O440="1111")),TH!D440,""),"")</f>
        <v/>
      </c>
      <c r="B440" s="63">
        <f t="shared" si="55"/>
        <v>2</v>
      </c>
      <c r="C440" s="64">
        <v>42419</v>
      </c>
      <c r="D440" s="64" t="s">
        <v>706</v>
      </c>
      <c r="E440" s="64">
        <v>42419</v>
      </c>
      <c r="F440" s="67" t="s">
        <v>1056</v>
      </c>
      <c r="G440" s="67" t="s">
        <v>931</v>
      </c>
      <c r="H440" s="74"/>
      <c r="I440" s="447"/>
      <c r="J440" s="447"/>
      <c r="K440" s="438"/>
      <c r="L440" s="447"/>
      <c r="M440" s="65">
        <v>5000000</v>
      </c>
      <c r="N440" s="66" t="s">
        <v>26</v>
      </c>
      <c r="O440" s="66" t="s">
        <v>26</v>
      </c>
      <c r="P440" s="85" t="str">
        <f>IF(AND('331-CT'!$E$7=TH!H440,OR(N440="331",O440="331")),"x","")</f>
        <v/>
      </c>
      <c r="Q440" s="85" t="str">
        <f>IF(AND(B440='111'!$L$11,OR($N440=$Q$7,$O440=$Q$7)),"x","")</f>
        <v/>
      </c>
      <c r="R440" s="85" t="str">
        <f>IF(AND($N440=$Q$7,$B440&lt;'111'!$L$11),"x","")</f>
        <v/>
      </c>
      <c r="S440" s="85" t="str">
        <f>IF(AND($O440=$Q$7,$B440&lt;'111'!$L$11),"x","")</f>
        <v/>
      </c>
      <c r="T440" s="85" t="str">
        <f>IF(ISERROR(FIND('112'!$M$9,G440,1)),"",IF((AND(FIND('112'!$M$9,G440,1)&gt;=1,B440='112'!$K$9,OR($N440='112'!$I$6,$O440='112'!$I$6))),"x",""))</f>
        <v/>
      </c>
      <c r="U440" s="85" t="str">
        <f>IF(ISERROR(FIND('112'!$M$9,G440,1)),"",IF((AND(LEFT(G440,2)=LEFT('112'!$M$9,2),B440&lt;'112'!$K$9,$N440='112'!$I$6)),"x",""))</f>
        <v/>
      </c>
      <c r="V440" s="85" t="str">
        <f>IF(ISERROR(FIND('112'!$M$9,G440,1)),"",IF((AND(RIGHT(G440,2)=RIGHT('112'!$M$9,2),B440&lt;'112'!$K$9,$O440='112'!$I$6)),"x",""))</f>
        <v/>
      </c>
      <c r="W440" s="85" t="str">
        <f>IF(AND('341-CT'!$H$9=H440,OR(LEFT(N440,3)=$W$7,LEFT(O440,3)=$W$7)),"x","")</f>
        <v/>
      </c>
      <c r="X440" s="85" t="str">
        <f>IF(OR(TH!N440=TH!$X$7,O440=TH!$X$7),"x","")</f>
        <v/>
      </c>
      <c r="Y440" s="85" t="str">
        <f>IF(AND(OR(N440="131",O440="131"),H440='131-CT'!$H$9),"x","")</f>
        <v/>
      </c>
      <c r="Z440" s="85"/>
      <c r="AA440" s="85" t="str">
        <f>IF(AND(MONTH(E440)='IN-NX'!$J$5,'IN-NX'!$D$7=D440),"x","")</f>
        <v/>
      </c>
      <c r="AB440" s="85" t="str">
        <f>IF(AND(OR(LEFT(TH!N440,2)="15",LEFT(TH!O440,2)="15"),'152-CT'!$J$8=TH!F440),"x","")</f>
        <v/>
      </c>
      <c r="AC440" s="85" t="str">
        <f>IF(AND(OR(LEFT(TH!N440,2)="15",LEFT(TH!O440,2)="15"),TK!$E$7=TH!F440),"x","")</f>
        <v/>
      </c>
      <c r="AD440" s="85" t="str">
        <f>IF(AND(N440="1521",MONTH(C440)='BK-NL'!$M$11),"x","")</f>
        <v/>
      </c>
      <c r="AE440" s="355"/>
    </row>
    <row r="441" spans="1:31" ht="15.75" customHeight="1">
      <c r="A441" s="343" t="str">
        <f>IF(B441&lt;&gt;"",IF(AND(B441='IN-TC'!$S$4,OR(TH!N441="1111",TH!O441="1111")),TH!D441,""),"")</f>
        <v/>
      </c>
      <c r="B441" s="63">
        <f t="shared" si="55"/>
        <v>2</v>
      </c>
      <c r="C441" s="64">
        <v>42419</v>
      </c>
      <c r="D441" s="64" t="s">
        <v>706</v>
      </c>
      <c r="E441" s="64">
        <v>42419</v>
      </c>
      <c r="F441" s="67" t="s">
        <v>1115</v>
      </c>
      <c r="G441" s="67" t="s">
        <v>930</v>
      </c>
      <c r="H441" s="67" t="s">
        <v>636</v>
      </c>
      <c r="I441" s="449"/>
      <c r="J441" s="449"/>
      <c r="K441" s="440"/>
      <c r="L441" s="449"/>
      <c r="M441" s="65">
        <v>32260140</v>
      </c>
      <c r="N441" s="66" t="s">
        <v>8</v>
      </c>
      <c r="O441" s="66" t="s">
        <v>26</v>
      </c>
      <c r="P441" s="85" t="str">
        <f>IF(AND('331-CT'!$E$7=TH!H441,OR(N441="331",O441="331")),"x","")</f>
        <v/>
      </c>
      <c r="Q441" s="85" t="str">
        <f>IF(AND(B441='111'!$L$11,OR($N441=$Q$7,$O441=$Q$7)),"x","")</f>
        <v/>
      </c>
      <c r="R441" s="85" t="str">
        <f>IF(AND($N441=$Q$7,$B441&lt;'111'!$L$11),"x","")</f>
        <v/>
      </c>
      <c r="S441" s="85" t="str">
        <f>IF(AND($O441=$Q$7,$B441&lt;'111'!$L$11),"x","")</f>
        <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
      </c>
      <c r="W441" s="85" t="str">
        <f>IF(AND('341-CT'!$H$9=H441,OR(LEFT(N441,3)=$W$7,LEFT(O441,3)=$W$7)),"x","")</f>
        <v/>
      </c>
      <c r="X441" s="85" t="str">
        <f>IF(OR(TH!N441=TH!$X$7,O441=TH!$X$7),"x","")</f>
        <v/>
      </c>
      <c r="Y441" s="85" t="str">
        <f>IF(AND(OR(N441="131",O441="131"),H441='131-CT'!$H$9),"x","")</f>
        <v/>
      </c>
      <c r="Z441" s="85"/>
      <c r="AA441" s="85" t="str">
        <f>IF(AND(MONTH(E441)='IN-NX'!$J$5,'IN-NX'!$D$7=D441),"x","")</f>
        <v/>
      </c>
      <c r="AB441" s="85" t="str">
        <f>IF(AND(OR(LEFT(TH!N441,2)="15",LEFT(TH!O441,2)="15"),'152-CT'!$J$8=TH!F441),"x","")</f>
        <v/>
      </c>
      <c r="AC441" s="85" t="str">
        <f>IF(AND(OR(LEFT(TH!N441,2)="15",LEFT(TH!O441,2)="15"),TK!$E$7=TH!F441),"x","")</f>
        <v/>
      </c>
      <c r="AD441" s="85" t="str">
        <f>IF(AND(N441="1521",MONTH(C441)='BK-NL'!$M$11),"x","")</f>
        <v/>
      </c>
      <c r="AE441" s="355"/>
    </row>
    <row r="442" spans="1:31" ht="15.75" customHeight="1">
      <c r="A442" s="343" t="str">
        <f>IF(B442&lt;&gt;"",IF(AND(B442='IN-TC'!$S$4,OR(TH!N442="1111",TH!O442="1111")),TH!D442,""),"")</f>
        <v/>
      </c>
      <c r="B442" s="63">
        <f t="shared" si="55"/>
        <v>2</v>
      </c>
      <c r="C442" s="64">
        <v>42420</v>
      </c>
      <c r="D442" s="64" t="s">
        <v>706</v>
      </c>
      <c r="E442" s="64">
        <v>42420</v>
      </c>
      <c r="F442" s="67" t="s">
        <v>1065</v>
      </c>
      <c r="G442" s="67" t="s">
        <v>929</v>
      </c>
      <c r="H442" s="7" t="s">
        <v>602</v>
      </c>
      <c r="I442" s="447"/>
      <c r="J442" s="447"/>
      <c r="K442" s="438">
        <v>4819.12</v>
      </c>
      <c r="L442" s="447">
        <v>22345</v>
      </c>
      <c r="M442" s="65">
        <f>ROUND(K442*L442,0)</f>
        <v>107683236</v>
      </c>
      <c r="N442" s="66" t="s">
        <v>267</v>
      </c>
      <c r="O442" s="66" t="s">
        <v>591</v>
      </c>
      <c r="P442" s="85" t="str">
        <f>IF(AND('331-CT'!$E$7=TH!H442,OR(N442="331",O442="331")),"x","")</f>
        <v/>
      </c>
      <c r="Q442" s="85" t="str">
        <f>IF(AND(B442='111'!$L$11,OR($N442=$Q$7,$O442=$Q$7)),"x","")</f>
        <v/>
      </c>
      <c r="R442" s="85" t="str">
        <f>IF(AND($N442=$Q$7,$B442&lt;'111'!$L$11),"x","")</f>
        <v/>
      </c>
      <c r="S442" s="85" t="str">
        <f>IF(AND($O442=$Q$7,$B442&lt;'111'!$L$11),"x","")</f>
        <v/>
      </c>
      <c r="T442" s="85" t="str">
        <f>IF(ISERROR(FIND('112'!$M$9,G442,1)),"",IF((AND(FIND('112'!$M$9,G442,1)&gt;=1,B442='112'!$K$9,OR($N442='112'!$I$6,$O442='112'!$I$6))),"x",""))</f>
        <v/>
      </c>
      <c r="U442" s="85" t="str">
        <f>IF(ISERROR(FIND('112'!$M$9,G442,1)),"",IF((AND(LEFT(G442,2)=LEFT('112'!$M$9,2),B442&lt;'112'!$K$9,$N442='112'!$I$6)),"x",""))</f>
        <v/>
      </c>
      <c r="V442" s="85" t="str">
        <f>IF(ISERROR(FIND('112'!$M$9,G442,1)),"",IF((AND(RIGHT(G442,2)=RIGHT('112'!$M$9,2),B442&lt;'112'!$K$9,$O442='112'!$I$6)),"x",""))</f>
        <v/>
      </c>
      <c r="W442" s="85" t="str">
        <f>IF(AND('341-CT'!$H$9=H442,OR(LEFT(N442,3)=$W$7,LEFT(O442,3)=$W$7)),"x","")</f>
        <v/>
      </c>
      <c r="X442" s="85" t="str">
        <f>IF(OR(TH!N442=TH!$X$7,O442=TH!$X$7),"x","")</f>
        <v/>
      </c>
      <c r="Y442" s="85" t="str">
        <f>IF(AND(OR(N442="131",O442="131"),H442='131-CT'!$H$9),"x","")</f>
        <v>x</v>
      </c>
      <c r="Z442" s="85"/>
      <c r="AA442" s="85" t="str">
        <f>IF(AND(MONTH(E442)='IN-NX'!$J$5,'IN-NX'!$D$7=D442),"x","")</f>
        <v/>
      </c>
      <c r="AB442" s="85" t="str">
        <f>IF(AND(OR(LEFT(TH!N442,2)="15",LEFT(TH!O442,2)="15"),'152-CT'!$J$8=TH!F442),"x","")</f>
        <v/>
      </c>
      <c r="AC442" s="85" t="str">
        <f>IF(AND(OR(LEFT(TH!N442,2)="15",LEFT(TH!O442,2)="15"),TK!$E$7=TH!F442),"x","")</f>
        <v/>
      </c>
      <c r="AD442" s="85" t="str">
        <f>IF(AND(N442="1521",MONTH(C442)='BK-NL'!$M$11),"x","")</f>
        <v/>
      </c>
      <c r="AE442" s="356"/>
    </row>
    <row r="443" spans="1:31" ht="15.75" customHeight="1">
      <c r="A443" s="343" t="str">
        <f>IF(B443&lt;&gt;"",IF(AND(B443='IN-TC'!$S$4,OR(TH!N443="1111",TH!O443="1111")),TH!D443,""),"")</f>
        <v/>
      </c>
      <c r="B443" s="63">
        <f t="shared" si="55"/>
        <v>2</v>
      </c>
      <c r="C443" s="64">
        <f>E443</f>
        <v>42420</v>
      </c>
      <c r="D443" s="320" t="s">
        <v>585</v>
      </c>
      <c r="E443" s="320">
        <v>42420</v>
      </c>
      <c r="F443" s="321" t="s">
        <v>1083</v>
      </c>
      <c r="G443" s="67" t="s">
        <v>929</v>
      </c>
      <c r="H443" s="322" t="s">
        <v>602</v>
      </c>
      <c r="I443" s="447"/>
      <c r="J443" s="447"/>
      <c r="K443" s="438">
        <v>154.44</v>
      </c>
      <c r="L443" s="447">
        <v>22345</v>
      </c>
      <c r="M443" s="65">
        <f>ROUND(K443*L443,0)</f>
        <v>3450962</v>
      </c>
      <c r="N443" s="323" t="s">
        <v>101</v>
      </c>
      <c r="O443" s="66" t="s">
        <v>591</v>
      </c>
      <c r="P443" s="85" t="str">
        <f>IF(AND('331-CT'!$E$7=TH!H443,OR(N443="331",O443="331")),"x","")</f>
        <v/>
      </c>
      <c r="Q443" s="85" t="str">
        <f>IF(AND(B443='111'!$L$11,OR($N443=$Q$7,$O443=$Q$7)),"x","")</f>
        <v/>
      </c>
      <c r="R443" s="85" t="str">
        <f>IF(AND($N443=$Q$7,$B443&lt;'111'!$L$11),"x","")</f>
        <v/>
      </c>
      <c r="S443" s="85" t="str">
        <f>IF(AND($O443=$Q$7,$B443&lt;'111'!$L$11),"x","")</f>
        <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IF(AND('341-CT'!$H$9=H443,OR(LEFT(N443,3)=$W$7,LEFT(O443,3)=$W$7)),"x","")</f>
        <v/>
      </c>
      <c r="X443" s="85" t="str">
        <f>IF(OR(TH!N443=TH!$X$7,O443=TH!$X$7),"x","")</f>
        <v/>
      </c>
      <c r="Y443" s="85" t="str">
        <f>IF(AND(OR(N443="131",O443="131"),H443='131-CT'!$H$9),"x","")</f>
        <v>x</v>
      </c>
      <c r="Z443" s="85"/>
      <c r="AA443" s="85" t="str">
        <f>IF(AND(MONTH(E443)='IN-NX'!$J$5,'IN-NX'!$D$7=D443),"x","")</f>
        <v/>
      </c>
      <c r="AB443" s="85" t="str">
        <f>IF(AND(OR(LEFT(TH!N443,2)="15",LEFT(TH!O443,2)="15"),'152-CT'!$J$8=TH!F443),"x","")</f>
        <v/>
      </c>
      <c r="AC443" s="85" t="str">
        <f>IF(AND(OR(LEFT(TH!N443,2)="15",LEFT(TH!O443,2)="15"),TK!$E$7=TH!F443),"x","")</f>
        <v/>
      </c>
      <c r="AD443" s="85" t="str">
        <f>IF(AND(N443="1521",MONTH(C443)='BK-NL'!$M$11),"x","")</f>
        <v/>
      </c>
    </row>
    <row r="444" spans="1:31" ht="15.75" customHeight="1">
      <c r="A444" s="343" t="str">
        <f>IF(B444&lt;&gt;"",IF(AND(B444='IN-TC'!$S$4,OR(TH!N444="1111",TH!O444="1111")),TH!D444,""),"")</f>
        <v/>
      </c>
      <c r="B444" s="63">
        <f t="shared" si="55"/>
        <v>2</v>
      </c>
      <c r="C444" s="64">
        <f>E444</f>
        <v>42420</v>
      </c>
      <c r="D444" s="320" t="s">
        <v>585</v>
      </c>
      <c r="E444" s="320">
        <v>42420</v>
      </c>
      <c r="F444" s="321" t="s">
        <v>1084</v>
      </c>
      <c r="G444" s="67" t="s">
        <v>929</v>
      </c>
      <c r="H444" s="322" t="s">
        <v>602</v>
      </c>
      <c r="I444" s="447"/>
      <c r="J444" s="447"/>
      <c r="K444" s="438">
        <v>15.44</v>
      </c>
      <c r="L444" s="447">
        <v>22345</v>
      </c>
      <c r="M444" s="65">
        <f>ROUND(K444*L444,0)</f>
        <v>345007</v>
      </c>
      <c r="N444" s="323" t="s">
        <v>9</v>
      </c>
      <c r="O444" s="66" t="s">
        <v>591</v>
      </c>
      <c r="P444" s="85" t="str">
        <f>IF(AND('331-CT'!$E$7=TH!H444,OR(N444="331",O444="331")),"x","")</f>
        <v/>
      </c>
      <c r="Q444" s="85" t="str">
        <f>IF(AND(B444='111'!$L$11,OR($N444=$Q$7,$O444=$Q$7)),"x","")</f>
        <v/>
      </c>
      <c r="R444" s="85" t="str">
        <f>IF(AND($N444=$Q$7,$B444&lt;'111'!$L$11),"x","")</f>
        <v/>
      </c>
      <c r="S444" s="85" t="str">
        <f>IF(AND($O444=$Q$7,$B444&lt;'111'!$L$11),"x","")</f>
        <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IF(AND('341-CT'!$H$9=H444,OR(LEFT(N444,3)=$W$7,LEFT(O444,3)=$W$7)),"x","")</f>
        <v/>
      </c>
      <c r="X444" s="85" t="str">
        <f>IF(OR(TH!N444=TH!$X$7,O444=TH!$X$7),"x","")</f>
        <v/>
      </c>
      <c r="Y444" s="85" t="str">
        <f>IF(AND(OR(N444="131",O444="131"),H444='131-CT'!$H$9),"x","")</f>
        <v>x</v>
      </c>
      <c r="Z444" s="85"/>
      <c r="AA444" s="85" t="str">
        <f>IF(AND(MONTH(E444)='IN-NX'!$J$5,'IN-NX'!$D$7=D444),"x","")</f>
        <v/>
      </c>
      <c r="AB444" s="85" t="str">
        <f>IF(AND(OR(LEFT(TH!N444,2)="15",LEFT(TH!O444,2)="15"),'152-CT'!$J$8=TH!F444),"x","")</f>
        <v/>
      </c>
      <c r="AC444" s="85" t="str">
        <f>IF(AND(OR(LEFT(TH!N444,2)="15",LEFT(TH!O444,2)="15"),TK!$E$7=TH!F444),"x","")</f>
        <v/>
      </c>
      <c r="AD444" s="85" t="str">
        <f>IF(AND(N444="1521",MONTH(C444)='BK-NL'!$M$11),"x","")</f>
        <v/>
      </c>
    </row>
    <row r="445" spans="1:31" ht="15.75" customHeight="1">
      <c r="A445" s="343" t="str">
        <f>IF(B445&lt;&gt;"",IF(AND(B445='IN-TC'!$S$4,OR(TH!N445="1111",TH!O445="1111")),TH!D445,""),"")</f>
        <v/>
      </c>
      <c r="B445" s="63">
        <f t="shared" si="55"/>
        <v>2</v>
      </c>
      <c r="C445" s="64">
        <f>E445</f>
        <v>42420</v>
      </c>
      <c r="D445" s="320" t="s">
        <v>585</v>
      </c>
      <c r="E445" s="320">
        <v>42420</v>
      </c>
      <c r="F445" s="67" t="s">
        <v>1086</v>
      </c>
      <c r="G445" s="67" t="s">
        <v>929</v>
      </c>
      <c r="H445" s="7" t="s">
        <v>602</v>
      </c>
      <c r="I445" s="447"/>
      <c r="J445" s="447"/>
      <c r="K445" s="438">
        <v>171</v>
      </c>
      <c r="L445" s="447">
        <v>22345</v>
      </c>
      <c r="M445" s="65">
        <f>ROUND(K445*L445,0)</f>
        <v>3820995</v>
      </c>
      <c r="N445" s="66" t="s">
        <v>101</v>
      </c>
      <c r="O445" s="66" t="s">
        <v>591</v>
      </c>
      <c r="P445" s="85" t="str">
        <f>IF(AND('331-CT'!$E$7=TH!H445,OR(N445="331",O445="331")),"x","")</f>
        <v/>
      </c>
      <c r="Q445" s="85" t="str">
        <f>IF(AND(B445='111'!$L$11,OR($N445=$Q$7,$O445=$Q$7)),"x","")</f>
        <v/>
      </c>
      <c r="R445" s="85" t="str">
        <f>IF(AND($N445=$Q$7,$B445&lt;'111'!$L$11),"x","")</f>
        <v/>
      </c>
      <c r="S445" s="85" t="str">
        <f>IF(AND($O445=$Q$7,$B445&lt;'111'!$L$11),"x","")</f>
        <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
      </c>
      <c r="W445" s="85" t="str">
        <f>IF(AND('341-CT'!$H$9=H445,OR(LEFT(N445,3)=$W$7,LEFT(O445,3)=$W$7)),"x","")</f>
        <v/>
      </c>
      <c r="X445" s="85" t="str">
        <f>IF(OR(TH!N445=TH!$X$7,O445=TH!$X$7),"x","")</f>
        <v/>
      </c>
      <c r="Y445" s="85" t="str">
        <f>IF(AND(OR(N445="131",O445="131"),H445='131-CT'!$H$9),"x","")</f>
        <v>x</v>
      </c>
      <c r="Z445" s="85"/>
      <c r="AA445" s="85" t="str">
        <f>IF(AND(MONTH(E445)='IN-NX'!$J$5,'IN-NX'!$D$7=D445),"x","")</f>
        <v/>
      </c>
      <c r="AB445" s="85" t="str">
        <f>IF(AND(OR(LEFT(TH!N445,2)="15",LEFT(TH!O445,2)="15"),'152-CT'!$J$8=TH!F445),"x","")</f>
        <v/>
      </c>
      <c r="AC445" s="85" t="str">
        <f>IF(AND(OR(LEFT(TH!N445,2)="15",LEFT(TH!O445,2)="15"),TK!$E$7=TH!F445),"x","")</f>
        <v/>
      </c>
      <c r="AD445" s="85" t="str">
        <f>IF(AND(N445="1521",MONTH(C445)='BK-NL'!$M$11),"x","")</f>
        <v/>
      </c>
    </row>
    <row r="446" spans="1:31" ht="15.75" customHeight="1">
      <c r="A446" s="343" t="str">
        <f>IF(B446&lt;&gt;"",IF(AND(B446='IN-TC'!$S$4,OR(TH!N446="1111",TH!O446="1111")),TH!D446,""),"")</f>
        <v/>
      </c>
      <c r="B446" s="63">
        <f t="shared" si="55"/>
        <v>2</v>
      </c>
      <c r="C446" s="64">
        <f>E446</f>
        <v>42420</v>
      </c>
      <c r="D446" s="320" t="s">
        <v>585</v>
      </c>
      <c r="E446" s="320">
        <v>42420</v>
      </c>
      <c r="F446" s="67" t="s">
        <v>1080</v>
      </c>
      <c r="G446" s="67"/>
      <c r="H446" s="7" t="s">
        <v>602</v>
      </c>
      <c r="I446" s="447"/>
      <c r="J446" s="447"/>
      <c r="K446" s="438"/>
      <c r="L446" s="447"/>
      <c r="M446" s="65">
        <v>4093800</v>
      </c>
      <c r="N446" s="66" t="s">
        <v>591</v>
      </c>
      <c r="O446" s="66" t="s">
        <v>43</v>
      </c>
      <c r="P446" s="85" t="str">
        <f>IF(AND('331-CT'!$E$7=TH!H446,OR(N446="331",O446="331")),"x","")</f>
        <v/>
      </c>
      <c r="Q446" s="85" t="str">
        <f>IF(AND(B446='111'!$L$11,OR($N446=$Q$7,$O446=$Q$7)),"x","")</f>
        <v/>
      </c>
      <c r="R446" s="85" t="str">
        <f>IF(AND($N446=$Q$7,$B446&lt;'111'!$L$11),"x","")</f>
        <v/>
      </c>
      <c r="S446" s="85" t="str">
        <f>IF(AND($O446=$Q$7,$B446&lt;'111'!$L$11),"x","")</f>
        <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IF(AND('341-CT'!$H$9=H446,OR(LEFT(N446,3)=$W$7,LEFT(O446,3)=$W$7)),"x","")</f>
        <v/>
      </c>
      <c r="X446" s="85" t="str">
        <f>IF(OR(TH!N446=TH!$X$7,O446=TH!$X$7),"x","")</f>
        <v/>
      </c>
      <c r="Y446" s="85" t="str">
        <f>IF(AND(OR(N446="131",O446="131"),H446='131-CT'!$H$9),"x","")</f>
        <v>x</v>
      </c>
      <c r="Z446" s="85"/>
      <c r="AA446" s="85" t="str">
        <f>IF(AND(MONTH(E446)='IN-NX'!$J$5,'IN-NX'!$D$7=D446),"x","")</f>
        <v/>
      </c>
      <c r="AB446" s="85" t="str">
        <f>IF(AND(OR(LEFT(TH!N446,2)="15",LEFT(TH!O446,2)="15"),'152-CT'!$J$8=TH!F446),"x","")</f>
        <v/>
      </c>
      <c r="AC446" s="85" t="str">
        <f>IF(AND(OR(LEFT(TH!N446,2)="15",LEFT(TH!O446,2)="15"),TK!$E$7=TH!F446),"x","")</f>
        <v/>
      </c>
      <c r="AD446" s="85" t="str">
        <f>IF(AND(N446="1521",MONTH(C446)='BK-NL'!$M$11),"x","")</f>
        <v/>
      </c>
    </row>
    <row r="447" spans="1:31" s="357" customFormat="1" ht="15.75" customHeight="1">
      <c r="A447" s="343" t="str">
        <f>IF(B447&lt;&gt;"",IF(AND(B447='IN-TC'!$S$4,OR(TH!N447="1111",TH!O447="1111")),TH!D447,""),"")</f>
        <v/>
      </c>
      <c r="B447" s="63">
        <f t="shared" si="55"/>
        <v>2</v>
      </c>
      <c r="C447" s="64">
        <v>42420</v>
      </c>
      <c r="D447" s="64" t="s">
        <v>709</v>
      </c>
      <c r="E447" s="64">
        <v>42420</v>
      </c>
      <c r="F447" s="67" t="s">
        <v>718</v>
      </c>
      <c r="G447" s="67" t="s">
        <v>929</v>
      </c>
      <c r="H447" s="74"/>
      <c r="I447" s="447"/>
      <c r="J447" s="447"/>
      <c r="K447" s="438">
        <v>161.63999999999999</v>
      </c>
      <c r="L447" s="447">
        <v>22345</v>
      </c>
      <c r="M447" s="65">
        <f>ROUND(K447*L447,0)</f>
        <v>3611846</v>
      </c>
      <c r="N447" s="66" t="s">
        <v>99</v>
      </c>
      <c r="O447" s="66" t="s">
        <v>267</v>
      </c>
      <c r="P447" s="85" t="str">
        <f>IF(AND('331-CT'!$E$7=TH!H447,OR(N447="331",O447="331")),"x","")</f>
        <v/>
      </c>
      <c r="Q447" s="85" t="str">
        <f>IF(AND(B447='111'!$L$11,OR($N447=$Q$7,$O447=$Q$7)),"x","")</f>
        <v/>
      </c>
      <c r="R447" s="85" t="str">
        <f>IF(AND($N447=$Q$7,$B447&lt;'111'!$L$11),"x","")</f>
        <v/>
      </c>
      <c r="S447" s="85" t="str">
        <f>IF(AND($O447=$Q$7,$B447&lt;'111'!$L$11),"x","")</f>
        <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
      </c>
      <c r="W447" s="85" t="str">
        <f>IF(AND('341-CT'!$H$9=H447,OR(LEFT(N447,3)=$W$7,LEFT(O447,3)=$W$7)),"x","")</f>
        <v/>
      </c>
      <c r="X447" s="85" t="str">
        <f>IF(OR(TH!N447=TH!$X$7,O447=TH!$X$7),"x","")</f>
        <v/>
      </c>
      <c r="Y447" s="85" t="str">
        <f>IF(AND(OR(N447="131",O447="131"),H447='131-CT'!$H$9),"x","")</f>
        <v/>
      </c>
      <c r="Z447" s="85"/>
      <c r="AA447" s="85" t="str">
        <f>IF(AND(MONTH(E447)='IN-NX'!$J$5,'IN-NX'!$D$7=D447),"x","")</f>
        <v/>
      </c>
      <c r="AB447" s="85" t="str">
        <f>IF(AND(OR(LEFT(TH!N447,2)="15",LEFT(TH!O447,2)="15"),'152-CT'!$J$8=TH!F447),"x","")</f>
        <v/>
      </c>
      <c r="AC447" s="85" t="str">
        <f>IF(AND(OR(LEFT(TH!N447,2)="15",LEFT(TH!O447,2)="15"),TK!$E$7=TH!F447),"x","")</f>
        <v/>
      </c>
      <c r="AD447" s="85" t="str">
        <f>IF(AND(N447="1521",MONTH(C447)='BK-NL'!$M$11),"x","")</f>
        <v/>
      </c>
      <c r="AE447" s="333"/>
    </row>
    <row r="448" spans="1:31" s="357" customFormat="1" ht="15.75" customHeight="1">
      <c r="A448" s="343" t="str">
        <f>IF(B448&lt;&gt;"",IF(AND(B448='IN-TC'!$S$4,OR(TH!N448="1111",TH!O448="1111")),TH!D448,""),"")</f>
        <v>C12</v>
      </c>
      <c r="B448" s="63">
        <f t="shared" si="55"/>
        <v>2</v>
      </c>
      <c r="C448" s="64">
        <v>42422</v>
      </c>
      <c r="D448" s="64" t="s">
        <v>891</v>
      </c>
      <c r="E448" s="64">
        <v>42422</v>
      </c>
      <c r="F448" s="67" t="s">
        <v>1016</v>
      </c>
      <c r="G448" s="67" t="s">
        <v>1041</v>
      </c>
      <c r="H448" s="353" t="s">
        <v>819</v>
      </c>
      <c r="I448" s="451"/>
      <c r="J448" s="451"/>
      <c r="K448" s="442"/>
      <c r="L448" s="451"/>
      <c r="M448" s="65">
        <v>538591</v>
      </c>
      <c r="N448" s="66" t="s">
        <v>101</v>
      </c>
      <c r="O448" s="66" t="s">
        <v>63</v>
      </c>
      <c r="P448" s="85" t="str">
        <f>IF(AND('331-CT'!$E$7=TH!H448,OR(N448="331",O448="331")),"x","")</f>
        <v/>
      </c>
      <c r="Q448" s="85" t="str">
        <f>IF(AND(B448='111'!$L$11,OR($N448=$Q$7,$O448=$Q$7)),"x","")</f>
        <v/>
      </c>
      <c r="R448" s="85" t="str">
        <f>IF(AND($N448=$Q$7,$B448&lt;'111'!$L$11),"x","")</f>
        <v/>
      </c>
      <c r="S448" s="85" t="str">
        <f>IF(AND($O448=$Q$7,$B448&lt;'111'!$L$11),"x","")</f>
        <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IF(AND('341-CT'!$H$9=H448,OR(LEFT(N448,3)=$W$7,LEFT(O448,3)=$W$7)),"x","")</f>
        <v/>
      </c>
      <c r="X448" s="85" t="str">
        <f>IF(OR(TH!N448=TH!$X$7,O448=TH!$X$7),"x","")</f>
        <v/>
      </c>
      <c r="Y448" s="85" t="str">
        <f>IF(AND(OR(N448="131",O448="131"),H448='131-CT'!$H$9),"x","")</f>
        <v/>
      </c>
      <c r="Z448" s="85"/>
      <c r="AA448" s="85" t="str">
        <f>IF(AND(MONTH(E448)='IN-NX'!$J$5,'IN-NX'!$D$7=D448),"x","")</f>
        <v/>
      </c>
      <c r="AB448" s="85" t="str">
        <f>IF(AND(OR(LEFT(TH!N448,2)="15",LEFT(TH!O448,2)="15"),'152-CT'!$J$8=TH!F448),"x","")</f>
        <v/>
      </c>
      <c r="AC448" s="85" t="str">
        <f>IF(AND(OR(LEFT(TH!N448,2)="15",LEFT(TH!O448,2)="15"),TK!$E$7=TH!F448),"x","")</f>
        <v/>
      </c>
      <c r="AD448" s="85" t="str">
        <f>IF(AND(N448="1521",MONTH(C448)='BK-NL'!$M$11),"x","")</f>
        <v/>
      </c>
      <c r="AE448" s="333"/>
    </row>
    <row r="449" spans="1:31" ht="15.75" customHeight="1">
      <c r="A449" s="343" t="str">
        <f>IF(B449&lt;&gt;"",IF(AND(B449='IN-TC'!$S$4,OR(TH!N449="1111",TH!O449="1111")),TH!D449,""),"")</f>
        <v>C12</v>
      </c>
      <c r="B449" s="63">
        <f t="shared" si="55"/>
        <v>2</v>
      </c>
      <c r="C449" s="64">
        <v>42422</v>
      </c>
      <c r="D449" s="64" t="s">
        <v>891</v>
      </c>
      <c r="E449" s="64">
        <v>42422</v>
      </c>
      <c r="F449" s="67" t="s">
        <v>1017</v>
      </c>
      <c r="G449" s="67" t="s">
        <v>1041</v>
      </c>
      <c r="H449" s="74" t="s">
        <v>819</v>
      </c>
      <c r="I449" s="447"/>
      <c r="J449" s="447"/>
      <c r="K449" s="438"/>
      <c r="L449" s="447"/>
      <c r="M449" s="65">
        <v>53859</v>
      </c>
      <c r="N449" s="66" t="s">
        <v>9</v>
      </c>
      <c r="O449" s="66" t="s">
        <v>63</v>
      </c>
      <c r="P449" s="85" t="str">
        <f>IF(AND('331-CT'!$E$7=TH!H449,OR(N449="331",O449="331")),"x","")</f>
        <v/>
      </c>
      <c r="Q449" s="85" t="str">
        <f>IF(AND(B449='111'!$L$11,OR($N449=$Q$7,$O449=$Q$7)),"x","")</f>
        <v/>
      </c>
      <c r="R449" s="85" t="str">
        <f>IF(AND($N449=$Q$7,$B449&lt;'111'!$L$11),"x","")</f>
        <v/>
      </c>
      <c r="S449" s="85" t="str">
        <f>IF(AND($O449=$Q$7,$B449&lt;'111'!$L$11),"x","")</f>
        <v/>
      </c>
      <c r="T449" s="85" t="str">
        <f>IF(ISERROR(FIND('112'!$M$9,G449,1)),"",IF((AND(FIND('112'!$M$9,G449,1)&gt;=1,B449='112'!$K$9,OR($N449='112'!$I$6,$O449='112'!$I$6))),"x",""))</f>
        <v/>
      </c>
      <c r="U449" s="85" t="str">
        <f>IF(ISERROR(FIND('112'!$M$9,G449,1)),"",IF((AND(LEFT(G449,2)=LEFT('112'!$M$9,2),B449&lt;'112'!$K$9,$N449='112'!$I$6)),"x",""))</f>
        <v/>
      </c>
      <c r="V449" s="85" t="str">
        <f>IF(ISERROR(FIND('112'!$M$9,G449,1)),"",IF((AND(RIGHT(G449,2)=RIGHT('112'!$M$9,2),B449&lt;'112'!$K$9,$O449='112'!$I$6)),"x",""))</f>
        <v/>
      </c>
      <c r="W449" s="85" t="str">
        <f>IF(AND('341-CT'!$H$9=H449,OR(LEFT(N449,3)=$W$7,LEFT(O449,3)=$W$7)),"x","")</f>
        <v/>
      </c>
      <c r="X449" s="85" t="str">
        <f>IF(OR(TH!N449=TH!$X$7,O449=TH!$X$7),"x","")</f>
        <v/>
      </c>
      <c r="Y449" s="85" t="str">
        <f>IF(AND(OR(N449="131",O449="131"),H449='131-CT'!$H$9),"x","")</f>
        <v/>
      </c>
      <c r="Z449" s="85"/>
      <c r="AA449" s="85" t="str">
        <f>IF(AND(MONTH(E449)='IN-NX'!$J$5,'IN-NX'!$D$7=D449),"x","")</f>
        <v/>
      </c>
      <c r="AB449" s="85" t="str">
        <f>IF(AND(OR(LEFT(TH!N449,2)="15",LEFT(TH!O449,2)="15"),'152-CT'!$J$8=TH!F449),"x","")</f>
        <v/>
      </c>
      <c r="AC449" s="85" t="str">
        <f>IF(AND(OR(LEFT(TH!N449,2)="15",LEFT(TH!O449,2)="15"),TK!$E$7=TH!F449),"x","")</f>
        <v/>
      </c>
      <c r="AD449" s="85" t="str">
        <f>IF(AND(N449="1521",MONTH(C449)='BK-NL'!$M$11),"x","")</f>
        <v/>
      </c>
      <c r="AE449" s="357"/>
    </row>
    <row r="450" spans="1:31" ht="15.75" customHeight="1">
      <c r="A450" s="343" t="str">
        <f>IF(B450&lt;&gt;"",IF(AND(B450='IN-TC'!$S$4,OR(TH!N450="1111",TH!O450="1111")),TH!D450,""),"")</f>
        <v/>
      </c>
      <c r="B450" s="63">
        <f t="shared" si="55"/>
        <v>2</v>
      </c>
      <c r="C450" s="64">
        <v>42422</v>
      </c>
      <c r="D450" s="64" t="s">
        <v>706</v>
      </c>
      <c r="E450" s="64">
        <v>42422</v>
      </c>
      <c r="F450" s="67" t="s">
        <v>707</v>
      </c>
      <c r="G450" s="67" t="s">
        <v>931</v>
      </c>
      <c r="H450" s="74"/>
      <c r="I450" s="447"/>
      <c r="J450" s="447"/>
      <c r="K450" s="438">
        <v>3600</v>
      </c>
      <c r="L450" s="447">
        <v>22340</v>
      </c>
      <c r="M450" s="65">
        <f t="shared" ref="M450:M455" si="58">ROUND(K450*L450,0)</f>
        <v>80424000</v>
      </c>
      <c r="N450" s="66" t="s">
        <v>267</v>
      </c>
      <c r="O450" s="66" t="s">
        <v>267</v>
      </c>
      <c r="P450" s="85" t="str">
        <f>IF(AND('331-CT'!$E$7=TH!H450,OR(N450="331",O450="331")),"x","")</f>
        <v/>
      </c>
      <c r="Q450" s="85" t="str">
        <f>IF(AND(B450='111'!$L$11,OR($N450=$Q$7,$O450=$Q$7)),"x","")</f>
        <v/>
      </c>
      <c r="R450" s="85" t="str">
        <f>IF(AND($N450=$Q$7,$B450&lt;'111'!$L$11),"x","")</f>
        <v/>
      </c>
      <c r="S450" s="85" t="str">
        <f>IF(AND($O450=$Q$7,$B450&lt;'111'!$L$11),"x","")</f>
        <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
      </c>
      <c r="W450" s="85" t="str">
        <f>IF(AND('341-CT'!$H$9=H450,OR(LEFT(N450,3)=$W$7,LEFT(O450,3)=$W$7)),"x","")</f>
        <v/>
      </c>
      <c r="X450" s="85" t="str">
        <f>IF(OR(TH!N450=TH!$X$7,O450=TH!$X$7),"x","")</f>
        <v/>
      </c>
      <c r="Y450" s="85" t="str">
        <f>IF(AND(OR(N450="131",O450="131"),H450='131-CT'!$H$9),"x","")</f>
        <v/>
      </c>
      <c r="Z450" s="85"/>
      <c r="AA450" s="85" t="str">
        <f>IF(AND(MONTH(E450)='IN-NX'!$J$5,'IN-NX'!$D$7=D450),"x","")</f>
        <v/>
      </c>
      <c r="AB450" s="85" t="str">
        <f>IF(AND(OR(LEFT(TH!N450,2)="15",LEFT(TH!O450,2)="15"),'152-CT'!$J$8=TH!F450),"x","")</f>
        <v/>
      </c>
      <c r="AC450" s="85" t="str">
        <f>IF(AND(OR(LEFT(TH!N450,2)="15",LEFT(TH!O450,2)="15"),TK!$E$7=TH!F450),"x","")</f>
        <v/>
      </c>
      <c r="AD450" s="85" t="str">
        <f>IF(AND(N450="1521",MONTH(C450)='BK-NL'!$M$11),"x","")</f>
        <v/>
      </c>
      <c r="AE450" s="357"/>
    </row>
    <row r="451" spans="1:31" ht="15.75" customHeight="1">
      <c r="A451" s="343" t="str">
        <f>IF(B451&lt;&gt;"",IF(AND(B451='IN-TC'!$S$4,OR(TH!N451="1111",TH!O451="1111")),TH!D451,""),"")</f>
        <v/>
      </c>
      <c r="B451" s="63">
        <f t="shared" si="55"/>
        <v>2</v>
      </c>
      <c r="C451" s="64">
        <v>42422</v>
      </c>
      <c r="D451" s="64" t="s">
        <v>709</v>
      </c>
      <c r="E451" s="64">
        <v>42422</v>
      </c>
      <c r="F451" s="67" t="s">
        <v>716</v>
      </c>
      <c r="G451" s="67" t="s">
        <v>930</v>
      </c>
      <c r="H451" s="74"/>
      <c r="I451" s="447"/>
      <c r="J451" s="447"/>
      <c r="K451" s="438">
        <v>10800</v>
      </c>
      <c r="L451" s="447">
        <v>22375</v>
      </c>
      <c r="M451" s="65">
        <f t="shared" si="58"/>
        <v>241650000</v>
      </c>
      <c r="N451" s="66" t="s">
        <v>26</v>
      </c>
      <c r="O451" s="66" t="s">
        <v>267</v>
      </c>
      <c r="P451" s="85" t="str">
        <f>IF(AND('331-CT'!$E$7=TH!H451,OR(N451="331",O451="331")),"x","")</f>
        <v/>
      </c>
      <c r="Q451" s="85" t="str">
        <f>IF(AND(B451='111'!$L$11,OR($N451=$Q$7,$O451=$Q$7)),"x","")</f>
        <v/>
      </c>
      <c r="R451" s="85" t="str">
        <f>IF(AND($N451=$Q$7,$B451&lt;'111'!$L$11),"x","")</f>
        <v/>
      </c>
      <c r="S451" s="85" t="str">
        <f>IF(AND($O451=$Q$7,$B451&lt;'111'!$L$11),"x","")</f>
        <v/>
      </c>
      <c r="T451" s="85" t="str">
        <f>IF(ISERROR(FIND('112'!$M$9,G451,1)),"",IF((AND(FIND('112'!$M$9,G451,1)&gt;=1,B451='112'!$K$9,OR($N451='112'!$I$6,$O451='112'!$I$6))),"x",""))</f>
        <v/>
      </c>
      <c r="U451" s="85" t="str">
        <f>IF(ISERROR(FIND('112'!$M$9,G451,1)),"",IF((AND(LEFT(G451,2)=LEFT('112'!$M$9,2),B451&lt;'112'!$K$9,$N451='112'!$I$6)),"x",""))</f>
        <v/>
      </c>
      <c r="V451" s="85" t="str">
        <f>IF(ISERROR(FIND('112'!$M$9,G451,1)),"",IF((AND(RIGHT(G451,2)=RIGHT('112'!$M$9,2),B451&lt;'112'!$K$9,$O451='112'!$I$6)),"x",""))</f>
        <v/>
      </c>
      <c r="W451" s="85" t="str">
        <f>IF(AND('341-CT'!$H$9=H451,OR(LEFT(N451,3)=$W$7,LEFT(O451,3)=$W$7)),"x","")</f>
        <v/>
      </c>
      <c r="X451" s="85" t="str">
        <f>IF(OR(TH!N451=TH!$X$7,O451=TH!$X$7),"x","")</f>
        <v/>
      </c>
      <c r="Y451" s="85" t="str">
        <f>IF(AND(OR(N451="131",O451="131"),H451='131-CT'!$H$9),"x","")</f>
        <v/>
      </c>
      <c r="Z451" s="85"/>
      <c r="AA451" s="85" t="str">
        <f>IF(AND(MONTH(E451)='IN-NX'!$J$5,'IN-NX'!$D$7=D451),"x","")</f>
        <v/>
      </c>
      <c r="AB451" s="85" t="str">
        <f>IF(AND(OR(LEFT(TH!N451,2)="15",LEFT(TH!O451,2)="15"),'152-CT'!$J$8=TH!F451),"x","")</f>
        <v/>
      </c>
      <c r="AC451" s="85" t="str">
        <f>IF(AND(OR(LEFT(TH!N451,2)="15",LEFT(TH!O451,2)="15"),TK!$E$7=TH!F451),"x","")</f>
        <v/>
      </c>
      <c r="AD451" s="85" t="str">
        <f>IF(AND(N451="1521",MONTH(C451)='BK-NL'!$M$11),"x","")</f>
        <v/>
      </c>
    </row>
    <row r="452" spans="1:31" ht="15.75" customHeight="1">
      <c r="A452" s="343" t="str">
        <f>IF(B452&lt;&gt;"",IF(AND(B452='IN-TC'!$S$4,OR(TH!N452="1111",TH!O452="1111")),TH!D452,""),"")</f>
        <v/>
      </c>
      <c r="B452" s="63">
        <f t="shared" si="55"/>
        <v>2</v>
      </c>
      <c r="C452" s="64">
        <v>42422</v>
      </c>
      <c r="D452" s="64" t="s">
        <v>709</v>
      </c>
      <c r="E452" s="64">
        <v>42422</v>
      </c>
      <c r="F452" s="67" t="s">
        <v>767</v>
      </c>
      <c r="G452" s="67" t="s">
        <v>929</v>
      </c>
      <c r="H452" s="74" t="s">
        <v>738</v>
      </c>
      <c r="I452" s="447"/>
      <c r="J452" s="447"/>
      <c r="K452" s="438">
        <v>244.49</v>
      </c>
      <c r="L452" s="447">
        <v>22340</v>
      </c>
      <c r="M452" s="65">
        <f t="shared" si="58"/>
        <v>5461907</v>
      </c>
      <c r="N452" s="66" t="s">
        <v>99</v>
      </c>
      <c r="O452" s="66" t="s">
        <v>267</v>
      </c>
      <c r="P452" s="85" t="str">
        <f>IF(AND('331-CT'!$E$7=TH!H452,OR(N452="331",O452="331")),"x","")</f>
        <v/>
      </c>
      <c r="Q452" s="85" t="str">
        <f>IF(AND(B452='111'!$L$11,OR($N452=$Q$7,$O452=$Q$7)),"x","")</f>
        <v/>
      </c>
      <c r="R452" s="85" t="str">
        <f>IF(AND($N452=$Q$7,$B452&lt;'111'!$L$11),"x","")</f>
        <v/>
      </c>
      <c r="S452" s="85" t="str">
        <f>IF(AND($O452=$Q$7,$B452&lt;'111'!$L$11),"x","")</f>
        <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
      </c>
      <c r="W452" s="85" t="str">
        <f>IF(AND('341-CT'!$H$9=H452,OR(LEFT(N452,3)=$W$7,LEFT(O452,3)=$W$7)),"x","")</f>
        <v/>
      </c>
      <c r="X452" s="85" t="str">
        <f>IF(OR(TH!N452=TH!$X$7,O452=TH!$X$7),"x","")</f>
        <v/>
      </c>
      <c r="Y452" s="85" t="str">
        <f>IF(AND(OR(N452="131",O452="131"),H452='131-CT'!$H$9),"x","")</f>
        <v/>
      </c>
      <c r="Z452" s="85"/>
      <c r="AA452" s="85" t="str">
        <f>IF(AND(MONTH(E452)='IN-NX'!$J$5,'IN-NX'!$D$7=D452),"x","")</f>
        <v/>
      </c>
      <c r="AB452" s="85" t="str">
        <f>IF(AND(OR(LEFT(TH!N452,2)="15",LEFT(TH!O452,2)="15"),'152-CT'!$J$8=TH!F452),"x","")</f>
        <v/>
      </c>
      <c r="AC452" s="85" t="str">
        <f>IF(AND(OR(LEFT(TH!N452,2)="15",LEFT(TH!O452,2)="15"),TK!$E$7=TH!F452),"x","")</f>
        <v/>
      </c>
      <c r="AD452" s="85" t="str">
        <f>IF(AND(N452="1521",MONTH(C452)='BK-NL'!$M$11),"x","")</f>
        <v/>
      </c>
    </row>
    <row r="453" spans="1:31" ht="15.75" customHeight="1">
      <c r="A453" s="343" t="str">
        <f>IF(B453&lt;&gt;"",IF(AND(B453='IN-TC'!$S$4,OR(TH!N453="1111",TH!O453="1111")),TH!D453,""),"")</f>
        <v/>
      </c>
      <c r="B453" s="63">
        <f t="shared" si="55"/>
        <v>2</v>
      </c>
      <c r="C453" s="64">
        <v>42422</v>
      </c>
      <c r="D453" s="64" t="s">
        <v>709</v>
      </c>
      <c r="E453" s="64">
        <v>42422</v>
      </c>
      <c r="F453" s="67" t="s">
        <v>768</v>
      </c>
      <c r="G453" s="67" t="s">
        <v>929</v>
      </c>
      <c r="H453" s="74" t="s">
        <v>739</v>
      </c>
      <c r="I453" s="447"/>
      <c r="J453" s="447"/>
      <c r="K453" s="438">
        <v>213.81</v>
      </c>
      <c r="L453" s="447">
        <v>22340</v>
      </c>
      <c r="M453" s="65">
        <f t="shared" si="58"/>
        <v>4776515</v>
      </c>
      <c r="N453" s="66" t="s">
        <v>99</v>
      </c>
      <c r="O453" s="66" t="s">
        <v>267</v>
      </c>
      <c r="P453" s="85" t="str">
        <f>IF(AND('331-CT'!$E$7=TH!H453,OR(N453="331",O453="331")),"x","")</f>
        <v/>
      </c>
      <c r="Q453" s="85" t="str">
        <f>IF(AND(B453='111'!$L$11,OR($N453=$Q$7,$O453=$Q$7)),"x","")</f>
        <v/>
      </c>
      <c r="R453" s="85" t="str">
        <f>IF(AND($N453=$Q$7,$B453&lt;'111'!$L$11),"x","")</f>
        <v/>
      </c>
      <c r="S453" s="85" t="str">
        <f>IF(AND($O453=$Q$7,$B453&lt;'111'!$L$11),"x","")</f>
        <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
      </c>
      <c r="W453" s="85" t="str">
        <f>IF(AND('341-CT'!$H$9=H453,OR(LEFT(N453,3)=$W$7,LEFT(O453,3)=$W$7)),"x","")</f>
        <v/>
      </c>
      <c r="X453" s="85" t="str">
        <f>IF(OR(TH!N453=TH!$X$7,O453=TH!$X$7),"x","")</f>
        <v/>
      </c>
      <c r="Y453" s="85" t="str">
        <f>IF(AND(OR(N453="131",O453="131"),H453='131-CT'!$H$9),"x","")</f>
        <v/>
      </c>
      <c r="Z453" s="85"/>
      <c r="AA453" s="85" t="str">
        <f>IF(AND(MONTH(E453)='IN-NX'!$J$5,'IN-NX'!$D$7=D453),"x","")</f>
        <v/>
      </c>
      <c r="AB453" s="85" t="str">
        <f>IF(AND(OR(LEFT(TH!N453,2)="15",LEFT(TH!O453,2)="15"),'152-CT'!$J$8=TH!F453),"x","")</f>
        <v/>
      </c>
      <c r="AC453" s="85" t="str">
        <f>IF(AND(OR(LEFT(TH!N453,2)="15",LEFT(TH!O453,2)="15"),TK!$E$7=TH!F453),"x","")</f>
        <v/>
      </c>
      <c r="AD453" s="85" t="str">
        <f>IF(AND(N453="1521",MONTH(C453)='BK-NL'!$M$11),"x","")</f>
        <v/>
      </c>
    </row>
    <row r="454" spans="1:31" ht="15.75" customHeight="1">
      <c r="A454" s="343" t="str">
        <f>IF(B454&lt;&gt;"",IF(AND(B454='IN-TC'!$S$4,OR(TH!N454="1111",TH!O454="1111")),TH!D454,""),"")</f>
        <v/>
      </c>
      <c r="B454" s="63">
        <f t="shared" si="55"/>
        <v>2</v>
      </c>
      <c r="C454" s="64">
        <v>42422</v>
      </c>
      <c r="D454" s="64" t="s">
        <v>709</v>
      </c>
      <c r="E454" s="64">
        <v>42422</v>
      </c>
      <c r="F454" s="67" t="s">
        <v>769</v>
      </c>
      <c r="G454" s="67" t="s">
        <v>929</v>
      </c>
      <c r="H454" s="74" t="s">
        <v>740</v>
      </c>
      <c r="I454" s="447"/>
      <c r="J454" s="447"/>
      <c r="K454" s="438">
        <v>113.8</v>
      </c>
      <c r="L454" s="447">
        <v>22340</v>
      </c>
      <c r="M454" s="65">
        <f t="shared" si="58"/>
        <v>2542292</v>
      </c>
      <c r="N454" s="66" t="s">
        <v>99</v>
      </c>
      <c r="O454" s="66" t="s">
        <v>267</v>
      </c>
      <c r="P454" s="85" t="str">
        <f>IF(AND('331-CT'!$E$7=TH!H454,OR(N454="331",O454="331")),"x","")</f>
        <v/>
      </c>
      <c r="Q454" s="85" t="str">
        <f>IF(AND(B454='111'!$L$11,OR($N454=$Q$7,$O454=$Q$7)),"x","")</f>
        <v/>
      </c>
      <c r="R454" s="85" t="str">
        <f>IF(AND($N454=$Q$7,$B454&lt;'111'!$L$11),"x","")</f>
        <v/>
      </c>
      <c r="S454" s="85" t="str">
        <f>IF(AND($O454=$Q$7,$B454&lt;'111'!$L$11),"x","")</f>
        <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
      </c>
      <c r="W454" s="85" t="str">
        <f>IF(AND('341-CT'!$H$9=H454,OR(LEFT(N454,3)=$W$7,LEFT(O454,3)=$W$7)),"x","")</f>
        <v/>
      </c>
      <c r="X454" s="85" t="str">
        <f>IF(OR(TH!N454=TH!$X$7,O454=TH!$X$7),"x","")</f>
        <v/>
      </c>
      <c r="Y454" s="85" t="str">
        <f>IF(AND(OR(N454="131",O454="131"),H454='131-CT'!$H$9),"x","")</f>
        <v/>
      </c>
      <c r="Z454" s="85"/>
      <c r="AA454" s="85" t="str">
        <f>IF(AND(MONTH(E454)='IN-NX'!$J$5,'IN-NX'!$D$7=D454),"x","")</f>
        <v/>
      </c>
      <c r="AB454" s="85" t="str">
        <f>IF(AND(OR(LEFT(TH!N454,2)="15",LEFT(TH!O454,2)="15"),'152-CT'!$J$8=TH!F454),"x","")</f>
        <v/>
      </c>
      <c r="AC454" s="85" t="str">
        <f>IF(AND(OR(LEFT(TH!N454,2)="15",LEFT(TH!O454,2)="15"),TK!$E$7=TH!F454),"x","")</f>
        <v/>
      </c>
      <c r="AD454" s="85" t="str">
        <f>IF(AND(N454="1521",MONTH(C454)='BK-NL'!$M$11),"x","")</f>
        <v/>
      </c>
    </row>
    <row r="455" spans="1:31" ht="15.75" customHeight="1">
      <c r="A455" s="343" t="str">
        <f>IF(B455&lt;&gt;"",IF(AND(B455='IN-TC'!$S$4,OR(TH!N455="1111",TH!O455="1111")),TH!D455,""),"")</f>
        <v/>
      </c>
      <c r="B455" s="63">
        <f t="shared" si="55"/>
        <v>2</v>
      </c>
      <c r="C455" s="64">
        <v>42422</v>
      </c>
      <c r="D455" s="64" t="s">
        <v>709</v>
      </c>
      <c r="E455" s="64">
        <v>42422</v>
      </c>
      <c r="F455" s="67" t="s">
        <v>1075</v>
      </c>
      <c r="G455" s="67" t="s">
        <v>929</v>
      </c>
      <c r="H455" s="74" t="s">
        <v>741</v>
      </c>
      <c r="I455" s="447"/>
      <c r="J455" s="447"/>
      <c r="K455" s="438">
        <v>248.73</v>
      </c>
      <c r="L455" s="447">
        <v>22340</v>
      </c>
      <c r="M455" s="65">
        <f t="shared" si="58"/>
        <v>5556628</v>
      </c>
      <c r="N455" s="66" t="s">
        <v>99</v>
      </c>
      <c r="O455" s="66" t="s">
        <v>267</v>
      </c>
      <c r="P455" s="85" t="str">
        <f>IF(AND('331-CT'!$E$7=TH!H455,OR(N455="331",O455="331")),"x","")</f>
        <v/>
      </c>
      <c r="Q455" s="85" t="str">
        <f>IF(AND(B455='111'!$L$11,OR($N455=$Q$7,$O455=$Q$7)),"x","")</f>
        <v/>
      </c>
      <c r="R455" s="85" t="str">
        <f>IF(AND($N455=$Q$7,$B455&lt;'111'!$L$11),"x","")</f>
        <v/>
      </c>
      <c r="S455" s="85" t="str">
        <f>IF(AND($O455=$Q$7,$B455&lt;'111'!$L$11),"x","")</f>
        <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
      </c>
      <c r="W455" s="85" t="str">
        <f>IF(AND('341-CT'!$H$9=H455,OR(LEFT(N455,3)=$W$7,LEFT(O455,3)=$W$7)),"x","")</f>
        <v/>
      </c>
      <c r="X455" s="85" t="str">
        <f>IF(OR(TH!N455=TH!$X$7,O455=TH!$X$7),"x","")</f>
        <v/>
      </c>
      <c r="Y455" s="85" t="str">
        <f>IF(AND(OR(N455="131",O455="131"),H455='131-CT'!$H$9),"x","")</f>
        <v/>
      </c>
      <c r="Z455" s="85"/>
      <c r="AA455" s="85" t="str">
        <f>IF(AND(MONTH(E455)='IN-NX'!$J$5,'IN-NX'!$D$7=D455),"x","")</f>
        <v/>
      </c>
      <c r="AB455" s="85" t="str">
        <f>IF(AND(OR(LEFT(TH!N455,2)="15",LEFT(TH!O455,2)="15"),'152-CT'!$J$8=TH!F455),"x","")</f>
        <v/>
      </c>
      <c r="AC455" s="85" t="str">
        <f>IF(AND(OR(LEFT(TH!N455,2)="15",LEFT(TH!O455,2)="15"),TK!$E$7=TH!F455),"x","")</f>
        <v/>
      </c>
      <c r="AD455" s="85" t="str">
        <f>IF(AND(N455="1521",MONTH(C455)='BK-NL'!$M$11),"x","")</f>
        <v/>
      </c>
    </row>
    <row r="456" spans="1:31" ht="15.75" customHeight="1">
      <c r="A456" s="343" t="str">
        <f>IF(B456&lt;&gt;"",IF(AND(B456='IN-TC'!$S$4,OR(TH!N456="1111",TH!O456="1111")),TH!D456,""),"")</f>
        <v>C13</v>
      </c>
      <c r="B456" s="63">
        <f t="shared" si="55"/>
        <v>2</v>
      </c>
      <c r="C456" s="64">
        <v>42423</v>
      </c>
      <c r="D456" s="64" t="s">
        <v>892</v>
      </c>
      <c r="E456" s="64">
        <v>42423</v>
      </c>
      <c r="F456" s="69" t="s">
        <v>1020</v>
      </c>
      <c r="G456" s="67" t="s">
        <v>1042</v>
      </c>
      <c r="H456" s="74" t="s">
        <v>1043</v>
      </c>
      <c r="I456" s="447"/>
      <c r="J456" s="447"/>
      <c r="K456" s="438"/>
      <c r="L456" s="447"/>
      <c r="M456" s="65">
        <v>238000</v>
      </c>
      <c r="N456" s="66" t="s">
        <v>101</v>
      </c>
      <c r="O456" s="66" t="s">
        <v>63</v>
      </c>
      <c r="P456" s="85" t="str">
        <f>IF(AND('331-CT'!$E$7=TH!H456,OR(N456="331",O456="331")),"x","")</f>
        <v/>
      </c>
      <c r="Q456" s="85" t="str">
        <f>IF(AND(B456='111'!$L$11,OR($N456=$Q$7,$O456=$Q$7)),"x","")</f>
        <v/>
      </c>
      <c r="R456" s="85" t="str">
        <f>IF(AND($N456=$Q$7,$B456&lt;'111'!$L$11),"x","")</f>
        <v/>
      </c>
      <c r="S456" s="85" t="str">
        <f>IF(AND($O456=$Q$7,$B456&lt;'111'!$L$11),"x","")</f>
        <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
      </c>
      <c r="W456" s="85" t="str">
        <f>IF(AND('341-CT'!$H$9=H456,OR(LEFT(N456,3)=$W$7,LEFT(O456,3)=$W$7)),"x","")</f>
        <v/>
      </c>
      <c r="X456" s="85" t="str">
        <f>IF(OR(TH!N456=TH!$X$7,O456=TH!$X$7),"x","")</f>
        <v/>
      </c>
      <c r="Y456" s="85" t="str">
        <f>IF(AND(OR(N456="131",O456="131"),H456='131-CT'!$H$9),"x","")</f>
        <v/>
      </c>
      <c r="Z456" s="85"/>
      <c r="AA456" s="85" t="str">
        <f>IF(AND(MONTH(E456)='IN-NX'!$J$5,'IN-NX'!$D$7=D456),"x","")</f>
        <v/>
      </c>
      <c r="AB456" s="85" t="str">
        <f>IF(AND(OR(LEFT(TH!N456,2)="15",LEFT(TH!O456,2)="15"),'152-CT'!$J$8=TH!F456),"x","")</f>
        <v/>
      </c>
      <c r="AC456" s="85" t="str">
        <f>IF(AND(OR(LEFT(TH!N456,2)="15",LEFT(TH!O456,2)="15"),TK!$E$7=TH!F456),"x","")</f>
        <v/>
      </c>
      <c r="AD456" s="85" t="str">
        <f>IF(AND(N456="1521",MONTH(C456)='BK-NL'!$M$11),"x","")</f>
        <v/>
      </c>
    </row>
    <row r="457" spans="1:31" ht="15.75" customHeight="1">
      <c r="A457" s="343" t="str">
        <f>IF(B457&lt;&gt;"",IF(AND(B457='IN-TC'!$S$4,OR(TH!N457="1111",TH!O457="1111")),TH!D457,""),"")</f>
        <v>T03</v>
      </c>
      <c r="B457" s="63">
        <f t="shared" si="55"/>
        <v>2</v>
      </c>
      <c r="C457" s="64">
        <v>42423</v>
      </c>
      <c r="D457" s="64" t="s">
        <v>917</v>
      </c>
      <c r="E457" s="64">
        <v>42423</v>
      </c>
      <c r="F457" s="67" t="s">
        <v>755</v>
      </c>
      <c r="G457" s="67" t="s">
        <v>930</v>
      </c>
      <c r="H457" s="75" t="s">
        <v>773</v>
      </c>
      <c r="I457" s="447"/>
      <c r="J457" s="447"/>
      <c r="K457" s="438"/>
      <c r="L457" s="447"/>
      <c r="M457" s="65">
        <v>240000000</v>
      </c>
      <c r="N457" s="66" t="s">
        <v>63</v>
      </c>
      <c r="O457" s="66" t="s">
        <v>26</v>
      </c>
      <c r="P457" s="85" t="str">
        <f>IF(AND('331-CT'!$E$7=TH!H457,OR(N457="331",O457="331")),"x","")</f>
        <v/>
      </c>
      <c r="Q457" s="85" t="str">
        <f>IF(AND(B457='111'!$L$11,OR($N457=$Q$7,$O457=$Q$7)),"x","")</f>
        <v/>
      </c>
      <c r="R457" s="85" t="str">
        <f>IF(AND($N457=$Q$7,$B457&lt;'111'!$L$11),"x","")</f>
        <v/>
      </c>
      <c r="S457" s="85" t="str">
        <f>IF(AND($O457=$Q$7,$B457&lt;'111'!$L$11),"x","")</f>
        <v/>
      </c>
      <c r="T457" s="85" t="str">
        <f>IF(ISERROR(FIND('112'!$M$9,G457,1)),"",IF((AND(FIND('112'!$M$9,G457,1)&gt;=1,B457='112'!$K$9,OR($N457='112'!$I$6,$O457='112'!$I$6))),"x",""))</f>
        <v/>
      </c>
      <c r="U457" s="85" t="str">
        <f>IF(ISERROR(FIND('112'!$M$9,G457,1)),"",IF((AND(LEFT(G457,2)=LEFT('112'!$M$9,2),B457&lt;'112'!$K$9,$N457='112'!$I$6)),"x",""))</f>
        <v/>
      </c>
      <c r="V457" s="85" t="str">
        <f>IF(ISERROR(FIND('112'!$M$9,G457,1)),"",IF((AND(RIGHT(G457,2)=RIGHT('112'!$M$9,2),B457&lt;'112'!$K$9,$O457='112'!$I$6)),"x",""))</f>
        <v/>
      </c>
      <c r="W457" s="85" t="str">
        <f>IF(AND('341-CT'!$H$9=H457,OR(LEFT(N457,3)=$W$7,LEFT(O457,3)=$W$7)),"x","")</f>
        <v/>
      </c>
      <c r="X457" s="85" t="str">
        <f>IF(OR(TH!N457=TH!$X$7,O457=TH!$X$7),"x","")</f>
        <v/>
      </c>
      <c r="Y457" s="85" t="str">
        <f>IF(AND(OR(N457="131",O457="131"),H457='131-CT'!$H$9),"x","")</f>
        <v/>
      </c>
      <c r="Z457" s="85"/>
      <c r="AA457" s="85" t="str">
        <f>IF(AND(MONTH(E457)='IN-NX'!$J$5,'IN-NX'!$D$7=D457),"x","")</f>
        <v/>
      </c>
      <c r="AB457" s="85" t="str">
        <f>IF(AND(OR(LEFT(TH!N457,2)="15",LEFT(TH!O457,2)="15"),'152-CT'!$J$8=TH!F457),"x","")</f>
        <v/>
      </c>
      <c r="AC457" s="85" t="str">
        <f>IF(AND(OR(LEFT(TH!N457,2)="15",LEFT(TH!O457,2)="15"),TK!$E$7=TH!F457),"x","")</f>
        <v/>
      </c>
      <c r="AD457" s="85" t="str">
        <f>IF(AND(N457="1521",MONTH(C457)='BK-NL'!$M$11),"x","")</f>
        <v/>
      </c>
    </row>
    <row r="458" spans="1:31" ht="15.75" customHeight="1">
      <c r="A458" s="343" t="str">
        <f>IF(B458&lt;&gt;"",IF(AND(B458='IN-TC'!$S$4,OR(TH!N458="1111",TH!O458="1111")),TH!D458,""),"")</f>
        <v>C14</v>
      </c>
      <c r="B458" s="63">
        <f t="shared" si="55"/>
        <v>2</v>
      </c>
      <c r="C458" s="64">
        <v>42424</v>
      </c>
      <c r="D458" s="64" t="s">
        <v>893</v>
      </c>
      <c r="E458" s="64">
        <v>42424</v>
      </c>
      <c r="F458" s="67" t="s">
        <v>781</v>
      </c>
      <c r="G458" s="996" t="s">
        <v>1044</v>
      </c>
      <c r="H458" s="74" t="s">
        <v>819</v>
      </c>
      <c r="I458" s="447"/>
      <c r="J458" s="447"/>
      <c r="K458" s="438"/>
      <c r="L458" s="447"/>
      <c r="M458" s="65">
        <v>313527</v>
      </c>
      <c r="N458" s="66" t="s">
        <v>101</v>
      </c>
      <c r="O458" s="66" t="s">
        <v>63</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
      </c>
      <c r="U458" s="85" t="str">
        <f>IF(ISERROR(FIND('112'!$M$9,G458,1)),"",IF((AND(LEFT(G458,2)=LEFT('112'!$M$9,2),B458&lt;'112'!$K$9,$N458='112'!$I$6)),"x",""))</f>
        <v/>
      </c>
      <c r="V458" s="85" t="str">
        <f>IF(ISERROR(FIND('112'!$M$9,G458,1)),"",IF((AND(RIGHT(G458,2)=RIGHT('112'!$M$9,2),B458&lt;'112'!$K$9,$O458='112'!$I$6)),"x",""))</f>
        <v/>
      </c>
      <c r="W458" s="85" t="str">
        <f>IF(AND('341-CT'!$H$9=H458,OR(LEFT(N458,3)=$W$7,LEFT(O458,3)=$W$7)),"x","")</f>
        <v/>
      </c>
      <c r="X458" s="85" t="str">
        <f>IF(OR(TH!N458=TH!$X$7,O458=TH!$X$7),"x","")</f>
        <v/>
      </c>
      <c r="Y458" s="85" t="str">
        <f>IF(AND(OR(N458="131",O458="131"),H458='131-CT'!$H$9),"x","")</f>
        <v/>
      </c>
      <c r="Z458" s="85"/>
      <c r="AA458" s="85" t="str">
        <f>IF(AND(MONTH(E458)='IN-NX'!$J$5,'IN-NX'!$D$7=D458),"x","")</f>
        <v/>
      </c>
      <c r="AB458" s="85" t="str">
        <f>IF(AND(OR(LEFT(TH!N458,2)="15",LEFT(TH!O458,2)="15"),'152-CT'!$J$8=TH!F458),"x","")</f>
        <v/>
      </c>
      <c r="AC458" s="85" t="str">
        <f>IF(AND(OR(LEFT(TH!N458,2)="15",LEFT(TH!O458,2)="15"),TK!$E$7=TH!F458),"x","")</f>
        <v/>
      </c>
      <c r="AD458" s="85" t="str">
        <f>IF(AND(N458="1521",MONTH(C458)='BK-NL'!$M$11),"x","")</f>
        <v/>
      </c>
    </row>
    <row r="459" spans="1:31" ht="15.75" customHeight="1">
      <c r="A459" s="343" t="str">
        <f>IF(B459&lt;&gt;"",IF(AND(B459='IN-TC'!$S$4,OR(TH!N459="1111",TH!O459="1111")),TH!D459,""),"")</f>
        <v>C14</v>
      </c>
      <c r="B459" s="63">
        <f t="shared" ref="B459:B522" si="59">IF(C459&lt;&gt;"",MONTH(C459),"")</f>
        <v>2</v>
      </c>
      <c r="C459" s="64">
        <v>42424</v>
      </c>
      <c r="D459" s="64" t="s">
        <v>893</v>
      </c>
      <c r="E459" s="64">
        <v>42424</v>
      </c>
      <c r="F459" s="67" t="s">
        <v>782</v>
      </c>
      <c r="G459" s="996" t="s">
        <v>1044</v>
      </c>
      <c r="H459" s="74" t="s">
        <v>819</v>
      </c>
      <c r="I459" s="447"/>
      <c r="J459" s="447"/>
      <c r="K459" s="438"/>
      <c r="L459" s="447"/>
      <c r="M459" s="65">
        <v>31353</v>
      </c>
      <c r="N459" s="66" t="s">
        <v>9</v>
      </c>
      <c r="O459" s="66" t="s">
        <v>63</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
      </c>
      <c r="U459" s="85" t="str">
        <f>IF(ISERROR(FIND('112'!$M$9,G459,1)),"",IF((AND(LEFT(G459,2)=LEFT('112'!$M$9,2),B459&lt;'112'!$K$9,$N459='112'!$I$6)),"x",""))</f>
        <v/>
      </c>
      <c r="V459" s="85" t="str">
        <f>IF(ISERROR(FIND('112'!$M$9,G459,1)),"",IF((AND(RIGHT(G459,2)=RIGHT('112'!$M$9,2),B459&lt;'112'!$K$9,$O459='112'!$I$6)),"x",""))</f>
        <v/>
      </c>
      <c r="W459" s="85" t="str">
        <f>IF(AND('341-CT'!$H$9=H459,OR(LEFT(N459,3)=$W$7,LEFT(O459,3)=$W$7)),"x","")</f>
        <v/>
      </c>
      <c r="X459" s="85" t="str">
        <f>IF(OR(TH!N459=TH!$X$7,O459=TH!$X$7),"x","")</f>
        <v/>
      </c>
      <c r="Y459" s="85" t="str">
        <f>IF(AND(OR(N459="131",O459="131"),H459='131-CT'!$H$9),"x","")</f>
        <v/>
      </c>
      <c r="Z459" s="85"/>
      <c r="AA459" s="85" t="str">
        <f>IF(AND(MONTH(E459)='IN-NX'!$J$5,'IN-NX'!$D$7=D459),"x","")</f>
        <v/>
      </c>
      <c r="AB459" s="85" t="str">
        <f>IF(AND(OR(LEFT(TH!N459,2)="15",LEFT(TH!O459,2)="15"),'152-CT'!$J$8=TH!F459),"x","")</f>
        <v/>
      </c>
      <c r="AC459" s="85" t="str">
        <f>IF(AND(OR(LEFT(TH!N459,2)="15",LEFT(TH!O459,2)="15"),TK!$E$7=TH!F459),"x","")</f>
        <v/>
      </c>
      <c r="AD459" s="85" t="str">
        <f>IF(AND(N459="1521",MONTH(C459)='BK-NL'!$M$11),"x","")</f>
        <v/>
      </c>
    </row>
    <row r="460" spans="1:31" ht="15.75" customHeight="1">
      <c r="A460" s="343" t="str">
        <f>IF(B460&lt;&gt;"",IF(AND(B460='IN-TC'!$S$4,OR(TH!N460="1111",TH!O460="1111")),TH!D460,""),"")</f>
        <v>C15</v>
      </c>
      <c r="B460" s="63">
        <f t="shared" si="59"/>
        <v>2</v>
      </c>
      <c r="C460" s="64">
        <v>42424</v>
      </c>
      <c r="D460" s="64" t="s">
        <v>894</v>
      </c>
      <c r="E460" s="64">
        <v>42424</v>
      </c>
      <c r="F460" s="67" t="s">
        <v>746</v>
      </c>
      <c r="G460" s="67" t="s">
        <v>930</v>
      </c>
      <c r="H460" s="67" t="s">
        <v>773</v>
      </c>
      <c r="I460" s="447"/>
      <c r="J460" s="447"/>
      <c r="K460" s="438"/>
      <c r="L460" s="447"/>
      <c r="M460" s="65">
        <v>32000000</v>
      </c>
      <c r="N460" s="66" t="s">
        <v>26</v>
      </c>
      <c r="O460" s="66" t="s">
        <v>63</v>
      </c>
      <c r="P460" s="85" t="str">
        <f>IF(AND('331-CT'!$E$7=TH!H460,OR(N460="331",O460="331")),"x","")</f>
        <v/>
      </c>
      <c r="Q460" s="85" t="str">
        <f>IF(AND(B460='111'!$L$11,OR($N460=$Q$7,$O460=$Q$7)),"x","")</f>
        <v/>
      </c>
      <c r="R460" s="85" t="str">
        <f>IF(AND($N460=$Q$7,$B460&lt;'111'!$L$11),"x","")</f>
        <v/>
      </c>
      <c r="S460" s="85" t="str">
        <f>IF(AND($O460=$Q$7,$B460&lt;'111'!$L$11),"x","")</f>
        <v/>
      </c>
      <c r="T460" s="85" t="str">
        <f>IF(ISERROR(FIND('112'!$M$9,G460,1)),"",IF((AND(FIND('112'!$M$9,G460,1)&gt;=1,B460='112'!$K$9,OR($N460='112'!$I$6,$O460='112'!$I$6))),"x",""))</f>
        <v/>
      </c>
      <c r="U460" s="85" t="str">
        <f>IF(ISERROR(FIND('112'!$M$9,G460,1)),"",IF((AND(LEFT(G460,2)=LEFT('112'!$M$9,2),B460&lt;'112'!$K$9,$N460='112'!$I$6)),"x",""))</f>
        <v/>
      </c>
      <c r="V460" s="85" t="str">
        <f>IF(ISERROR(FIND('112'!$M$9,G460,1)),"",IF((AND(RIGHT(G460,2)=RIGHT('112'!$M$9,2),B460&lt;'112'!$K$9,$O460='112'!$I$6)),"x",""))</f>
        <v/>
      </c>
      <c r="W460" s="85" t="str">
        <f>IF(AND('341-CT'!$H$9=H460,OR(LEFT(N460,3)=$W$7,LEFT(O460,3)=$W$7)),"x","")</f>
        <v/>
      </c>
      <c r="X460" s="85" t="str">
        <f>IF(OR(TH!N460=TH!$X$7,O460=TH!$X$7),"x","")</f>
        <v/>
      </c>
      <c r="Y460" s="85" t="str">
        <f>IF(AND(OR(N460="131",O460="131"),H460='131-CT'!$H$9),"x","")</f>
        <v/>
      </c>
      <c r="Z460" s="85"/>
      <c r="AA460" s="85" t="str">
        <f>IF(AND(MONTH(E460)='IN-NX'!$J$5,'IN-NX'!$D$7=D460),"x","")</f>
        <v/>
      </c>
      <c r="AB460" s="85" t="str">
        <f>IF(AND(OR(LEFT(TH!N460,2)="15",LEFT(TH!O460,2)="15"),'152-CT'!$J$8=TH!F460),"x","")</f>
        <v/>
      </c>
      <c r="AC460" s="85" t="str">
        <f>IF(AND(OR(LEFT(TH!N460,2)="15",LEFT(TH!O460,2)="15"),TK!$E$7=TH!F460),"x","")</f>
        <v/>
      </c>
      <c r="AD460" s="85" t="str">
        <f>IF(AND(N460="1521",MONTH(C460)='BK-NL'!$M$11),"x","")</f>
        <v/>
      </c>
    </row>
    <row r="461" spans="1:31" ht="15.75" customHeight="1">
      <c r="A461" s="343" t="str">
        <f>IF(B461&lt;&gt;"",IF(AND(B461='IN-TC'!$S$4,OR(TH!N461="1111",TH!O461="1111")),TH!D461,""),"")</f>
        <v/>
      </c>
      <c r="B461" s="63">
        <f t="shared" si="59"/>
        <v>2</v>
      </c>
      <c r="C461" s="64">
        <v>42424</v>
      </c>
      <c r="D461" s="64" t="s">
        <v>706</v>
      </c>
      <c r="E461" s="64">
        <v>42424</v>
      </c>
      <c r="F461" s="67" t="s">
        <v>747</v>
      </c>
      <c r="G461" s="67" t="s">
        <v>930</v>
      </c>
      <c r="H461" s="74"/>
      <c r="I461" s="447"/>
      <c r="J461" s="447"/>
      <c r="K461" s="438"/>
      <c r="L461" s="447"/>
      <c r="M461" s="65">
        <v>10829</v>
      </c>
      <c r="N461" s="66" t="s">
        <v>26</v>
      </c>
      <c r="O461" s="66" t="s">
        <v>43</v>
      </c>
      <c r="P461" s="85" t="str">
        <f>IF(AND('331-CT'!$E$7=TH!H461,OR(N461="331",O461="331")),"x","")</f>
        <v/>
      </c>
      <c r="Q461" s="85" t="str">
        <f>IF(AND(B461='111'!$L$11,OR($N461=$Q$7,$O461=$Q$7)),"x","")</f>
        <v/>
      </c>
      <c r="R461" s="85" t="str">
        <f>IF(AND($N461=$Q$7,$B461&lt;'111'!$L$11),"x","")</f>
        <v/>
      </c>
      <c r="S461" s="85" t="str">
        <f>IF(AND($O461=$Q$7,$B461&lt;'111'!$L$11),"x","")</f>
        <v/>
      </c>
      <c r="T461" s="85" t="str">
        <f>IF(ISERROR(FIND('112'!$M$9,G461,1)),"",IF((AND(FIND('112'!$M$9,G461,1)&gt;=1,B461='112'!$K$9,OR($N461='112'!$I$6,$O461='112'!$I$6))),"x",""))</f>
        <v/>
      </c>
      <c r="U461" s="85" t="str">
        <f>IF(ISERROR(FIND('112'!$M$9,G461,1)),"",IF((AND(LEFT(G461,2)=LEFT('112'!$M$9,2),B461&lt;'112'!$K$9,$N461='112'!$I$6)),"x",""))</f>
        <v/>
      </c>
      <c r="V461" s="85" t="str">
        <f>IF(ISERROR(FIND('112'!$M$9,G461,1)),"",IF((AND(RIGHT(G461,2)=RIGHT('112'!$M$9,2),B461&lt;'112'!$K$9,$O461='112'!$I$6)),"x",""))</f>
        <v/>
      </c>
      <c r="W461" s="85" t="str">
        <f>IF(AND('341-CT'!$H$9=H461,OR(LEFT(N461,3)=$W$7,LEFT(O461,3)=$W$7)),"x","")</f>
        <v/>
      </c>
      <c r="X461" s="85" t="str">
        <f>IF(OR(TH!N461=TH!$X$7,O461=TH!$X$7),"x","")</f>
        <v/>
      </c>
      <c r="Y461" s="85" t="str">
        <f>IF(AND(OR(N461="131",O461="131"),H461='131-CT'!$H$9),"x","")</f>
        <v/>
      </c>
      <c r="Z461" s="85"/>
      <c r="AA461" s="85" t="str">
        <f>IF(AND(MONTH(E461)='IN-NX'!$J$5,'IN-NX'!$D$7=D461),"x","")</f>
        <v/>
      </c>
      <c r="AB461" s="85" t="str">
        <f>IF(AND(OR(LEFT(TH!N461,2)="15",LEFT(TH!O461,2)="15"),'152-CT'!$J$8=TH!F461),"x","")</f>
        <v/>
      </c>
      <c r="AC461" s="85" t="str">
        <f>IF(AND(OR(LEFT(TH!N461,2)="15",LEFT(TH!O461,2)="15"),TK!$E$7=TH!F461),"x","")</f>
        <v/>
      </c>
      <c r="AD461" s="85" t="str">
        <f>IF(AND(N461="1521",MONTH(C461)='BK-NL'!$M$11),"x","")</f>
        <v/>
      </c>
    </row>
    <row r="462" spans="1:31" ht="15.75" customHeight="1">
      <c r="A462" s="343" t="str">
        <f>IF(B462&lt;&gt;"",IF(AND(B462='IN-TC'!$S$4,OR(TH!N462="1111",TH!O462="1111")),TH!D462,""),"")</f>
        <v/>
      </c>
      <c r="B462" s="63">
        <f t="shared" si="59"/>
        <v>2</v>
      </c>
      <c r="C462" s="64">
        <v>42424</v>
      </c>
      <c r="D462" s="64" t="s">
        <v>706</v>
      </c>
      <c r="E462" s="64">
        <v>42424</v>
      </c>
      <c r="F462" s="67" t="s">
        <v>749</v>
      </c>
      <c r="G462" s="67" t="s">
        <v>929</v>
      </c>
      <c r="H462" s="74"/>
      <c r="I462" s="447"/>
      <c r="J462" s="447"/>
      <c r="K462" s="438"/>
      <c r="L462" s="447"/>
      <c r="M462" s="65">
        <v>1376</v>
      </c>
      <c r="N462" s="66" t="s">
        <v>26</v>
      </c>
      <c r="O462" s="66" t="s">
        <v>43</v>
      </c>
      <c r="P462" s="85" t="str">
        <f>IF(AND('331-CT'!$E$7=TH!H462,OR(N462="331",O462="331")),"x","")</f>
        <v/>
      </c>
      <c r="Q462" s="85" t="str">
        <f>IF(AND(B462='111'!$L$11,OR($N462=$Q$7,$O462=$Q$7)),"x","")</f>
        <v/>
      </c>
      <c r="R462" s="85" t="str">
        <f>IF(AND($N462=$Q$7,$B462&lt;'111'!$L$11),"x","")</f>
        <v/>
      </c>
      <c r="S462" s="85" t="str">
        <f>IF(AND($O462=$Q$7,$B462&lt;'111'!$L$11),"x","")</f>
        <v/>
      </c>
      <c r="T462" s="85" t="str">
        <f>IF(ISERROR(FIND('112'!$M$9,G462,1)),"",IF((AND(FIND('112'!$M$9,G462,1)&gt;=1,B462='112'!$K$9,OR($N462='112'!$I$6,$O462='112'!$I$6))),"x",""))</f>
        <v/>
      </c>
      <c r="U462" s="85" t="str">
        <f>IF(ISERROR(FIND('112'!$M$9,G462,1)),"",IF((AND(LEFT(G462,2)=LEFT('112'!$M$9,2),B462&lt;'112'!$K$9,$N462='112'!$I$6)),"x",""))</f>
        <v/>
      </c>
      <c r="V462" s="85" t="str">
        <f>IF(ISERROR(FIND('112'!$M$9,G462,1)),"",IF((AND(RIGHT(G462,2)=RIGHT('112'!$M$9,2),B462&lt;'112'!$K$9,$O462='112'!$I$6)),"x",""))</f>
        <v/>
      </c>
      <c r="W462" s="85" t="str">
        <f>IF(AND('341-CT'!$H$9=H462,OR(LEFT(N462,3)=$W$7,LEFT(O462,3)=$W$7)),"x","")</f>
        <v/>
      </c>
      <c r="X462" s="85" t="str">
        <f>IF(OR(TH!N462=TH!$X$7,O462=TH!$X$7),"x","")</f>
        <v/>
      </c>
      <c r="Y462" s="85" t="str">
        <f>IF(AND(OR(N462="131",O462="131"),H462='131-CT'!$H$9),"x","")</f>
        <v/>
      </c>
      <c r="Z462" s="85"/>
      <c r="AA462" s="85" t="str">
        <f>IF(AND(MONTH(E462)='IN-NX'!$J$5,'IN-NX'!$D$7=D462),"x","")</f>
        <v/>
      </c>
      <c r="AB462" s="85" t="str">
        <f>IF(AND(OR(LEFT(TH!N462,2)="15",LEFT(TH!O462,2)="15"),'152-CT'!$J$8=TH!F462),"x","")</f>
        <v/>
      </c>
      <c r="AC462" s="85" t="str">
        <f>IF(AND(OR(LEFT(TH!N462,2)="15",LEFT(TH!O462,2)="15"),TK!$E$7=TH!F462),"x","")</f>
        <v/>
      </c>
      <c r="AD462" s="85" t="str">
        <f>IF(AND(N462="1521",MONTH(C462)='BK-NL'!$M$11),"x","")</f>
        <v/>
      </c>
    </row>
    <row r="463" spans="1:31" ht="15.75" customHeight="1">
      <c r="A463" s="343" t="str">
        <f>IF(B463&lt;&gt;"",IF(AND(B463='IN-TC'!$S$4,OR(TH!N463="1111",TH!O463="1111")),TH!D463,""),"")</f>
        <v/>
      </c>
      <c r="B463" s="63">
        <f t="shared" si="59"/>
        <v>2</v>
      </c>
      <c r="C463" s="64">
        <v>42424</v>
      </c>
      <c r="D463" s="64" t="s">
        <v>709</v>
      </c>
      <c r="E463" s="64">
        <v>42424</v>
      </c>
      <c r="F463" s="67" t="s">
        <v>1116</v>
      </c>
      <c r="G463" s="67" t="s">
        <v>930</v>
      </c>
      <c r="H463" s="67" t="s">
        <v>636</v>
      </c>
      <c r="I463" s="447"/>
      <c r="J463" s="447"/>
      <c r="K463" s="438"/>
      <c r="L463" s="447"/>
      <c r="M463" s="65">
        <v>31890650</v>
      </c>
      <c r="N463" s="66" t="s">
        <v>8</v>
      </c>
      <c r="O463" s="66" t="s">
        <v>26</v>
      </c>
      <c r="P463" s="85" t="str">
        <f>IF(AND('331-CT'!$E$7=TH!H463,OR(N463="331",O463="331")),"x","")</f>
        <v/>
      </c>
      <c r="Q463" s="85" t="str">
        <f>IF(AND(B463='111'!$L$11,OR($N463=$Q$7,$O463=$Q$7)),"x","")</f>
        <v/>
      </c>
      <c r="R463" s="85" t="str">
        <f>IF(AND($N463=$Q$7,$B463&lt;'111'!$L$11),"x","")</f>
        <v/>
      </c>
      <c r="S463" s="85" t="str">
        <f>IF(AND($O463=$Q$7,$B463&lt;'111'!$L$11),"x","")</f>
        <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
      </c>
      <c r="W463" s="85" t="str">
        <f>IF(AND('341-CT'!$H$9=H463,OR(LEFT(N463,3)=$W$7,LEFT(O463,3)=$W$7)),"x","")</f>
        <v/>
      </c>
      <c r="X463" s="85" t="str">
        <f>IF(OR(TH!N463=TH!$X$7,O463=TH!$X$7),"x","")</f>
        <v/>
      </c>
      <c r="Y463" s="85" t="str">
        <f>IF(AND(OR(N463="131",O463="131"),H463='131-CT'!$H$9),"x","")</f>
        <v/>
      </c>
      <c r="Z463" s="85"/>
      <c r="AA463" s="85" t="str">
        <f>IF(AND(MONTH(E463)='IN-NX'!$J$5,'IN-NX'!$D$7=D463),"x","")</f>
        <v/>
      </c>
      <c r="AB463" s="85" t="str">
        <f>IF(AND(OR(LEFT(TH!N463,2)="15",LEFT(TH!O463,2)="15"),'152-CT'!$J$8=TH!F463),"x","")</f>
        <v/>
      </c>
      <c r="AC463" s="85" t="str">
        <f>IF(AND(OR(LEFT(TH!N463,2)="15",LEFT(TH!O463,2)="15"),TK!$E$7=TH!F463),"x","")</f>
        <v/>
      </c>
      <c r="AD463" s="85" t="str">
        <f>IF(AND(N463="1521",MONTH(C463)='BK-NL'!$M$11),"x","")</f>
        <v/>
      </c>
    </row>
    <row r="464" spans="1:31" ht="15.75" customHeight="1">
      <c r="A464" s="343" t="str">
        <f>IF(B464&lt;&gt;"",IF(AND(B464='IN-TC'!$S$4,OR(TH!N464="1111",TH!O464="1111")),TH!D464,""),"")</f>
        <v/>
      </c>
      <c r="B464" s="63">
        <f t="shared" si="59"/>
        <v>2</v>
      </c>
      <c r="C464" s="64">
        <v>42424</v>
      </c>
      <c r="D464" s="64" t="s">
        <v>709</v>
      </c>
      <c r="E464" s="64">
        <v>42424</v>
      </c>
      <c r="F464" s="67" t="s">
        <v>752</v>
      </c>
      <c r="G464" s="67" t="s">
        <v>930</v>
      </c>
      <c r="H464" s="74"/>
      <c r="I464" s="447"/>
      <c r="J464" s="447"/>
      <c r="K464" s="438"/>
      <c r="L464" s="447"/>
      <c r="M464" s="65">
        <v>45000</v>
      </c>
      <c r="N464" s="66" t="s">
        <v>101</v>
      </c>
      <c r="O464" s="66" t="s">
        <v>26</v>
      </c>
      <c r="P464" s="85" t="str">
        <f>IF(AND('331-CT'!$E$7=TH!H464,OR(N464="331",O464="331")),"x","")</f>
        <v/>
      </c>
      <c r="Q464" s="85" t="str">
        <f>IF(AND(B464='111'!$L$11,OR($N464=$Q$7,$O464=$Q$7)),"x","")</f>
        <v/>
      </c>
      <c r="R464" s="85" t="str">
        <f>IF(AND($N464=$Q$7,$B464&lt;'111'!$L$11),"x","")</f>
        <v/>
      </c>
      <c r="S464" s="85" t="str">
        <f>IF(AND($O464=$Q$7,$B464&lt;'111'!$L$11),"x","")</f>
        <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
      </c>
      <c r="W464" s="85" t="str">
        <f>IF(AND('341-CT'!$H$9=H464,OR(LEFT(N464,3)=$W$7,LEFT(O464,3)=$W$7)),"x","")</f>
        <v/>
      </c>
      <c r="X464" s="85" t="str">
        <f>IF(OR(TH!N464=TH!$X$7,O464=TH!$X$7),"x","")</f>
        <v/>
      </c>
      <c r="Y464" s="85" t="str">
        <f>IF(AND(OR(N464="131",O464="131"),H464='131-CT'!$H$9),"x","")</f>
        <v/>
      </c>
      <c r="Z464" s="85"/>
      <c r="AA464" s="85" t="str">
        <f>IF(AND(MONTH(E464)='IN-NX'!$J$5,'IN-NX'!$D$7=D464),"x","")</f>
        <v/>
      </c>
      <c r="AB464" s="85" t="str">
        <f>IF(AND(OR(LEFT(TH!N464,2)="15",LEFT(TH!O464,2)="15"),'152-CT'!$J$8=TH!F464),"x","")</f>
        <v/>
      </c>
      <c r="AC464" s="85" t="str">
        <f>IF(AND(OR(LEFT(TH!N464,2)="15",LEFT(TH!O464,2)="15"),TK!$E$7=TH!F464),"x","")</f>
        <v/>
      </c>
      <c r="AD464" s="85" t="str">
        <f>IF(AND(N464="1521",MONTH(C464)='BK-NL'!$M$11),"x","")</f>
        <v/>
      </c>
    </row>
    <row r="465" spans="1:30" ht="15.75" customHeight="1">
      <c r="A465" s="343" t="str">
        <f>IF(B465&lt;&gt;"",IF(AND(B465='IN-TC'!$S$4,OR(TH!N465="1111",TH!O465="1111")),TH!D465,""),"")</f>
        <v/>
      </c>
      <c r="B465" s="63">
        <f t="shared" si="59"/>
        <v>2</v>
      </c>
      <c r="C465" s="64">
        <v>42424</v>
      </c>
      <c r="D465" s="64" t="s">
        <v>709</v>
      </c>
      <c r="E465" s="64">
        <v>42424</v>
      </c>
      <c r="F465" s="67" t="s">
        <v>754</v>
      </c>
      <c r="G465" s="67" t="s">
        <v>930</v>
      </c>
      <c r="H465" s="74"/>
      <c r="I465" s="447"/>
      <c r="J465" s="447"/>
      <c r="K465" s="438"/>
      <c r="L465" s="447"/>
      <c r="M465" s="65">
        <v>4500</v>
      </c>
      <c r="N465" s="66" t="s">
        <v>9</v>
      </c>
      <c r="O465" s="66" t="s">
        <v>26</v>
      </c>
      <c r="P465" s="85" t="str">
        <f>IF(AND('331-CT'!$E$7=TH!H465,OR(N465="331",O465="331")),"x","")</f>
        <v/>
      </c>
      <c r="Q465" s="85" t="str">
        <f>IF(AND(B465='111'!$L$11,OR($N465=$Q$7,$O465=$Q$7)),"x","")</f>
        <v/>
      </c>
      <c r="R465" s="85" t="str">
        <f>IF(AND($N465=$Q$7,$B465&lt;'111'!$L$11),"x","")</f>
        <v/>
      </c>
      <c r="S465" s="85" t="str">
        <f>IF(AND($O465=$Q$7,$B465&lt;'111'!$L$11),"x","")</f>
        <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
      </c>
      <c r="W465" s="85" t="str">
        <f>IF(AND('341-CT'!$H$9=H465,OR(LEFT(N465,3)=$W$7,LEFT(O465,3)=$W$7)),"x","")</f>
        <v/>
      </c>
      <c r="X465" s="85" t="str">
        <f>IF(OR(TH!N465=TH!$X$7,O465=TH!$X$7),"x","")</f>
        <v/>
      </c>
      <c r="Y465" s="85" t="str">
        <f>IF(AND(OR(N465="131",O465="131"),H465='131-CT'!$H$9),"x","")</f>
        <v/>
      </c>
      <c r="Z465" s="85"/>
      <c r="AA465" s="85" t="str">
        <f>IF(AND(MONTH(E465)='IN-NX'!$J$5,'IN-NX'!$D$7=D465),"x","")</f>
        <v/>
      </c>
      <c r="AB465" s="85" t="str">
        <f>IF(AND(OR(LEFT(TH!N465,2)="15",LEFT(TH!O465,2)="15"),'152-CT'!$J$8=TH!F465),"x","")</f>
        <v/>
      </c>
      <c r="AC465" s="85" t="str">
        <f>IF(AND(OR(LEFT(TH!N465,2)="15",LEFT(TH!O465,2)="15"),TK!$E$7=TH!F465),"x","")</f>
        <v/>
      </c>
      <c r="AD465" s="85" t="str">
        <f>IF(AND(N465="1521",MONTH(C465)='BK-NL'!$M$11),"x","")</f>
        <v/>
      </c>
    </row>
    <row r="466" spans="1:30" ht="15.75" customHeight="1">
      <c r="A466" s="343" t="str">
        <f>IF(B466&lt;&gt;"",IF(AND(B466='IN-TC'!$S$4,OR(TH!N466="1111",TH!O466="1111")),TH!D466,""),"")</f>
        <v/>
      </c>
      <c r="B466" s="63">
        <f t="shared" si="59"/>
        <v>2</v>
      </c>
      <c r="C466" s="64">
        <v>42424</v>
      </c>
      <c r="D466" s="64" t="s">
        <v>709</v>
      </c>
      <c r="E466" s="64">
        <v>42424</v>
      </c>
      <c r="F466" s="67" t="s">
        <v>1074</v>
      </c>
      <c r="G466" s="67" t="s">
        <v>930</v>
      </c>
      <c r="H466" s="74"/>
      <c r="I466" s="447"/>
      <c r="J466" s="447"/>
      <c r="K466" s="438">
        <v>3</v>
      </c>
      <c r="L466" s="447">
        <v>22340</v>
      </c>
      <c r="M466" s="65">
        <f>ROUND(K466*L466,0)</f>
        <v>67020</v>
      </c>
      <c r="N466" s="66" t="s">
        <v>101</v>
      </c>
      <c r="O466" s="66" t="s">
        <v>267</v>
      </c>
      <c r="P466" s="85" t="str">
        <f>IF(AND('331-CT'!$E$7=TH!H466,OR(N466="331",O466="331")),"x","")</f>
        <v/>
      </c>
      <c r="Q466" s="85" t="str">
        <f>IF(AND(B466='111'!$L$11,OR($N466=$Q$7,$O466=$Q$7)),"x","")</f>
        <v/>
      </c>
      <c r="R466" s="85" t="str">
        <f>IF(AND($N466=$Q$7,$B466&lt;'111'!$L$11),"x","")</f>
        <v/>
      </c>
      <c r="S466" s="85" t="str">
        <f>IF(AND($O466=$Q$7,$B466&lt;'111'!$L$11),"x","")</f>
        <v/>
      </c>
      <c r="T466" s="85" t="str">
        <f>IF(ISERROR(FIND('112'!$M$9,G466,1)),"",IF((AND(FIND('112'!$M$9,G466,1)&gt;=1,B466='112'!$K$9,OR($N466='112'!$I$6,$O466='112'!$I$6))),"x",""))</f>
        <v/>
      </c>
      <c r="U466" s="85" t="str">
        <f>IF(ISERROR(FIND('112'!$M$9,G466,1)),"",IF((AND(LEFT(G466,2)=LEFT('112'!$M$9,2),B466&lt;'112'!$K$9,$N466='112'!$I$6)),"x",""))</f>
        <v/>
      </c>
      <c r="V466" s="85" t="str">
        <f>IF(ISERROR(FIND('112'!$M$9,G466,1)),"",IF((AND(RIGHT(G466,2)=RIGHT('112'!$M$9,2),B466&lt;'112'!$K$9,$O466='112'!$I$6)),"x",""))</f>
        <v/>
      </c>
      <c r="W466" s="85" t="str">
        <f>IF(AND('341-CT'!$H$9=H466,OR(LEFT(N466,3)=$W$7,LEFT(O466,3)=$W$7)),"x","")</f>
        <v/>
      </c>
      <c r="X466" s="85" t="str">
        <f>IF(OR(TH!N466=TH!$X$7,O466=TH!$X$7),"x","")</f>
        <v/>
      </c>
      <c r="Y466" s="85" t="str">
        <f>IF(AND(OR(N466="131",O466="131"),H466='131-CT'!$H$9),"x","")</f>
        <v/>
      </c>
      <c r="Z466" s="85"/>
      <c r="AA466" s="85" t="str">
        <f>IF(AND(MONTH(E466)='IN-NX'!$J$5,'IN-NX'!$D$7=D466),"x","")</f>
        <v/>
      </c>
      <c r="AB466" s="85" t="str">
        <f>IF(AND(OR(LEFT(TH!N466,2)="15",LEFT(TH!O466,2)="15"),'152-CT'!$J$8=TH!F466),"x","")</f>
        <v/>
      </c>
      <c r="AC466" s="85" t="str">
        <f>IF(AND(OR(LEFT(TH!N466,2)="15",LEFT(TH!O466,2)="15"),TK!$E$7=TH!F466),"x","")</f>
        <v/>
      </c>
      <c r="AD466" s="85" t="str">
        <f>IF(AND(N466="1521",MONTH(C466)='BK-NL'!$M$11),"x","")</f>
        <v/>
      </c>
    </row>
    <row r="467" spans="1:30" ht="15.75" customHeight="1">
      <c r="A467" s="343" t="str">
        <f>IF(B467&lt;&gt;"",IF(AND(B467='IN-TC'!$S$4,OR(TH!N467="1111",TH!O467="1111")),TH!D467,""),"")</f>
        <v>C16</v>
      </c>
      <c r="B467" s="63">
        <f t="shared" si="59"/>
        <v>2</v>
      </c>
      <c r="C467" s="64">
        <v>42425</v>
      </c>
      <c r="D467" s="320" t="s">
        <v>895</v>
      </c>
      <c r="E467" s="64">
        <v>42425</v>
      </c>
      <c r="F467" s="67" t="s">
        <v>1021</v>
      </c>
      <c r="G467" s="996" t="s">
        <v>1045</v>
      </c>
      <c r="H467" s="74" t="s">
        <v>850</v>
      </c>
      <c r="I467" s="447"/>
      <c r="J467" s="447"/>
      <c r="K467" s="438"/>
      <c r="L467" s="447"/>
      <c r="M467" s="65">
        <v>15000000</v>
      </c>
      <c r="N467" s="66" t="s">
        <v>101</v>
      </c>
      <c r="O467" s="66" t="s">
        <v>63</v>
      </c>
      <c r="P467" s="85" t="str">
        <f>IF(AND('331-CT'!$E$7=TH!H467,OR(N467="331",O467="331")),"x","")</f>
        <v/>
      </c>
      <c r="Q467" s="85" t="str">
        <f>IF(AND(B467='111'!$L$11,OR($N467=$Q$7,$O467=$Q$7)),"x","")</f>
        <v/>
      </c>
      <c r="R467" s="85" t="str">
        <f>IF(AND($N467=$Q$7,$B467&lt;'111'!$L$11),"x","")</f>
        <v/>
      </c>
      <c r="S467" s="85" t="str">
        <f>IF(AND($O467=$Q$7,$B467&lt;'111'!$L$11),"x","")</f>
        <v/>
      </c>
      <c r="T467" s="85" t="str">
        <f>IF(ISERROR(FIND('112'!$M$9,G467,1)),"",IF((AND(FIND('112'!$M$9,G467,1)&gt;=1,B467='112'!$K$9,OR($N467='112'!$I$6,$O467='112'!$I$6))),"x",""))</f>
        <v/>
      </c>
      <c r="U467" s="85" t="str">
        <f>IF(ISERROR(FIND('112'!$M$9,G467,1)),"",IF((AND(LEFT(G467,2)=LEFT('112'!$M$9,2),B467&lt;'112'!$K$9,$N467='112'!$I$6)),"x",""))</f>
        <v/>
      </c>
      <c r="V467" s="85" t="str">
        <f>IF(ISERROR(FIND('112'!$M$9,G467,1)),"",IF((AND(RIGHT(G467,2)=RIGHT('112'!$M$9,2),B467&lt;'112'!$K$9,$O467='112'!$I$6)),"x",""))</f>
        <v/>
      </c>
      <c r="W467" s="85" t="str">
        <f>IF(AND('341-CT'!$H$9=H467,OR(LEFT(N467,3)=$W$7,LEFT(O467,3)=$W$7)),"x","")</f>
        <v/>
      </c>
      <c r="X467" s="85" t="str">
        <f>IF(OR(TH!N467=TH!$X$7,O467=TH!$X$7),"x","")</f>
        <v/>
      </c>
      <c r="Y467" s="85" t="str">
        <f>IF(AND(OR(N467="131",O467="131"),H467='131-CT'!$H$9),"x","")</f>
        <v/>
      </c>
      <c r="Z467" s="85"/>
      <c r="AA467" s="85" t="str">
        <f>IF(AND(MONTH(E467)='IN-NX'!$J$5,'IN-NX'!$D$7=D467),"x","")</f>
        <v/>
      </c>
      <c r="AB467" s="85" t="str">
        <f>IF(AND(OR(LEFT(TH!N467,2)="15",LEFT(TH!O467,2)="15"),'152-CT'!$J$8=TH!F467),"x","")</f>
        <v/>
      </c>
      <c r="AC467" s="85" t="str">
        <f>IF(AND(OR(LEFT(TH!N467,2)="15",LEFT(TH!O467,2)="15"),TK!$E$7=TH!F467),"x","")</f>
        <v/>
      </c>
      <c r="AD467" s="85" t="str">
        <f>IF(AND(N467="1521",MONTH(C467)='BK-NL'!$M$11),"x","")</f>
        <v/>
      </c>
    </row>
    <row r="468" spans="1:30" ht="15.75" customHeight="1">
      <c r="A468" s="343" t="str">
        <f>IF(B468&lt;&gt;"",IF(AND(B468='IN-TC'!$S$4,OR(TH!N468="1111",TH!O468="1111")),TH!D468,""),"")</f>
        <v>C16</v>
      </c>
      <c r="B468" s="63">
        <f t="shared" si="59"/>
        <v>2</v>
      </c>
      <c r="C468" s="64">
        <v>42425</v>
      </c>
      <c r="D468" s="320" t="s">
        <v>895</v>
      </c>
      <c r="E468" s="64">
        <v>42425</v>
      </c>
      <c r="F468" s="67" t="s">
        <v>1022</v>
      </c>
      <c r="G468" s="67" t="s">
        <v>1045</v>
      </c>
      <c r="H468" s="74" t="s">
        <v>850</v>
      </c>
      <c r="I468" s="447"/>
      <c r="J468" s="447"/>
      <c r="K468" s="438"/>
      <c r="L468" s="447"/>
      <c r="M468" s="65">
        <v>1500000</v>
      </c>
      <c r="N468" s="66" t="s">
        <v>9</v>
      </c>
      <c r="O468" s="66" t="s">
        <v>63</v>
      </c>
      <c r="P468" s="85" t="str">
        <f>IF(AND('331-CT'!$E$7=TH!H468,OR(N468="331",O468="331")),"x","")</f>
        <v/>
      </c>
      <c r="Q468" s="85" t="str">
        <f>IF(AND(B468='111'!$L$11,OR($N468=$Q$7,$O468=$Q$7)),"x","")</f>
        <v/>
      </c>
      <c r="R468" s="85" t="str">
        <f>IF(AND($N468=$Q$7,$B468&lt;'111'!$L$11),"x","")</f>
        <v/>
      </c>
      <c r="S468" s="85" t="str">
        <f>IF(AND($O468=$Q$7,$B468&lt;'111'!$L$11),"x","")</f>
        <v/>
      </c>
      <c r="T468" s="85" t="str">
        <f>IF(ISERROR(FIND('112'!$M$9,G468,1)),"",IF((AND(FIND('112'!$M$9,G468,1)&gt;=1,B468='112'!$K$9,OR($N468='112'!$I$6,$O468='112'!$I$6))),"x",""))</f>
        <v/>
      </c>
      <c r="U468" s="85" t="str">
        <f>IF(ISERROR(FIND('112'!$M$9,G468,1)),"",IF((AND(LEFT(G468,2)=LEFT('112'!$M$9,2),B468&lt;'112'!$K$9,$N468='112'!$I$6)),"x",""))</f>
        <v/>
      </c>
      <c r="V468" s="85" t="str">
        <f>IF(ISERROR(FIND('112'!$M$9,G468,1)),"",IF((AND(RIGHT(G468,2)=RIGHT('112'!$M$9,2),B468&lt;'112'!$K$9,$O468='112'!$I$6)),"x",""))</f>
        <v/>
      </c>
      <c r="W468" s="85" t="str">
        <f>IF(AND('341-CT'!$H$9=H468,OR(LEFT(N468,3)=$W$7,LEFT(O468,3)=$W$7)),"x","")</f>
        <v/>
      </c>
      <c r="X468" s="85" t="str">
        <f>IF(OR(TH!N468=TH!$X$7,O468=TH!$X$7),"x","")</f>
        <v/>
      </c>
      <c r="Y468" s="85" t="str">
        <f>IF(AND(OR(N468="131",O468="131"),H468='131-CT'!$H$9),"x","")</f>
        <v/>
      </c>
      <c r="Z468" s="85"/>
      <c r="AA468" s="85" t="str">
        <f>IF(AND(MONTH(E468)='IN-NX'!$J$5,'IN-NX'!$D$7=D468),"x","")</f>
        <v/>
      </c>
      <c r="AB468" s="85" t="str">
        <f>IF(AND(OR(LEFT(TH!N468,2)="15",LEFT(TH!O468,2)="15"),'152-CT'!$J$8=TH!F468),"x","")</f>
        <v/>
      </c>
      <c r="AC468" s="85" t="str">
        <f>IF(AND(OR(LEFT(TH!N468,2)="15",LEFT(TH!O468,2)="15"),TK!$E$7=TH!F468),"x","")</f>
        <v/>
      </c>
      <c r="AD468" s="85" t="str">
        <f>IF(AND(N468="1521",MONTH(C468)='BK-NL'!$M$11),"x","")</f>
        <v/>
      </c>
    </row>
    <row r="469" spans="1:30" ht="15.75" customHeight="1">
      <c r="A469" s="343" t="str">
        <f>IF(B469&lt;&gt;"",IF(AND(B469='IN-TC'!$S$4,OR(TH!N469="1111",TH!O469="1111")),TH!D469,""),"")</f>
        <v/>
      </c>
      <c r="B469" s="63">
        <f t="shared" si="59"/>
        <v>2</v>
      </c>
      <c r="C469" s="64">
        <v>42425</v>
      </c>
      <c r="D469" s="64" t="s">
        <v>709</v>
      </c>
      <c r="E469" s="64">
        <v>42425</v>
      </c>
      <c r="F469" s="67" t="s">
        <v>1057</v>
      </c>
      <c r="G469" s="67" t="s">
        <v>930</v>
      </c>
      <c r="H469" s="74" t="s">
        <v>1235</v>
      </c>
      <c r="I469" s="447"/>
      <c r="J469" s="447"/>
      <c r="K469" s="438"/>
      <c r="L469" s="447"/>
      <c r="M469" s="65">
        <v>5000000</v>
      </c>
      <c r="N469" s="66" t="s">
        <v>72</v>
      </c>
      <c r="O469" s="66" t="s">
        <v>26</v>
      </c>
      <c r="P469" s="85" t="str">
        <f>IF(AND('331-CT'!$E$7=TH!H469,OR(N469="331",O469="331")),"x","")</f>
        <v/>
      </c>
      <c r="Q469" s="85" t="str">
        <f>IF(AND(B469='111'!$L$11,OR($N469=$Q$7,$O469=$Q$7)),"x","")</f>
        <v/>
      </c>
      <c r="R469" s="85" t="str">
        <f>IF(AND($N469=$Q$7,$B469&lt;'111'!$L$11),"x","")</f>
        <v/>
      </c>
      <c r="S469" s="85" t="str">
        <f>IF(AND($O469=$Q$7,$B469&lt;'111'!$L$11),"x","")</f>
        <v/>
      </c>
      <c r="T469" s="85" t="str">
        <f>IF(ISERROR(FIND('112'!$M$9,G469,1)),"",IF((AND(FIND('112'!$M$9,G469,1)&gt;=1,B469='112'!$K$9,OR($N469='112'!$I$6,$O469='112'!$I$6))),"x",""))</f>
        <v/>
      </c>
      <c r="U469" s="85" t="str">
        <f>IF(ISERROR(FIND('112'!$M$9,G469,1)),"",IF((AND(LEFT(G469,2)=LEFT('112'!$M$9,2),B469&lt;'112'!$K$9,$N469='112'!$I$6)),"x",""))</f>
        <v/>
      </c>
      <c r="V469" s="85" t="str">
        <f>IF(ISERROR(FIND('112'!$M$9,G469,1)),"",IF((AND(RIGHT(G469,2)=RIGHT('112'!$M$9,2),B469&lt;'112'!$K$9,$O469='112'!$I$6)),"x",""))</f>
        <v/>
      </c>
      <c r="W469" s="85" t="str">
        <f>IF(AND('341-CT'!$H$9=H469,OR(LEFT(N469,3)=$W$7,LEFT(O469,3)=$W$7)),"x","")</f>
        <v/>
      </c>
      <c r="X469" s="85" t="str">
        <f>IF(OR(TH!N469=TH!$X$7,O469=TH!$X$7),"x","")</f>
        <v>x</v>
      </c>
      <c r="Y469" s="85" t="str">
        <f>IF(AND(OR(N469="131",O469="131"),H469='131-CT'!$H$9),"x","")</f>
        <v/>
      </c>
      <c r="Z469" s="85"/>
      <c r="AA469" s="85" t="str">
        <f>IF(AND(MONTH(E469)='IN-NX'!$J$5,'IN-NX'!$D$7=D469),"x","")</f>
        <v/>
      </c>
      <c r="AB469" s="85" t="str">
        <f>IF(AND(OR(LEFT(TH!N469,2)="15",LEFT(TH!O469,2)="15"),'152-CT'!$J$8=TH!F469),"x","")</f>
        <v/>
      </c>
      <c r="AC469" s="85" t="str">
        <f>IF(AND(OR(LEFT(TH!N469,2)="15",LEFT(TH!O469,2)="15"),TK!$E$7=TH!F469),"x","")</f>
        <v/>
      </c>
      <c r="AD469" s="85" t="str">
        <f>IF(AND(N469="1521",MONTH(C469)='BK-NL'!$M$11),"x","")</f>
        <v/>
      </c>
    </row>
    <row r="470" spans="1:30" ht="15.75" customHeight="1">
      <c r="A470" s="343" t="str">
        <f>IF(B470&lt;&gt;"",IF(AND(B470='IN-TC'!$S$4,OR(TH!N470="1111",TH!O470="1111")),TH!D470,""),"")</f>
        <v>C17</v>
      </c>
      <c r="B470" s="63">
        <f t="shared" si="59"/>
        <v>2</v>
      </c>
      <c r="C470" s="64">
        <v>42426</v>
      </c>
      <c r="D470" s="64" t="s">
        <v>896</v>
      </c>
      <c r="E470" s="64">
        <v>42426</v>
      </c>
      <c r="F470" s="67" t="s">
        <v>1023</v>
      </c>
      <c r="G470" s="67" t="s">
        <v>1046</v>
      </c>
      <c r="H470" s="74" t="s">
        <v>1047</v>
      </c>
      <c r="I470" s="447"/>
      <c r="J470" s="447"/>
      <c r="K470" s="438"/>
      <c r="L470" s="447"/>
      <c r="M470" s="65">
        <v>8227273</v>
      </c>
      <c r="N470" s="66" t="s">
        <v>101</v>
      </c>
      <c r="O470" s="66" t="s">
        <v>63</v>
      </c>
      <c r="P470" s="85" t="str">
        <f>IF(AND('331-CT'!$E$7=TH!H470,OR(N470="331",O470="331")),"x","")</f>
        <v/>
      </c>
      <c r="Q470" s="85" t="str">
        <f>IF(AND(B470='111'!$L$11,OR($N470=$Q$7,$O470=$Q$7)),"x","")</f>
        <v/>
      </c>
      <c r="R470" s="85" t="str">
        <f>IF(AND($N470=$Q$7,$B470&lt;'111'!$L$11),"x","")</f>
        <v/>
      </c>
      <c r="S470" s="85" t="str">
        <f>IF(AND($O470=$Q$7,$B470&lt;'111'!$L$11),"x","")</f>
        <v/>
      </c>
      <c r="T470" s="85" t="str">
        <f>IF(ISERROR(FIND('112'!$M$9,G470,1)),"",IF((AND(FIND('112'!$M$9,G470,1)&gt;=1,B470='112'!$K$9,OR($N470='112'!$I$6,$O470='112'!$I$6))),"x",""))</f>
        <v/>
      </c>
      <c r="U470" s="85" t="str">
        <f>IF(ISERROR(FIND('112'!$M$9,G470,1)),"",IF((AND(LEFT(G470,2)=LEFT('112'!$M$9,2),B470&lt;'112'!$K$9,$N470='112'!$I$6)),"x",""))</f>
        <v/>
      </c>
      <c r="V470" s="85" t="str">
        <f>IF(ISERROR(FIND('112'!$M$9,G470,1)),"",IF((AND(RIGHT(G470,2)=RIGHT('112'!$M$9,2),B470&lt;'112'!$K$9,$O470='112'!$I$6)),"x",""))</f>
        <v/>
      </c>
      <c r="W470" s="85" t="str">
        <f>IF(AND('341-CT'!$H$9=H470,OR(LEFT(N470,3)=$W$7,LEFT(O470,3)=$W$7)),"x","")</f>
        <v/>
      </c>
      <c r="X470" s="85" t="str">
        <f>IF(OR(TH!N470=TH!$X$7,O470=TH!$X$7),"x","")</f>
        <v/>
      </c>
      <c r="Y470" s="85" t="str">
        <f>IF(AND(OR(N470="131",O470="131"),H470='131-CT'!$H$9),"x","")</f>
        <v/>
      </c>
      <c r="Z470" s="85"/>
      <c r="AA470" s="85" t="str">
        <f>IF(AND(MONTH(E470)='IN-NX'!$J$5,'IN-NX'!$D$7=D470),"x","")</f>
        <v/>
      </c>
      <c r="AB470" s="85" t="str">
        <f>IF(AND(OR(LEFT(TH!N470,2)="15",LEFT(TH!O470,2)="15"),'152-CT'!$J$8=TH!F470),"x","")</f>
        <v/>
      </c>
      <c r="AC470" s="85" t="str">
        <f>IF(AND(OR(LEFT(TH!N470,2)="15",LEFT(TH!O470,2)="15"),TK!$E$7=TH!F470),"x","")</f>
        <v/>
      </c>
      <c r="AD470" s="85" t="str">
        <f>IF(AND(N470="1521",MONTH(C470)='BK-NL'!$M$11),"x","")</f>
        <v/>
      </c>
    </row>
    <row r="471" spans="1:30" ht="15.75" customHeight="1">
      <c r="A471" s="343" t="str">
        <f>IF(B471&lt;&gt;"",IF(AND(B471='IN-TC'!$S$4,OR(TH!N471="1111",TH!O471="1111")),TH!D471,""),"")</f>
        <v>C17</v>
      </c>
      <c r="B471" s="63">
        <f t="shared" si="59"/>
        <v>2</v>
      </c>
      <c r="C471" s="64">
        <v>42426</v>
      </c>
      <c r="D471" s="64" t="s">
        <v>896</v>
      </c>
      <c r="E471" s="64">
        <v>42426</v>
      </c>
      <c r="F471" s="67" t="s">
        <v>1024</v>
      </c>
      <c r="G471" s="67" t="s">
        <v>1046</v>
      </c>
      <c r="H471" s="74" t="s">
        <v>1047</v>
      </c>
      <c r="I471" s="447"/>
      <c r="J471" s="447"/>
      <c r="K471" s="438"/>
      <c r="L471" s="447"/>
      <c r="M471" s="65">
        <v>822727</v>
      </c>
      <c r="N471" s="66" t="s">
        <v>9</v>
      </c>
      <c r="O471" s="66" t="s">
        <v>63</v>
      </c>
      <c r="P471" s="85" t="str">
        <f>IF(AND('331-CT'!$E$7=TH!H471,OR(N471="331",O471="331")),"x","")</f>
        <v/>
      </c>
      <c r="Q471" s="85" t="str">
        <f>IF(AND(B471='111'!$L$11,OR($N471=$Q$7,$O471=$Q$7)),"x","")</f>
        <v/>
      </c>
      <c r="R471" s="85" t="str">
        <f>IF(AND($N471=$Q$7,$B471&lt;'111'!$L$11),"x","")</f>
        <v/>
      </c>
      <c r="S471" s="85" t="str">
        <f>IF(AND($O471=$Q$7,$B471&lt;'111'!$L$11),"x","")</f>
        <v/>
      </c>
      <c r="T471" s="85" t="str">
        <f>IF(ISERROR(FIND('112'!$M$9,G471,1)),"",IF((AND(FIND('112'!$M$9,G471,1)&gt;=1,B471='112'!$K$9,OR($N471='112'!$I$6,$O471='112'!$I$6))),"x",""))</f>
        <v/>
      </c>
      <c r="U471" s="85" t="str">
        <f>IF(ISERROR(FIND('112'!$M$9,G471,1)),"",IF((AND(LEFT(G471,2)=LEFT('112'!$M$9,2),B471&lt;'112'!$K$9,$N471='112'!$I$6)),"x",""))</f>
        <v/>
      </c>
      <c r="V471" s="85" t="str">
        <f>IF(ISERROR(FIND('112'!$M$9,G471,1)),"",IF((AND(RIGHT(G471,2)=RIGHT('112'!$M$9,2),B471&lt;'112'!$K$9,$O471='112'!$I$6)),"x",""))</f>
        <v/>
      </c>
      <c r="W471" s="85" t="str">
        <f>IF(AND('341-CT'!$H$9=H471,OR(LEFT(N471,3)=$W$7,LEFT(O471,3)=$W$7)),"x","")</f>
        <v/>
      </c>
      <c r="X471" s="85" t="str">
        <f>IF(OR(TH!N471=TH!$X$7,O471=TH!$X$7),"x","")</f>
        <v/>
      </c>
      <c r="Y471" s="85" t="str">
        <f>IF(AND(OR(N471="131",O471="131"),H471='131-CT'!$H$9),"x","")</f>
        <v/>
      </c>
      <c r="Z471" s="85"/>
      <c r="AA471" s="85" t="str">
        <f>IF(AND(MONTH(E471)='IN-NX'!$J$5,'IN-NX'!$D$7=D471),"x","")</f>
        <v/>
      </c>
      <c r="AB471" s="85" t="str">
        <f>IF(AND(OR(LEFT(TH!N471,2)="15",LEFT(TH!O471,2)="15"),'152-CT'!$J$8=TH!F471),"x","")</f>
        <v/>
      </c>
      <c r="AC471" s="85" t="str">
        <f>IF(AND(OR(LEFT(TH!N471,2)="15",LEFT(TH!O471,2)="15"),TK!$E$7=TH!F471),"x","")</f>
        <v/>
      </c>
      <c r="AD471" s="85" t="str">
        <f>IF(AND(N471="1521",MONTH(C471)='BK-NL'!$M$11),"x","")</f>
        <v/>
      </c>
    </row>
    <row r="472" spans="1:30" ht="15.75" customHeight="1">
      <c r="A472" s="343" t="str">
        <f>IF(B472&lt;&gt;"",IF(AND(B472='IN-TC'!$S$4,OR(TH!N472="1111",TH!O472="1111")),TH!D472,""),"")</f>
        <v>C18</v>
      </c>
      <c r="B472" s="63">
        <f t="shared" si="59"/>
        <v>2</v>
      </c>
      <c r="C472" s="64">
        <v>42427</v>
      </c>
      <c r="D472" s="64" t="s">
        <v>897</v>
      </c>
      <c r="E472" s="64">
        <v>42427</v>
      </c>
      <c r="F472" s="67" t="s">
        <v>1025</v>
      </c>
      <c r="G472" s="67" t="s">
        <v>1048</v>
      </c>
      <c r="H472" s="74" t="s">
        <v>1049</v>
      </c>
      <c r="I472" s="447"/>
      <c r="J472" s="447"/>
      <c r="K472" s="438"/>
      <c r="L472" s="447"/>
      <c r="M472" s="65">
        <v>2100000</v>
      </c>
      <c r="N472" s="66" t="s">
        <v>101</v>
      </c>
      <c r="O472" s="66" t="s">
        <v>63</v>
      </c>
      <c r="P472" s="85" t="str">
        <f>IF(AND('331-CT'!$E$7=TH!H472,OR(N472="331",O472="331")),"x","")</f>
        <v/>
      </c>
      <c r="Q472" s="85" t="str">
        <f>IF(AND(B472='111'!$L$11,OR($N472=$Q$7,$O472=$Q$7)),"x","")</f>
        <v/>
      </c>
      <c r="R472" s="85" t="str">
        <f>IF(AND($N472=$Q$7,$B472&lt;'111'!$L$11),"x","")</f>
        <v/>
      </c>
      <c r="S472" s="85" t="str">
        <f>IF(AND($O472=$Q$7,$B472&lt;'111'!$L$11),"x","")</f>
        <v/>
      </c>
      <c r="T472" s="85" t="str">
        <f>IF(ISERROR(FIND('112'!$M$9,G472,1)),"",IF((AND(FIND('112'!$M$9,G472,1)&gt;=1,B472='112'!$K$9,OR($N472='112'!$I$6,$O472='112'!$I$6))),"x",""))</f>
        <v/>
      </c>
      <c r="U472" s="85" t="str">
        <f>IF(ISERROR(FIND('112'!$M$9,G472,1)),"",IF((AND(LEFT(G472,2)=LEFT('112'!$M$9,2),B472&lt;'112'!$K$9,$N472='112'!$I$6)),"x",""))</f>
        <v/>
      </c>
      <c r="V472" s="85" t="str">
        <f>IF(ISERROR(FIND('112'!$M$9,G472,1)),"",IF((AND(RIGHT(G472,2)=RIGHT('112'!$M$9,2),B472&lt;'112'!$K$9,$O472='112'!$I$6)),"x",""))</f>
        <v/>
      </c>
      <c r="W472" s="85" t="str">
        <f>IF(AND('341-CT'!$H$9=H472,OR(LEFT(N472,3)=$W$7,LEFT(O472,3)=$W$7)),"x","")</f>
        <v/>
      </c>
      <c r="X472" s="85" t="str">
        <f>IF(OR(TH!N472=TH!$X$7,O472=TH!$X$7),"x","")</f>
        <v/>
      </c>
      <c r="Y472" s="85" t="str">
        <f>IF(AND(OR(N472="131",O472="131"),H472='131-CT'!$H$9),"x","")</f>
        <v/>
      </c>
      <c r="Z472" s="85"/>
      <c r="AA472" s="85" t="str">
        <f>IF(AND(MONTH(E472)='IN-NX'!$J$5,'IN-NX'!$D$7=D472),"x","")</f>
        <v/>
      </c>
      <c r="AB472" s="85" t="str">
        <f>IF(AND(OR(LEFT(TH!N472,2)="15",LEFT(TH!O472,2)="15"),'152-CT'!$J$8=TH!F472),"x","")</f>
        <v/>
      </c>
      <c r="AC472" s="85" t="str">
        <f>IF(AND(OR(LEFT(TH!N472,2)="15",LEFT(TH!O472,2)="15"),TK!$E$7=TH!F472),"x","")</f>
        <v/>
      </c>
      <c r="AD472" s="85" t="str">
        <f>IF(AND(N472="1521",MONTH(C472)='BK-NL'!$M$11),"x","")</f>
        <v/>
      </c>
    </row>
    <row r="473" spans="1:30" ht="15.75" customHeight="1">
      <c r="A473" s="343" t="str">
        <f>IF(B473&lt;&gt;"",IF(AND(B473='IN-TC'!$S$4,OR(TH!N473="1111",TH!O473="1111")),TH!D473,""),"")</f>
        <v>C19</v>
      </c>
      <c r="B473" s="63">
        <f t="shared" si="59"/>
        <v>2</v>
      </c>
      <c r="C473" s="64">
        <v>42427</v>
      </c>
      <c r="D473" s="64" t="s">
        <v>898</v>
      </c>
      <c r="E473" s="64">
        <v>42427</v>
      </c>
      <c r="F473" s="67" t="s">
        <v>1016</v>
      </c>
      <c r="G473" s="67" t="s">
        <v>1050</v>
      </c>
      <c r="H473" s="74" t="s">
        <v>819</v>
      </c>
      <c r="I473" s="447"/>
      <c r="J473" s="447"/>
      <c r="K473" s="438"/>
      <c r="L473" s="447"/>
      <c r="M473" s="65">
        <v>512318</v>
      </c>
      <c r="N473" s="66" t="s">
        <v>101</v>
      </c>
      <c r="O473" s="66" t="s">
        <v>63</v>
      </c>
      <c r="P473" s="85" t="str">
        <f>IF(AND('331-CT'!$E$7=TH!H473,OR(N473="331",O473="331")),"x","")</f>
        <v/>
      </c>
      <c r="Q473" s="85" t="str">
        <f>IF(AND(B473='111'!$L$11,OR($N473=$Q$7,$O473=$Q$7)),"x","")</f>
        <v/>
      </c>
      <c r="R473" s="85" t="str">
        <f>IF(AND($N473=$Q$7,$B473&lt;'111'!$L$11),"x","")</f>
        <v/>
      </c>
      <c r="S473" s="85" t="str">
        <f>IF(AND($O473=$Q$7,$B473&lt;'111'!$L$11),"x","")</f>
        <v/>
      </c>
      <c r="T473" s="85" t="str">
        <f>IF(ISERROR(FIND('112'!$M$9,G473,1)),"",IF((AND(FIND('112'!$M$9,G473,1)&gt;=1,B473='112'!$K$9,OR($N473='112'!$I$6,$O473='112'!$I$6))),"x",""))</f>
        <v/>
      </c>
      <c r="U473" s="85" t="str">
        <f>IF(ISERROR(FIND('112'!$M$9,G473,1)),"",IF((AND(LEFT(G473,2)=LEFT('112'!$M$9,2),B473&lt;'112'!$K$9,$N473='112'!$I$6)),"x",""))</f>
        <v/>
      </c>
      <c r="V473" s="85" t="str">
        <f>IF(ISERROR(FIND('112'!$M$9,G473,1)),"",IF((AND(RIGHT(G473,2)=RIGHT('112'!$M$9,2),B473&lt;'112'!$K$9,$O473='112'!$I$6)),"x",""))</f>
        <v/>
      </c>
      <c r="W473" s="85" t="str">
        <f>IF(AND('341-CT'!$H$9=H473,OR(LEFT(N473,3)=$W$7,LEFT(O473,3)=$W$7)),"x","")</f>
        <v/>
      </c>
      <c r="X473" s="85" t="str">
        <f>IF(OR(TH!N473=TH!$X$7,O473=TH!$X$7),"x","")</f>
        <v/>
      </c>
      <c r="Y473" s="85" t="str">
        <f>IF(AND(OR(N473="131",O473="131"),H473='131-CT'!$H$9),"x","")</f>
        <v/>
      </c>
      <c r="Z473" s="85"/>
      <c r="AA473" s="85" t="str">
        <f>IF(AND(MONTH(E473)='IN-NX'!$J$5,'IN-NX'!$D$7=D473),"x","")</f>
        <v/>
      </c>
      <c r="AB473" s="85" t="str">
        <f>IF(AND(OR(LEFT(TH!N473,2)="15",LEFT(TH!O473,2)="15"),'152-CT'!$J$8=TH!F473),"x","")</f>
        <v/>
      </c>
      <c r="AC473" s="85" t="str">
        <f>IF(AND(OR(LEFT(TH!N473,2)="15",LEFT(TH!O473,2)="15"),TK!$E$7=TH!F473),"x","")</f>
        <v/>
      </c>
      <c r="AD473" s="85" t="str">
        <f>IF(AND(N473="1521",MONTH(C473)='BK-NL'!$M$11),"x","")</f>
        <v/>
      </c>
    </row>
    <row r="474" spans="1:30" ht="15.75" customHeight="1">
      <c r="A474" s="343" t="str">
        <f>IF(B474&lt;&gt;"",IF(AND(B474='IN-TC'!$S$4,OR(TH!N474="1111",TH!O474="1111")),TH!D474,""),"")</f>
        <v>C19</v>
      </c>
      <c r="B474" s="63">
        <f t="shared" si="59"/>
        <v>2</v>
      </c>
      <c r="C474" s="64">
        <v>42427</v>
      </c>
      <c r="D474" s="64" t="s">
        <v>898</v>
      </c>
      <c r="E474" s="64">
        <v>42427</v>
      </c>
      <c r="F474" s="67" t="s">
        <v>1017</v>
      </c>
      <c r="G474" s="67" t="s">
        <v>1050</v>
      </c>
      <c r="H474" s="74" t="s">
        <v>819</v>
      </c>
      <c r="I474" s="447"/>
      <c r="J474" s="447"/>
      <c r="K474" s="438"/>
      <c r="L474" s="447"/>
      <c r="M474" s="65">
        <v>51232</v>
      </c>
      <c r="N474" s="66" t="s">
        <v>9</v>
      </c>
      <c r="O474" s="66" t="s">
        <v>63</v>
      </c>
      <c r="P474" s="85" t="str">
        <f>IF(AND('331-CT'!$E$7=TH!H474,OR(N474="331",O474="331")),"x","")</f>
        <v/>
      </c>
      <c r="Q474" s="85" t="str">
        <f>IF(AND(B474='111'!$L$11,OR($N474=$Q$7,$O474=$Q$7)),"x","")</f>
        <v/>
      </c>
      <c r="R474" s="85" t="str">
        <f>IF(AND($N474=$Q$7,$B474&lt;'111'!$L$11),"x","")</f>
        <v/>
      </c>
      <c r="S474" s="85" t="str">
        <f>IF(AND($O474=$Q$7,$B474&lt;'111'!$L$11),"x","")</f>
        <v/>
      </c>
      <c r="T474" s="85" t="str">
        <f>IF(ISERROR(FIND('112'!$M$9,G474,1)),"",IF((AND(FIND('112'!$M$9,G474,1)&gt;=1,B474='112'!$K$9,OR($N474='112'!$I$6,$O474='112'!$I$6))),"x",""))</f>
        <v/>
      </c>
      <c r="U474" s="85" t="str">
        <f>IF(ISERROR(FIND('112'!$M$9,G474,1)),"",IF((AND(LEFT(G474,2)=LEFT('112'!$M$9,2),B474&lt;'112'!$K$9,$N474='112'!$I$6)),"x",""))</f>
        <v/>
      </c>
      <c r="V474" s="85" t="str">
        <f>IF(ISERROR(FIND('112'!$M$9,G474,1)),"",IF((AND(RIGHT(G474,2)=RIGHT('112'!$M$9,2),B474&lt;'112'!$K$9,$O474='112'!$I$6)),"x",""))</f>
        <v/>
      </c>
      <c r="W474" s="85" t="str">
        <f>IF(AND('341-CT'!$H$9=H474,OR(LEFT(N474,3)=$W$7,LEFT(O474,3)=$W$7)),"x","")</f>
        <v/>
      </c>
      <c r="X474" s="85" t="str">
        <f>IF(OR(TH!N474=TH!$X$7,O474=TH!$X$7),"x","")</f>
        <v/>
      </c>
      <c r="Y474" s="85" t="str">
        <f>IF(AND(OR(N474="131",O474="131"),H474='131-CT'!$H$9),"x","")</f>
        <v/>
      </c>
      <c r="Z474" s="85"/>
      <c r="AA474" s="85" t="str">
        <f>IF(AND(MONTH(E474)='IN-NX'!$J$5,'IN-NX'!$D$7=D474),"x","")</f>
        <v/>
      </c>
      <c r="AB474" s="85" t="str">
        <f>IF(AND(OR(LEFT(TH!N474,2)="15",LEFT(TH!O474,2)="15"),'152-CT'!$J$8=TH!F474),"x","")</f>
        <v/>
      </c>
      <c r="AC474" s="85" t="str">
        <f>IF(AND(OR(LEFT(TH!N474,2)="15",LEFT(TH!O474,2)="15"),TK!$E$7=TH!F474),"x","")</f>
        <v/>
      </c>
      <c r="AD474" s="85" t="str">
        <f>IF(AND(N474="1521",MONTH(C474)='BK-NL'!$M$11),"x","")</f>
        <v/>
      </c>
    </row>
    <row r="475" spans="1:30" ht="15.75" customHeight="1">
      <c r="A475" s="343" t="str">
        <f>IF(B475&lt;&gt;"",IF(AND(B475='IN-TC'!$S$4,OR(TH!N475="1111",TH!O475="1111")),TH!D475,""),"")</f>
        <v>C20</v>
      </c>
      <c r="B475" s="63">
        <f t="shared" si="59"/>
        <v>2</v>
      </c>
      <c r="C475" s="64">
        <v>42429</v>
      </c>
      <c r="D475" s="64" t="s">
        <v>899</v>
      </c>
      <c r="E475" s="64">
        <v>42429</v>
      </c>
      <c r="F475" s="67" t="s">
        <v>1026</v>
      </c>
      <c r="G475" s="67" t="s">
        <v>1051</v>
      </c>
      <c r="H475" s="74" t="s">
        <v>825</v>
      </c>
      <c r="I475" s="447"/>
      <c r="J475" s="447"/>
      <c r="K475" s="438"/>
      <c r="L475" s="447"/>
      <c r="M475" s="65">
        <v>945909</v>
      </c>
      <c r="N475" s="66" t="s">
        <v>101</v>
      </c>
      <c r="O475" s="66" t="s">
        <v>63</v>
      </c>
      <c r="P475" s="85" t="str">
        <f>IF(AND('331-CT'!$E$7=TH!H475,OR(N475="331",O475="331")),"x","")</f>
        <v/>
      </c>
      <c r="Q475" s="85" t="str">
        <f>IF(AND(B475='111'!$L$11,OR($N475=$Q$7,$O475=$Q$7)),"x","")</f>
        <v/>
      </c>
      <c r="R475" s="85" t="str">
        <f>IF(AND($N475=$Q$7,$B475&lt;'111'!$L$11),"x","")</f>
        <v/>
      </c>
      <c r="S475" s="85" t="str">
        <f>IF(AND($O475=$Q$7,$B475&lt;'111'!$L$11),"x","")</f>
        <v/>
      </c>
      <c r="T475" s="85" t="str">
        <f>IF(ISERROR(FIND('112'!$M$9,G475,1)),"",IF((AND(FIND('112'!$M$9,G475,1)&gt;=1,B475='112'!$K$9,OR($N475='112'!$I$6,$O475='112'!$I$6))),"x",""))</f>
        <v/>
      </c>
      <c r="U475" s="85" t="str">
        <f>IF(ISERROR(FIND('112'!$M$9,G475,1)),"",IF((AND(LEFT(G475,2)=LEFT('112'!$M$9,2),B475&lt;'112'!$K$9,$N475='112'!$I$6)),"x",""))</f>
        <v/>
      </c>
      <c r="V475" s="85" t="str">
        <f>IF(ISERROR(FIND('112'!$M$9,G475,1)),"",IF((AND(RIGHT(G475,2)=RIGHT('112'!$M$9,2),B475&lt;'112'!$K$9,$O475='112'!$I$6)),"x",""))</f>
        <v/>
      </c>
      <c r="W475" s="85" t="str">
        <f>IF(AND('341-CT'!$H$9=H475,OR(LEFT(N475,3)=$W$7,LEFT(O475,3)=$W$7)),"x","")</f>
        <v/>
      </c>
      <c r="X475" s="85" t="str">
        <f>IF(OR(TH!N475=TH!$X$7,O475=TH!$X$7),"x","")</f>
        <v/>
      </c>
      <c r="Y475" s="85" t="str">
        <f>IF(AND(OR(N475="131",O475="131"),H475='131-CT'!$H$9),"x","")</f>
        <v/>
      </c>
      <c r="Z475" s="85"/>
      <c r="AA475" s="85" t="str">
        <f>IF(AND(MONTH(E475)='IN-NX'!$J$5,'IN-NX'!$D$7=D475),"x","")</f>
        <v/>
      </c>
      <c r="AB475" s="85" t="str">
        <f>IF(AND(OR(LEFT(TH!N475,2)="15",LEFT(TH!O475,2)="15"),'152-CT'!$J$8=TH!F475),"x","")</f>
        <v/>
      </c>
      <c r="AC475" s="85" t="str">
        <f>IF(AND(OR(LEFT(TH!N475,2)="15",LEFT(TH!O475,2)="15"),TK!$E$7=TH!F475),"x","")</f>
        <v/>
      </c>
      <c r="AD475" s="85" t="str">
        <f>IF(AND(N475="1521",MONTH(C475)='BK-NL'!$M$11),"x","")</f>
        <v/>
      </c>
    </row>
    <row r="476" spans="1:30" ht="15.75" customHeight="1">
      <c r="A476" s="343" t="str">
        <f>IF(B476&lt;&gt;"",IF(AND(B476='IN-TC'!$S$4,OR(TH!N476="1111",TH!O476="1111")),TH!D476,""),"")</f>
        <v>C20</v>
      </c>
      <c r="B476" s="63">
        <f t="shared" si="59"/>
        <v>2</v>
      </c>
      <c r="C476" s="64">
        <v>42429</v>
      </c>
      <c r="D476" s="64" t="s">
        <v>899</v>
      </c>
      <c r="E476" s="64">
        <v>42429</v>
      </c>
      <c r="F476" s="67" t="s">
        <v>1027</v>
      </c>
      <c r="G476" s="67" t="s">
        <v>1051</v>
      </c>
      <c r="H476" s="74" t="s">
        <v>825</v>
      </c>
      <c r="I476" s="447"/>
      <c r="J476" s="447"/>
      <c r="K476" s="438"/>
      <c r="L476" s="447"/>
      <c r="M476" s="65">
        <v>94591</v>
      </c>
      <c r="N476" s="66" t="s">
        <v>9</v>
      </c>
      <c r="O476" s="66" t="s">
        <v>63</v>
      </c>
      <c r="P476" s="85" t="str">
        <f>IF(AND('331-CT'!$E$7=TH!H476,OR(N476="331",O476="331")),"x","")</f>
        <v/>
      </c>
      <c r="Q476" s="85" t="str">
        <f>IF(AND(B476='111'!$L$11,OR($N476=$Q$7,$O476=$Q$7)),"x","")</f>
        <v/>
      </c>
      <c r="R476" s="85" t="str">
        <f>IF(AND($N476=$Q$7,$B476&lt;'111'!$L$11),"x","")</f>
        <v/>
      </c>
      <c r="S476" s="85" t="str">
        <f>IF(AND($O476=$Q$7,$B476&lt;'111'!$L$11),"x","")</f>
        <v/>
      </c>
      <c r="T476" s="85" t="str">
        <f>IF(ISERROR(FIND('112'!$M$9,G476,1)),"",IF((AND(FIND('112'!$M$9,G476,1)&gt;=1,B476='112'!$K$9,OR($N476='112'!$I$6,$O476='112'!$I$6))),"x",""))</f>
        <v/>
      </c>
      <c r="U476" s="85" t="str">
        <f>IF(ISERROR(FIND('112'!$M$9,G476,1)),"",IF((AND(LEFT(G476,2)=LEFT('112'!$M$9,2),B476&lt;'112'!$K$9,$N476='112'!$I$6)),"x",""))</f>
        <v/>
      </c>
      <c r="V476" s="85" t="str">
        <f>IF(ISERROR(FIND('112'!$M$9,G476,1)),"",IF((AND(RIGHT(G476,2)=RIGHT('112'!$M$9,2),B476&lt;'112'!$K$9,$O476='112'!$I$6)),"x",""))</f>
        <v/>
      </c>
      <c r="W476" s="85" t="str">
        <f>IF(AND('341-CT'!$H$9=H476,OR(LEFT(N476,3)=$W$7,LEFT(O476,3)=$W$7)),"x","")</f>
        <v/>
      </c>
      <c r="X476" s="85" t="str">
        <f>IF(OR(TH!N476=TH!$X$7,O476=TH!$X$7),"x","")</f>
        <v/>
      </c>
      <c r="Y476" s="85" t="str">
        <f>IF(AND(OR(N476="131",O476="131"),H476='131-CT'!$H$9),"x","")</f>
        <v/>
      </c>
      <c r="Z476" s="85"/>
      <c r="AA476" s="85" t="str">
        <f>IF(AND(MONTH(E476)='IN-NX'!$J$5,'IN-NX'!$D$7=D476),"x","")</f>
        <v/>
      </c>
      <c r="AB476" s="85" t="str">
        <f>IF(AND(OR(LEFT(TH!N476,2)="15",LEFT(TH!O476,2)="15"),'152-CT'!$J$8=TH!F476),"x","")</f>
        <v/>
      </c>
      <c r="AC476" s="85" t="str">
        <f>IF(AND(OR(LEFT(TH!N476,2)="15",LEFT(TH!O476,2)="15"),TK!$E$7=TH!F476),"x","")</f>
        <v/>
      </c>
      <c r="AD476" s="85" t="str">
        <f>IF(AND(N476="1521",MONTH(C476)='BK-NL'!$M$11),"x","")</f>
        <v/>
      </c>
    </row>
    <row r="477" spans="1:30" ht="15.75" customHeight="1">
      <c r="A477" s="343" t="str">
        <f>IF(B477&lt;&gt;"",IF(AND(B477='IN-TC'!$S$4,OR(TH!N477="1111",TH!O477="1111")),TH!D477,""),"")</f>
        <v>C21</v>
      </c>
      <c r="B477" s="63">
        <f t="shared" si="59"/>
        <v>2</v>
      </c>
      <c r="C477" s="64">
        <v>42429</v>
      </c>
      <c r="D477" s="64" t="s">
        <v>900</v>
      </c>
      <c r="E477" s="64">
        <v>42429</v>
      </c>
      <c r="F477" s="67" t="s">
        <v>1012</v>
      </c>
      <c r="G477" s="67" t="s">
        <v>1052</v>
      </c>
      <c r="H477" s="74" t="s">
        <v>842</v>
      </c>
      <c r="I477" s="447"/>
      <c r="J477" s="447"/>
      <c r="K477" s="438"/>
      <c r="L477" s="447"/>
      <c r="M477" s="65">
        <v>500000</v>
      </c>
      <c r="N477" s="66" t="s">
        <v>101</v>
      </c>
      <c r="O477" s="66" t="s">
        <v>63</v>
      </c>
      <c r="P477" s="85" t="str">
        <f>IF(AND('331-CT'!$E$7=TH!H477,OR(N477="331",O477="331")),"x","")</f>
        <v/>
      </c>
      <c r="Q477" s="85" t="str">
        <f>IF(AND(B477='111'!$L$11,OR($N477=$Q$7,$O477=$Q$7)),"x","")</f>
        <v/>
      </c>
      <c r="R477" s="85" t="str">
        <f>IF(AND($N477=$Q$7,$B477&lt;'111'!$L$11),"x","")</f>
        <v/>
      </c>
      <c r="S477" s="85" t="str">
        <f>IF(AND($O477=$Q$7,$B477&lt;'111'!$L$11),"x","")</f>
        <v/>
      </c>
      <c r="T477" s="85" t="str">
        <f>IF(ISERROR(FIND('112'!$M$9,G477,1)),"",IF((AND(FIND('112'!$M$9,G477,1)&gt;=1,B477='112'!$K$9,OR($N477='112'!$I$6,$O477='112'!$I$6))),"x",""))</f>
        <v/>
      </c>
      <c r="U477" s="85" t="str">
        <f>IF(ISERROR(FIND('112'!$M$9,G477,1)),"",IF((AND(LEFT(G477,2)=LEFT('112'!$M$9,2),B477&lt;'112'!$K$9,$N477='112'!$I$6)),"x",""))</f>
        <v/>
      </c>
      <c r="V477" s="85" t="str">
        <f>IF(ISERROR(FIND('112'!$M$9,G477,1)),"",IF((AND(RIGHT(G477,2)=RIGHT('112'!$M$9,2),B477&lt;'112'!$K$9,$O477='112'!$I$6)),"x",""))</f>
        <v/>
      </c>
      <c r="W477" s="85" t="str">
        <f>IF(AND('341-CT'!$H$9=H477,OR(LEFT(N477,3)=$W$7,LEFT(O477,3)=$W$7)),"x","")</f>
        <v/>
      </c>
      <c r="X477" s="85" t="str">
        <f>IF(OR(TH!N477=TH!$X$7,O477=TH!$X$7),"x","")</f>
        <v/>
      </c>
      <c r="Y477" s="85" t="str">
        <f>IF(AND(OR(N477="131",O477="131"),H477='131-CT'!$H$9),"x","")</f>
        <v/>
      </c>
      <c r="Z477" s="85"/>
      <c r="AA477" s="85" t="str">
        <f>IF(AND(MONTH(E477)='IN-NX'!$J$5,'IN-NX'!$D$7=D477),"x","")</f>
        <v/>
      </c>
      <c r="AB477" s="85" t="str">
        <f>IF(AND(OR(LEFT(TH!N477,2)="15",LEFT(TH!O477,2)="15"),'152-CT'!$J$8=TH!F477),"x","")</f>
        <v/>
      </c>
      <c r="AC477" s="85" t="str">
        <f>IF(AND(OR(LEFT(TH!N477,2)="15",LEFT(TH!O477,2)="15"),TK!$E$7=TH!F477),"x","")</f>
        <v/>
      </c>
      <c r="AD477" s="85" t="str">
        <f>IF(AND(N477="1521",MONTH(C477)='BK-NL'!$M$11),"x","")</f>
        <v/>
      </c>
    </row>
    <row r="478" spans="1:30" ht="15.75" customHeight="1">
      <c r="A478" s="343" t="str">
        <f>IF(B478&lt;&gt;"",IF(AND(B478='IN-TC'!$S$4,OR(TH!N478="1111",TH!O478="1111")),TH!D478,""),"")</f>
        <v>C21</v>
      </c>
      <c r="B478" s="63">
        <f t="shared" si="59"/>
        <v>2</v>
      </c>
      <c r="C478" s="64">
        <v>42429</v>
      </c>
      <c r="D478" s="64" t="s">
        <v>900</v>
      </c>
      <c r="E478" s="64">
        <v>42429</v>
      </c>
      <c r="F478" s="67" t="s">
        <v>1013</v>
      </c>
      <c r="G478" s="67" t="s">
        <v>1052</v>
      </c>
      <c r="H478" s="74" t="s">
        <v>842</v>
      </c>
      <c r="I478" s="447"/>
      <c r="J478" s="447"/>
      <c r="K478" s="438"/>
      <c r="L478" s="447"/>
      <c r="M478" s="65">
        <v>25000</v>
      </c>
      <c r="N478" s="66" t="s">
        <v>9</v>
      </c>
      <c r="O478" s="66" t="s">
        <v>63</v>
      </c>
      <c r="P478" s="85" t="str">
        <f>IF(AND('331-CT'!$E$7=TH!H478,OR(N478="331",O478="331")),"x","")</f>
        <v/>
      </c>
      <c r="Q478" s="85" t="str">
        <f>IF(AND(B478='111'!$L$11,OR($N478=$Q$7,$O478=$Q$7)),"x","")</f>
        <v/>
      </c>
      <c r="R478" s="85" t="str">
        <f>IF(AND($N478=$Q$7,$B478&lt;'111'!$L$11),"x","")</f>
        <v/>
      </c>
      <c r="S478" s="85" t="str">
        <f>IF(AND($O478=$Q$7,$B478&lt;'111'!$L$11),"x","")</f>
        <v/>
      </c>
      <c r="T478" s="85" t="str">
        <f>IF(ISERROR(FIND('112'!$M$9,G478,1)),"",IF((AND(FIND('112'!$M$9,G478,1)&gt;=1,B478='112'!$K$9,OR($N478='112'!$I$6,$O478='112'!$I$6))),"x",""))</f>
        <v/>
      </c>
      <c r="U478" s="85" t="str">
        <f>IF(ISERROR(FIND('112'!$M$9,G478,1)),"",IF((AND(LEFT(G478,2)=LEFT('112'!$M$9,2),B478&lt;'112'!$K$9,$N478='112'!$I$6)),"x",""))</f>
        <v/>
      </c>
      <c r="V478" s="85" t="str">
        <f>IF(ISERROR(FIND('112'!$M$9,G478,1)),"",IF((AND(RIGHT(G478,2)=RIGHT('112'!$M$9,2),B478&lt;'112'!$K$9,$O478='112'!$I$6)),"x",""))</f>
        <v/>
      </c>
      <c r="W478" s="85" t="str">
        <f>IF(AND('341-CT'!$H$9=H478,OR(LEFT(N478,3)=$W$7,LEFT(O478,3)=$W$7)),"x","")</f>
        <v/>
      </c>
      <c r="X478" s="85" t="str">
        <f>IF(OR(TH!N478=TH!$X$7,O478=TH!$X$7),"x","")</f>
        <v/>
      </c>
      <c r="Y478" s="85" t="str">
        <f>IF(AND(OR(N478="131",O478="131"),H478='131-CT'!$H$9),"x","")</f>
        <v/>
      </c>
      <c r="Z478" s="85"/>
      <c r="AA478" s="85" t="str">
        <f>IF(AND(MONTH(E478)='IN-NX'!$J$5,'IN-NX'!$D$7=D478),"x","")</f>
        <v/>
      </c>
      <c r="AB478" s="85" t="str">
        <f>IF(AND(OR(LEFT(TH!N478,2)="15",LEFT(TH!O478,2)="15"),'152-CT'!$J$8=TH!F478),"x","")</f>
        <v/>
      </c>
      <c r="AC478" s="85" t="str">
        <f>IF(AND(OR(LEFT(TH!N478,2)="15",LEFT(TH!O478,2)="15"),TK!$E$7=TH!F478),"x","")</f>
        <v/>
      </c>
      <c r="AD478" s="85" t="str">
        <f>IF(AND(N478="1521",MONTH(C478)='BK-NL'!$M$11),"x","")</f>
        <v/>
      </c>
    </row>
    <row r="479" spans="1:30" ht="15.75" customHeight="1">
      <c r="A479" s="343" t="str">
        <f>IF(B479&lt;&gt;"",IF(AND(B479='IN-TC'!$S$4,OR(TH!N479="1111",TH!O479="1111")),TH!D479,""),"")</f>
        <v>C22</v>
      </c>
      <c r="B479" s="63">
        <f t="shared" si="59"/>
        <v>2</v>
      </c>
      <c r="C479" s="64">
        <v>42429</v>
      </c>
      <c r="D479" s="64" t="s">
        <v>901</v>
      </c>
      <c r="E479" s="64">
        <v>42429</v>
      </c>
      <c r="F479" s="67" t="s">
        <v>1028</v>
      </c>
      <c r="G479" s="67" t="s">
        <v>1053</v>
      </c>
      <c r="H479" s="74" t="s">
        <v>1054</v>
      </c>
      <c r="I479" s="447"/>
      <c r="J479" s="447"/>
      <c r="K479" s="438"/>
      <c r="L479" s="447"/>
      <c r="M479" s="65">
        <v>1461818</v>
      </c>
      <c r="N479" s="66" t="s">
        <v>101</v>
      </c>
      <c r="O479" s="66" t="s">
        <v>63</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
      </c>
      <c r="U479" s="85" t="str">
        <f>IF(ISERROR(FIND('112'!$M$9,G479,1)),"",IF((AND(LEFT(G479,2)=LEFT('112'!$M$9,2),B479&lt;'112'!$K$9,$N479='112'!$I$6)),"x",""))</f>
        <v/>
      </c>
      <c r="V479" s="85" t="str">
        <f>IF(ISERROR(FIND('112'!$M$9,G479,1)),"",IF((AND(RIGHT(G479,2)=RIGHT('112'!$M$9,2),B479&lt;'112'!$K$9,$O479='112'!$I$6)),"x",""))</f>
        <v/>
      </c>
      <c r="W479" s="85" t="str">
        <f>IF(AND('341-CT'!$H$9=H479,OR(LEFT(N479,3)=$W$7,LEFT(O479,3)=$W$7)),"x","")</f>
        <v/>
      </c>
      <c r="X479" s="85" t="str">
        <f>IF(OR(TH!N479=TH!$X$7,O479=TH!$X$7),"x","")</f>
        <v/>
      </c>
      <c r="Y479" s="85" t="str">
        <f>IF(AND(OR(N479="131",O479="131"),H479='131-CT'!$H$9),"x","")</f>
        <v/>
      </c>
      <c r="Z479" s="85"/>
      <c r="AA479" s="85" t="str">
        <f>IF(AND(MONTH(E479)='IN-NX'!$J$5,'IN-NX'!$D$7=D479),"x","")</f>
        <v/>
      </c>
      <c r="AB479" s="85" t="str">
        <f>IF(AND(OR(LEFT(TH!N479,2)="15",LEFT(TH!O479,2)="15"),'152-CT'!$J$8=TH!F479),"x","")</f>
        <v/>
      </c>
      <c r="AC479" s="85" t="str">
        <f>IF(AND(OR(LEFT(TH!N479,2)="15",LEFT(TH!O479,2)="15"),TK!$E$7=TH!F479),"x","")</f>
        <v/>
      </c>
      <c r="AD479" s="85" t="str">
        <f>IF(AND(N479="1521",MONTH(C479)='BK-NL'!$M$11),"x","")</f>
        <v/>
      </c>
    </row>
    <row r="480" spans="1:30" ht="15.75" customHeight="1">
      <c r="A480" s="343" t="str">
        <f>IF(B480&lt;&gt;"",IF(AND(B480='IN-TC'!$S$4,OR(TH!N480="1111",TH!O480="1111")),TH!D480,""),"")</f>
        <v>C22</v>
      </c>
      <c r="B480" s="63">
        <f t="shared" si="59"/>
        <v>2</v>
      </c>
      <c r="C480" s="64">
        <v>42429</v>
      </c>
      <c r="D480" s="64" t="s">
        <v>901</v>
      </c>
      <c r="E480" s="64">
        <v>42429</v>
      </c>
      <c r="F480" s="67" t="s">
        <v>1029</v>
      </c>
      <c r="G480" s="67" t="s">
        <v>1053</v>
      </c>
      <c r="H480" s="74" t="s">
        <v>1054</v>
      </c>
      <c r="I480" s="447"/>
      <c r="J480" s="447"/>
      <c r="K480" s="438"/>
      <c r="L480" s="447"/>
      <c r="M480" s="65">
        <v>146182</v>
      </c>
      <c r="N480" s="66" t="s">
        <v>9</v>
      </c>
      <c r="O480" s="66" t="s">
        <v>63</v>
      </c>
      <c r="P480" s="85" t="str">
        <f>IF(AND('331-CT'!$E$7=TH!H480,OR(N480="331",O480="331")),"x","")</f>
        <v/>
      </c>
      <c r="Q480" s="85" t="str">
        <f>IF(AND(B480='111'!$L$11,OR($N480=$Q$7,$O480=$Q$7)),"x","")</f>
        <v/>
      </c>
      <c r="R480" s="85" t="str">
        <f>IF(AND($N480=$Q$7,$B480&lt;'111'!$L$11),"x","")</f>
        <v/>
      </c>
      <c r="S480" s="85" t="str">
        <f>IF(AND($O480=$Q$7,$B480&lt;'111'!$L$11),"x","")</f>
        <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IF(AND('341-CT'!$H$9=H480,OR(LEFT(N480,3)=$W$7,LEFT(O480,3)=$W$7)),"x","")</f>
        <v/>
      </c>
      <c r="X480" s="85" t="str">
        <f>IF(OR(TH!N480=TH!$X$7,O480=TH!$X$7),"x","")</f>
        <v/>
      </c>
      <c r="Y480" s="85" t="str">
        <f>IF(AND(OR(N480="131",O480="131"),H480='131-CT'!$H$9),"x","")</f>
        <v/>
      </c>
      <c r="Z480" s="85"/>
      <c r="AA480" s="85" t="str">
        <f>IF(AND(MONTH(E480)='IN-NX'!$J$5,'IN-NX'!$D$7=D480),"x","")</f>
        <v/>
      </c>
      <c r="AB480" s="85" t="str">
        <f>IF(AND(OR(LEFT(TH!N480,2)="15",LEFT(TH!O480,2)="15"),'152-CT'!$J$8=TH!F480),"x","")</f>
        <v/>
      </c>
      <c r="AC480" s="85" t="str">
        <f>IF(AND(OR(LEFT(TH!N480,2)="15",LEFT(TH!O480,2)="15"),TK!$E$7=TH!F480),"x","")</f>
        <v/>
      </c>
      <c r="AD480" s="85" t="str">
        <f>IF(AND(N480="1521",MONTH(C480)='BK-NL'!$M$11),"x","")</f>
        <v/>
      </c>
    </row>
    <row r="481" spans="1:31" ht="15.75" customHeight="1">
      <c r="A481" s="343" t="str">
        <f>IF(B481&lt;&gt;"",IF(AND(B481='IN-TC'!$S$4,OR(TH!N481="1111",TH!O481="1111")),TH!D481,""),"")</f>
        <v>C23</v>
      </c>
      <c r="B481" s="63">
        <f t="shared" si="59"/>
        <v>2</v>
      </c>
      <c r="C481" s="95">
        <v>42429</v>
      </c>
      <c r="D481" s="64" t="s">
        <v>902</v>
      </c>
      <c r="E481" s="95">
        <v>42429</v>
      </c>
      <c r="F481" s="96" t="s">
        <v>1030</v>
      </c>
      <c r="G481" s="96"/>
      <c r="H481" s="1002" t="s">
        <v>860</v>
      </c>
      <c r="I481" s="1003"/>
      <c r="J481" s="1003"/>
      <c r="K481" s="1004"/>
      <c r="L481" s="1003"/>
      <c r="M481" s="98">
        <v>114054537</v>
      </c>
      <c r="N481" s="86" t="s">
        <v>595</v>
      </c>
      <c r="O481" s="86" t="s">
        <v>63</v>
      </c>
      <c r="P481" s="85" t="str">
        <f>IF(AND('331-CT'!$E$7=TH!H481,OR(N481="331",O481="331")),"x","")</f>
        <v/>
      </c>
      <c r="Q481" s="85" t="str">
        <f>IF(AND(B481='111'!$L$11,OR($N481=$Q$7,$O481=$Q$7)),"x","")</f>
        <v/>
      </c>
      <c r="R481" s="85" t="str">
        <f>IF(AND($N481=$Q$7,$B481&lt;'111'!$L$11),"x","")</f>
        <v/>
      </c>
      <c r="S481" s="85" t="str">
        <f>IF(AND($O481=$Q$7,$B481&lt;'111'!$L$11),"x","")</f>
        <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IF(AND('341-CT'!$H$9=H481,OR(LEFT(N481,3)=$W$7,LEFT(O481,3)=$W$7)),"x","")</f>
        <v/>
      </c>
      <c r="X481" s="85" t="str">
        <f>IF(OR(TH!N481=TH!$X$7,O481=TH!$X$7),"x","")</f>
        <v/>
      </c>
      <c r="Y481" s="85" t="str">
        <f>IF(AND(OR(N481="131",O481="131"),H481='131-CT'!$H$9),"x","")</f>
        <v/>
      </c>
      <c r="Z481" s="85"/>
      <c r="AA481" s="85" t="str">
        <f>IF(AND(MONTH(E481)='IN-NX'!$J$5,'IN-NX'!$D$7=D481),"x","")</f>
        <v/>
      </c>
      <c r="AB481" s="85" t="str">
        <f>IF(AND(OR(LEFT(TH!N481,2)="15",LEFT(TH!O481,2)="15"),'152-CT'!$J$8=TH!F481),"x","")</f>
        <v/>
      </c>
      <c r="AC481" s="85" t="str">
        <f>IF(AND(OR(LEFT(TH!N481,2)="15",LEFT(TH!O481,2)="15"),TK!$E$7=TH!F481),"x","")</f>
        <v/>
      </c>
      <c r="AD481" s="85" t="str">
        <f>IF(AND(N481="1521",MONTH(C481)='BK-NL'!$M$11),"x","")</f>
        <v/>
      </c>
    </row>
    <row r="482" spans="1:31" ht="15.75" customHeight="1">
      <c r="A482" s="343" t="str">
        <f>IF(B482&lt;&gt;"",IF(AND(B482='IN-TC'!$S$4,OR(TH!N482="1111",TH!O482="1111")),TH!D482,""),"")</f>
        <v>C24</v>
      </c>
      <c r="B482" s="63">
        <f t="shared" si="59"/>
        <v>2</v>
      </c>
      <c r="C482" s="320">
        <v>42429</v>
      </c>
      <c r="D482" s="64" t="s">
        <v>903</v>
      </c>
      <c r="E482" s="320">
        <v>42416</v>
      </c>
      <c r="F482" s="321" t="s">
        <v>1097</v>
      </c>
      <c r="G482" s="1000" t="s">
        <v>1091</v>
      </c>
      <c r="H482" s="322" t="s">
        <v>636</v>
      </c>
      <c r="I482" s="447"/>
      <c r="J482" s="447"/>
      <c r="K482" s="438"/>
      <c r="L482" s="447"/>
      <c r="M482" s="65">
        <v>16038100</v>
      </c>
      <c r="N482" s="323" t="s">
        <v>283</v>
      </c>
      <c r="O482" s="66" t="s">
        <v>63</v>
      </c>
      <c r="P482" s="85" t="str">
        <f>IF(AND('331-CT'!$E$7=TH!H482,OR(N482="331",O482="331")),"x","")</f>
        <v/>
      </c>
      <c r="Q482" s="85" t="str">
        <f>IF(AND(B482='111'!$L$11,OR($N482=$Q$7,$O482=$Q$7)),"x","")</f>
        <v/>
      </c>
      <c r="R482" s="85" t="str">
        <f>IF(AND($N482=$Q$7,$B482&lt;'111'!$L$11),"x","")</f>
        <v/>
      </c>
      <c r="S482" s="85" t="str">
        <f>IF(AND($O482=$Q$7,$B482&lt;'111'!$L$11),"x","")</f>
        <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IF(AND('341-CT'!$H$9=H482,OR(LEFT(N482,3)=$W$7,LEFT(O482,3)=$W$7)),"x","")</f>
        <v/>
      </c>
      <c r="X482" s="85" t="str">
        <f>IF(OR(TH!N482=TH!$X$7,O482=TH!$X$7),"x","")</f>
        <v/>
      </c>
      <c r="Y482" s="85" t="str">
        <f>IF(AND(OR(N482="131",O482="131"),H482='131-CT'!$H$9),"x","")</f>
        <v/>
      </c>
      <c r="Z482" s="85"/>
      <c r="AA482" s="85" t="str">
        <f>IF(AND(MONTH(E482)='IN-NX'!$J$5,'IN-NX'!$D$7=D482),"x","")</f>
        <v/>
      </c>
      <c r="AB482" s="85" t="str">
        <f>IF(AND(OR(LEFT(TH!N482,2)="15",LEFT(TH!O482,2)="15"),'152-CT'!$J$8=TH!F482),"x","")</f>
        <v/>
      </c>
      <c r="AC482" s="85" t="str">
        <f>IF(AND(OR(LEFT(TH!N482,2)="15",LEFT(TH!O482,2)="15"),TK!$E$7=TH!F482),"x","")</f>
        <v/>
      </c>
      <c r="AD482" s="85" t="str">
        <f>IF(AND(N482="1521",MONTH(C482)='BK-NL'!$M$11),"x","")</f>
        <v/>
      </c>
    </row>
    <row r="483" spans="1:31" ht="15.75" customHeight="1">
      <c r="A483" s="343" t="str">
        <f>IF(B483&lt;&gt;"",IF(AND(B483='IN-TC'!$S$4,OR(TH!N483="1111",TH!O483="1111")),TH!D483,""),"")</f>
        <v>C24</v>
      </c>
      <c r="B483" s="63">
        <f t="shared" si="59"/>
        <v>2</v>
      </c>
      <c r="C483" s="320">
        <v>42429</v>
      </c>
      <c r="D483" s="64" t="s">
        <v>903</v>
      </c>
      <c r="E483" s="320">
        <v>42416</v>
      </c>
      <c r="F483" s="321" t="s">
        <v>1098</v>
      </c>
      <c r="G483" s="1000" t="s">
        <v>1091</v>
      </c>
      <c r="H483" s="322" t="s">
        <v>636</v>
      </c>
      <c r="I483" s="447"/>
      <c r="J483" s="447"/>
      <c r="K483" s="438"/>
      <c r="L483" s="447"/>
      <c r="M483" s="65">
        <v>1603810</v>
      </c>
      <c r="N483" s="323" t="s">
        <v>9</v>
      </c>
      <c r="O483" s="66" t="s">
        <v>63</v>
      </c>
      <c r="P483" s="85" t="str">
        <f>IF(AND('331-CT'!$E$7=TH!H483,OR(N483="331",O483="331")),"x","")</f>
        <v/>
      </c>
      <c r="Q483" s="85" t="str">
        <f>IF(AND(B483='111'!$L$11,OR($N483=$Q$7,$O483=$Q$7)),"x","")</f>
        <v/>
      </c>
      <c r="R483" s="85" t="str">
        <f>IF(AND($N483=$Q$7,$B483&lt;'111'!$L$11),"x","")</f>
        <v/>
      </c>
      <c r="S483" s="85" t="str">
        <f>IF(AND($O483=$Q$7,$B483&lt;'111'!$L$11),"x","")</f>
        <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IF(AND('341-CT'!$H$9=H483,OR(LEFT(N483,3)=$W$7,LEFT(O483,3)=$W$7)),"x","")</f>
        <v/>
      </c>
      <c r="X483" s="85" t="str">
        <f>IF(OR(TH!N483=TH!$X$7,O483=TH!$X$7),"x","")</f>
        <v/>
      </c>
      <c r="Y483" s="85" t="str">
        <f>IF(AND(OR(N483="131",O483="131"),H483='131-CT'!$H$9),"x","")</f>
        <v/>
      </c>
      <c r="Z483" s="85"/>
      <c r="AA483" s="85" t="str">
        <f>IF(AND(MONTH(E483)='IN-NX'!$J$5,'IN-NX'!$D$7=D483),"x","")</f>
        <v/>
      </c>
      <c r="AB483" s="85" t="str">
        <f>IF(AND(OR(LEFT(TH!N483,2)="15",LEFT(TH!O483,2)="15"),'152-CT'!$J$8=TH!F483),"x","")</f>
        <v/>
      </c>
      <c r="AC483" s="85" t="str">
        <f>IF(AND(OR(LEFT(TH!N483,2)="15",LEFT(TH!O483,2)="15"),TK!$E$7=TH!F483),"x","")</f>
        <v/>
      </c>
      <c r="AD483" s="85" t="str">
        <f>IF(AND(N483="1521",MONTH(C483)='BK-NL'!$M$11),"x","")</f>
        <v/>
      </c>
    </row>
    <row r="484" spans="1:31" ht="15.75" customHeight="1">
      <c r="A484" s="343" t="str">
        <f>IF(B484&lt;&gt;"",IF(AND(B484='IN-TC'!$S$4,OR(TH!N484="1111",TH!O484="1111")),TH!D484,""),"")</f>
        <v/>
      </c>
      <c r="B484" s="63">
        <f t="shared" si="59"/>
        <v>3</v>
      </c>
      <c r="C484" s="320">
        <v>42430</v>
      </c>
      <c r="D484" s="320" t="s">
        <v>879</v>
      </c>
      <c r="E484" s="320">
        <v>42400</v>
      </c>
      <c r="F484" s="67" t="s">
        <v>1196</v>
      </c>
      <c r="G484" s="996" t="s">
        <v>1198</v>
      </c>
      <c r="H484" s="74" t="s">
        <v>1118</v>
      </c>
      <c r="I484" s="447"/>
      <c r="J484" s="447"/>
      <c r="K484" s="438"/>
      <c r="L484" s="447"/>
      <c r="M484" s="65">
        <v>80705</v>
      </c>
      <c r="N484" s="66" t="s">
        <v>101</v>
      </c>
      <c r="O484" s="66" t="s">
        <v>63</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
      </c>
      <c r="V484" s="85" t="str">
        <f>IF(ISERROR(FIND('112'!$M$9,G484,1)),"",IF((AND(RIGHT(G484,2)=RIGHT('112'!$M$9,2),B484&lt;'112'!$K$9,$O484='112'!$I$6)),"x",""))</f>
        <v/>
      </c>
      <c r="W484" s="85" t="str">
        <f>IF(AND('341-CT'!$H$9=H484,OR(LEFT(N484,3)=$W$7,LEFT(O484,3)=$W$7)),"x","")</f>
        <v/>
      </c>
      <c r="X484" s="85" t="str">
        <f>IF(OR(TH!N484=TH!$X$7,O484=TH!$X$7),"x","")</f>
        <v/>
      </c>
      <c r="Y484" s="85" t="str">
        <f>IF(AND(OR(N484="131",O484="131"),H484='131-CT'!$H$9),"x","")</f>
        <v/>
      </c>
      <c r="Z484" s="85"/>
      <c r="AA484" s="85" t="str">
        <f>IF(AND(MONTH(E484)='IN-NX'!$J$5,'IN-NX'!$D$7=D484),"x","")</f>
        <v/>
      </c>
      <c r="AB484" s="85" t="str">
        <f>IF(AND(OR(LEFT(TH!N484,2)="15",LEFT(TH!O484,2)="15"),'152-CT'!$J$8=TH!F484),"x","")</f>
        <v/>
      </c>
      <c r="AC484" s="85" t="str">
        <f>IF(AND(OR(LEFT(TH!N484,2)="15",LEFT(TH!O484,2)="15"),TK!$E$7=TH!F484),"x","")</f>
        <v/>
      </c>
      <c r="AD484" s="85" t="str">
        <f>IF(AND(N484="1521",MONTH(C484)='BK-NL'!$M$11),"x","")</f>
        <v/>
      </c>
      <c r="AE484" s="358"/>
    </row>
    <row r="485" spans="1:31" ht="15.75" customHeight="1">
      <c r="A485" s="343" t="str">
        <f>IF(B485&lt;&gt;"",IF(AND(B485='IN-TC'!$S$4,OR(TH!N485="1111",TH!O485="1111")),TH!D485,""),"")</f>
        <v/>
      </c>
      <c r="B485" s="63">
        <f t="shared" si="59"/>
        <v>3</v>
      </c>
      <c r="C485" s="320">
        <v>42430</v>
      </c>
      <c r="D485" s="320" t="s">
        <v>879</v>
      </c>
      <c r="E485" s="320">
        <v>42400</v>
      </c>
      <c r="F485" s="67" t="s">
        <v>1197</v>
      </c>
      <c r="G485" s="996" t="s">
        <v>1198</v>
      </c>
      <c r="H485" s="74" t="s">
        <v>1118</v>
      </c>
      <c r="I485" s="447"/>
      <c r="J485" s="447"/>
      <c r="K485" s="438"/>
      <c r="L485" s="447"/>
      <c r="M485" s="65">
        <v>8071</v>
      </c>
      <c r="N485" s="66" t="s">
        <v>9</v>
      </c>
      <c r="O485" s="66" t="s">
        <v>63</v>
      </c>
      <c r="P485" s="85" t="str">
        <f>IF(AND('331-CT'!$E$7=TH!H485,OR(N485="331",O485="331")),"x","")</f>
        <v/>
      </c>
      <c r="Q485" s="85" t="str">
        <f>IF(AND(B485='111'!$L$11,OR($N485=$Q$7,$O485=$Q$7)),"x","")</f>
        <v/>
      </c>
      <c r="R485" s="85" t="str">
        <f>IF(AND($N485=$Q$7,$B485&lt;'111'!$L$11),"x","")</f>
        <v/>
      </c>
      <c r="S485" s="85" t="str">
        <f>IF(AND($O485=$Q$7,$B485&lt;'111'!$L$11),"x","")</f>
        <v/>
      </c>
      <c r="T485" s="85" t="str">
        <f>IF(ISERROR(FIND('112'!$M$9,G485,1)),"",IF((AND(FIND('112'!$M$9,G485,1)&gt;=1,B485='112'!$K$9,OR($N485='112'!$I$6,$O485='112'!$I$6))),"x",""))</f>
        <v/>
      </c>
      <c r="U485" s="85" t="str">
        <f>IF(ISERROR(FIND('112'!$M$9,G485,1)),"",IF((AND(LEFT(G485,2)=LEFT('112'!$M$9,2),B485&lt;'112'!$K$9,$N485='112'!$I$6)),"x",""))</f>
        <v/>
      </c>
      <c r="V485" s="85" t="str">
        <f>IF(ISERROR(FIND('112'!$M$9,G485,1)),"",IF((AND(RIGHT(G485,2)=RIGHT('112'!$M$9,2),B485&lt;'112'!$K$9,$O485='112'!$I$6)),"x",""))</f>
        <v/>
      </c>
      <c r="W485" s="85" t="str">
        <f>IF(AND('341-CT'!$H$9=H485,OR(LEFT(N485,3)=$W$7,LEFT(O485,3)=$W$7)),"x","")</f>
        <v/>
      </c>
      <c r="X485" s="85" t="str">
        <f>IF(OR(TH!N485=TH!$X$7,O485=TH!$X$7),"x","")</f>
        <v/>
      </c>
      <c r="Y485" s="85" t="str">
        <f>IF(AND(OR(N485="131",O485="131"),H485='131-CT'!$H$9),"x","")</f>
        <v/>
      </c>
      <c r="Z485" s="85"/>
      <c r="AA485" s="85" t="str">
        <f>IF(AND(MONTH(E485)='IN-NX'!$J$5,'IN-NX'!$D$7=D485),"x","")</f>
        <v/>
      </c>
      <c r="AB485" s="85" t="str">
        <f>IF(AND(OR(LEFT(TH!N485,2)="15",LEFT(TH!O485,2)="15"),'152-CT'!$J$8=TH!F485),"x","")</f>
        <v/>
      </c>
      <c r="AC485" s="85" t="str">
        <f>IF(AND(OR(LEFT(TH!N485,2)="15",LEFT(TH!O485,2)="15"),TK!$E$7=TH!F485),"x","")</f>
        <v/>
      </c>
      <c r="AD485" s="85" t="str">
        <f>IF(AND(N485="1521",MONTH(C485)='BK-NL'!$M$11),"x","")</f>
        <v/>
      </c>
      <c r="AE485" s="358"/>
    </row>
    <row r="486" spans="1:31" s="358" customFormat="1" ht="15.75" customHeight="1">
      <c r="A486" s="343" t="str">
        <f>IF(B486&lt;&gt;"",IF(AND(B486='IN-TC'!$S$4,OR(TH!N486="1111",TH!O486="1111")),TH!D486,""),"")</f>
        <v/>
      </c>
      <c r="B486" s="63">
        <f t="shared" si="59"/>
        <v>3</v>
      </c>
      <c r="C486" s="320">
        <v>42430</v>
      </c>
      <c r="D486" s="320" t="s">
        <v>880</v>
      </c>
      <c r="E486" s="320">
        <v>42372</v>
      </c>
      <c r="F486" s="67" t="s">
        <v>1164</v>
      </c>
      <c r="G486" s="996" t="s">
        <v>1166</v>
      </c>
      <c r="H486" s="74" t="s">
        <v>1167</v>
      </c>
      <c r="I486" s="447"/>
      <c r="J486" s="447"/>
      <c r="K486" s="438"/>
      <c r="L486" s="447"/>
      <c r="M486" s="65">
        <v>17272500</v>
      </c>
      <c r="N486" s="66" t="s">
        <v>162</v>
      </c>
      <c r="O486" s="66" t="s">
        <v>63</v>
      </c>
      <c r="P486" s="85" t="str">
        <f>IF(AND('331-CT'!$E$7=TH!H486,OR(N486="331",O486="331")),"x","")</f>
        <v/>
      </c>
      <c r="Q486" s="85" t="str">
        <f>IF(AND(B486='111'!$L$11,OR($N486=$Q$7,$O486=$Q$7)),"x","")</f>
        <v/>
      </c>
      <c r="R486" s="85" t="str">
        <f>IF(AND($N486=$Q$7,$B486&lt;'111'!$L$11),"x","")</f>
        <v/>
      </c>
      <c r="S486" s="85" t="str">
        <f>IF(AND($O486=$Q$7,$B486&lt;'111'!$L$11),"x","")</f>
        <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
      </c>
      <c r="W486" s="85" t="str">
        <f>IF(AND('341-CT'!$H$9=H486,OR(LEFT(N486,3)=$W$7,LEFT(O486,3)=$W$7)),"x","")</f>
        <v/>
      </c>
      <c r="X486" s="85" t="str">
        <f>IF(OR(TH!N486=TH!$X$7,O486=TH!$X$7),"x","")</f>
        <v/>
      </c>
      <c r="Y486" s="85" t="str">
        <f>IF(AND(OR(N486="131",O486="131"),H486='131-CT'!$H$9),"x","")</f>
        <v/>
      </c>
      <c r="Z486" s="85"/>
      <c r="AA486" s="85" t="str">
        <f>IF(AND(MONTH(E486)='IN-NX'!$J$5,'IN-NX'!$D$7=D486),"x","")</f>
        <v/>
      </c>
      <c r="AB486" s="85" t="str">
        <f>IF(AND(OR(LEFT(TH!N486,2)="15",LEFT(TH!O486,2)="15"),'152-CT'!$J$8=TH!F486),"x","")</f>
        <v/>
      </c>
      <c r="AC486" s="85" t="str">
        <f>IF(AND(OR(LEFT(TH!N486,2)="15",LEFT(TH!O486,2)="15"),TK!$E$7=TH!F486),"x","")</f>
        <v/>
      </c>
      <c r="AD486" s="85" t="str">
        <f>IF(AND(N486="1521",MONTH(C486)='BK-NL'!$M$11),"x","")</f>
        <v/>
      </c>
    </row>
    <row r="487" spans="1:31" s="358" customFormat="1" ht="15.75" customHeight="1">
      <c r="A487" s="343" t="str">
        <f>IF(B487&lt;&gt;"",IF(AND(B487='IN-TC'!$S$4,OR(TH!N487="1111",TH!O487="1111")),TH!D487,""),"")</f>
        <v/>
      </c>
      <c r="B487" s="63">
        <f t="shared" si="59"/>
        <v>3</v>
      </c>
      <c r="C487" s="320">
        <v>42430</v>
      </c>
      <c r="D487" s="320" t="s">
        <v>880</v>
      </c>
      <c r="E487" s="320">
        <v>42372</v>
      </c>
      <c r="F487" s="67" t="s">
        <v>1165</v>
      </c>
      <c r="G487" s="996" t="s">
        <v>1166</v>
      </c>
      <c r="H487" s="74" t="s">
        <v>1167</v>
      </c>
      <c r="I487" s="447"/>
      <c r="J487" s="447"/>
      <c r="K487" s="438"/>
      <c r="L487" s="447"/>
      <c r="M487" s="65">
        <v>1727250</v>
      </c>
      <c r="N487" s="66" t="s">
        <v>9</v>
      </c>
      <c r="O487" s="66" t="s">
        <v>63</v>
      </c>
      <c r="P487" s="85" t="str">
        <f>IF(AND('331-CT'!$E$7=TH!H487,OR(N487="331",O487="331")),"x","")</f>
        <v/>
      </c>
      <c r="Q487" s="85" t="str">
        <f>IF(AND(B487='111'!$L$11,OR($N487=$Q$7,$O487=$Q$7)),"x","")</f>
        <v/>
      </c>
      <c r="R487" s="85" t="str">
        <f>IF(AND($N487=$Q$7,$B487&lt;'111'!$L$11),"x","")</f>
        <v/>
      </c>
      <c r="S487" s="85" t="str">
        <f>IF(AND($O487=$Q$7,$B487&lt;'111'!$L$11),"x","")</f>
        <v/>
      </c>
      <c r="T487" s="85" t="str">
        <f>IF(ISERROR(FIND('112'!$M$9,G487,1)),"",IF((AND(FIND('112'!$M$9,G487,1)&gt;=1,B487='112'!$K$9,OR($N487='112'!$I$6,$O487='112'!$I$6))),"x",""))</f>
        <v/>
      </c>
      <c r="U487" s="85" t="str">
        <f>IF(ISERROR(FIND('112'!$M$9,G487,1)),"",IF((AND(LEFT(G487,2)=LEFT('112'!$M$9,2),B487&lt;'112'!$K$9,$N487='112'!$I$6)),"x",""))</f>
        <v/>
      </c>
      <c r="V487" s="85" t="str">
        <f>IF(ISERROR(FIND('112'!$M$9,G487,1)),"",IF((AND(RIGHT(G487,2)=RIGHT('112'!$M$9,2),B487&lt;'112'!$K$9,$O487='112'!$I$6)),"x",""))</f>
        <v/>
      </c>
      <c r="W487" s="85" t="str">
        <f>IF(AND('341-CT'!$H$9=H487,OR(LEFT(N487,3)=$W$7,LEFT(O487,3)=$W$7)),"x","")</f>
        <v/>
      </c>
      <c r="X487" s="85" t="str">
        <f>IF(OR(TH!N487=TH!$X$7,O487=TH!$X$7),"x","")</f>
        <v/>
      </c>
      <c r="Y487" s="85" t="str">
        <f>IF(AND(OR(N487="131",O487="131"),H487='131-CT'!$H$9),"x","")</f>
        <v/>
      </c>
      <c r="Z487" s="85"/>
      <c r="AA487" s="85" t="str">
        <f>IF(AND(MONTH(E487)='IN-NX'!$J$5,'IN-NX'!$D$7=D487),"x","")</f>
        <v/>
      </c>
      <c r="AB487" s="85" t="str">
        <f>IF(AND(OR(LEFT(TH!N487,2)="15",LEFT(TH!O487,2)="15"),'152-CT'!$J$8=TH!F487),"x","")</f>
        <v/>
      </c>
      <c r="AC487" s="85" t="str">
        <f>IF(AND(OR(LEFT(TH!N487,2)="15",LEFT(TH!O487,2)="15"),TK!$E$7=TH!F487),"x","")</f>
        <v/>
      </c>
      <c r="AD487" s="85" t="str">
        <f>IF(AND(N487="1521",MONTH(C487)='BK-NL'!$M$11),"x","")</f>
        <v/>
      </c>
    </row>
    <row r="488" spans="1:31" s="358" customFormat="1" ht="15.75" customHeight="1">
      <c r="A488" s="343" t="str">
        <f>IF(B488&lt;&gt;"",IF(AND(B488='IN-TC'!$S$4,OR(TH!N488="1111",TH!O488="1111")),TH!D488,""),"")</f>
        <v/>
      </c>
      <c r="B488" s="63">
        <f t="shared" si="59"/>
        <v>3</v>
      </c>
      <c r="C488" s="320">
        <v>42430</v>
      </c>
      <c r="D488" s="320" t="s">
        <v>881</v>
      </c>
      <c r="E488" s="320">
        <v>42430</v>
      </c>
      <c r="F488" s="321" t="s">
        <v>1119</v>
      </c>
      <c r="G488" s="321" t="s">
        <v>930</v>
      </c>
      <c r="H488" s="322" t="s">
        <v>773</v>
      </c>
      <c r="I488" s="447"/>
      <c r="J488" s="447"/>
      <c r="K488" s="438"/>
      <c r="L488" s="447"/>
      <c r="M488" s="65">
        <v>33000000</v>
      </c>
      <c r="N488" s="323" t="s">
        <v>26</v>
      </c>
      <c r="O488" s="66" t="s">
        <v>63</v>
      </c>
      <c r="P488" s="85" t="str">
        <f>IF(AND('331-CT'!$E$7=TH!H488,OR(N488="331",O488="331")),"x","")</f>
        <v/>
      </c>
      <c r="Q488" s="85" t="str">
        <f>IF(AND(B488='111'!$L$11,OR($N488=$Q$7,$O488=$Q$7)),"x","")</f>
        <v/>
      </c>
      <c r="R488" s="85" t="str">
        <f>IF(AND($N488=$Q$7,$B488&lt;'111'!$L$11),"x","")</f>
        <v/>
      </c>
      <c r="S488" s="85" t="str">
        <f>IF(AND($O488=$Q$7,$B488&lt;'111'!$L$11),"x","")</f>
        <v/>
      </c>
      <c r="T488" s="85" t="str">
        <f>IF(ISERROR(FIND('112'!$M$9,G488,1)),"",IF((AND(FIND('112'!$M$9,G488,1)&gt;=1,B488='112'!$K$9,OR($N488='112'!$I$6,$O488='112'!$I$6))),"x",""))</f>
        <v/>
      </c>
      <c r="U488" s="85" t="str">
        <f>IF(ISERROR(FIND('112'!$M$9,G488,1)),"",IF((AND(LEFT(G488,2)=LEFT('112'!$M$9,2),B488&lt;'112'!$K$9,$N488='112'!$I$6)),"x",""))</f>
        <v/>
      </c>
      <c r="V488" s="85" t="str">
        <f>IF(ISERROR(FIND('112'!$M$9,G488,1)),"",IF((AND(RIGHT(G488,2)=RIGHT('112'!$M$9,2),B488&lt;'112'!$K$9,$O488='112'!$I$6)),"x",""))</f>
        <v/>
      </c>
      <c r="W488" s="85" t="str">
        <f>IF(AND('341-CT'!$H$9=H488,OR(LEFT(N488,3)=$W$7,LEFT(O488,3)=$W$7)),"x","")</f>
        <v/>
      </c>
      <c r="X488" s="85" t="str">
        <f>IF(OR(TH!N488=TH!$X$7,O488=TH!$X$7),"x","")</f>
        <v/>
      </c>
      <c r="Y488" s="85" t="str">
        <f>IF(AND(OR(N488="131",O488="131"),H488='131-CT'!$H$9),"x","")</f>
        <v/>
      </c>
      <c r="Z488" s="85"/>
      <c r="AA488" s="85" t="str">
        <f>IF(AND(MONTH(E488)='IN-NX'!$J$5,'IN-NX'!$D$7=D488),"x","")</f>
        <v/>
      </c>
      <c r="AB488" s="85" t="str">
        <f>IF(AND(OR(LEFT(TH!N488,2)="15",LEFT(TH!O488,2)="15"),'152-CT'!$J$8=TH!F488),"x","")</f>
        <v/>
      </c>
      <c r="AC488" s="85" t="str">
        <f>IF(AND(OR(LEFT(TH!N488,2)="15",LEFT(TH!O488,2)="15"),TK!$E$7=TH!F488),"x","")</f>
        <v/>
      </c>
      <c r="AD488" s="85" t="str">
        <f>IF(AND(N488="1521",MONTH(C488)='BK-NL'!$M$11),"x","")</f>
        <v/>
      </c>
      <c r="AE488" s="333"/>
    </row>
    <row r="489" spans="1:31" s="358" customFormat="1" ht="15.75" customHeight="1">
      <c r="A489" s="343" t="str">
        <f>IF(B489&lt;&gt;"",IF(AND(B489='IN-TC'!$S$4,OR(TH!N489="1111",TH!O489="1111")),TH!D489,""),"")</f>
        <v/>
      </c>
      <c r="B489" s="63">
        <f t="shared" si="59"/>
        <v>3</v>
      </c>
      <c r="C489" s="320">
        <v>42430</v>
      </c>
      <c r="D489" s="320" t="s">
        <v>882</v>
      </c>
      <c r="E489" s="320">
        <v>42430</v>
      </c>
      <c r="F489" s="321" t="s">
        <v>781</v>
      </c>
      <c r="G489" s="1000" t="s">
        <v>1120</v>
      </c>
      <c r="H489" s="322" t="s">
        <v>1121</v>
      </c>
      <c r="I489" s="447"/>
      <c r="J489" s="447"/>
      <c r="K489" s="438"/>
      <c r="L489" s="447"/>
      <c r="M489" s="65">
        <v>435455</v>
      </c>
      <c r="N489" s="323" t="s">
        <v>101</v>
      </c>
      <c r="O489" s="66" t="s">
        <v>63</v>
      </c>
      <c r="P489" s="85" t="str">
        <f>IF(AND('331-CT'!$E$7=TH!H489,OR(N489="331",O489="331")),"x","")</f>
        <v/>
      </c>
      <c r="Q489" s="85" t="str">
        <f>IF(AND(B489='111'!$L$11,OR($N489=$Q$7,$O489=$Q$7)),"x","")</f>
        <v/>
      </c>
      <c r="R489" s="85" t="str">
        <f>IF(AND($N489=$Q$7,$B489&lt;'111'!$L$11),"x","")</f>
        <v/>
      </c>
      <c r="S489" s="85" t="str">
        <f>IF(AND($O489=$Q$7,$B489&lt;'111'!$L$11),"x","")</f>
        <v/>
      </c>
      <c r="T489" s="85" t="str">
        <f>IF(ISERROR(FIND('112'!$M$9,G489,1)),"",IF((AND(FIND('112'!$M$9,G489,1)&gt;=1,B489='112'!$K$9,OR($N489='112'!$I$6,$O489='112'!$I$6))),"x",""))</f>
        <v/>
      </c>
      <c r="U489" s="85" t="str">
        <f>IF(ISERROR(FIND('112'!$M$9,G489,1)),"",IF((AND(LEFT(G489,2)=LEFT('112'!$M$9,2),B489&lt;'112'!$K$9,$N489='112'!$I$6)),"x",""))</f>
        <v/>
      </c>
      <c r="V489" s="85" t="str">
        <f>IF(ISERROR(FIND('112'!$M$9,G489,1)),"",IF((AND(RIGHT(G489,2)=RIGHT('112'!$M$9,2),B489&lt;'112'!$K$9,$O489='112'!$I$6)),"x",""))</f>
        <v/>
      </c>
      <c r="W489" s="85" t="str">
        <f>IF(AND('341-CT'!$H$9=H489,OR(LEFT(N489,3)=$W$7,LEFT(O489,3)=$W$7)),"x","")</f>
        <v/>
      </c>
      <c r="X489" s="85" t="str">
        <f>IF(OR(TH!N489=TH!$X$7,O489=TH!$X$7),"x","")</f>
        <v/>
      </c>
      <c r="Y489" s="85" t="str">
        <f>IF(AND(OR(N489="131",O489="131"),H489='131-CT'!$H$9),"x","")</f>
        <v/>
      </c>
      <c r="Z489" s="85"/>
      <c r="AA489" s="85" t="str">
        <f>IF(AND(MONTH(E489)='IN-NX'!$J$5,'IN-NX'!$D$7=D489),"x","")</f>
        <v/>
      </c>
      <c r="AB489" s="85" t="str">
        <f>IF(AND(OR(LEFT(TH!N489,2)="15",LEFT(TH!O489,2)="15"),'152-CT'!$J$8=TH!F489),"x","")</f>
        <v/>
      </c>
      <c r="AC489" s="85" t="str">
        <f>IF(AND(OR(LEFT(TH!N489,2)="15",LEFT(TH!O489,2)="15"),TK!$E$7=TH!F489),"x","")</f>
        <v/>
      </c>
      <c r="AD489" s="85" t="str">
        <f>IF(AND(N489="1521",MONTH(C489)='BK-NL'!$M$11),"x","")</f>
        <v/>
      </c>
      <c r="AE489" s="333"/>
    </row>
    <row r="490" spans="1:31" ht="15.75" customHeight="1">
      <c r="A490" s="343" t="str">
        <f>IF(B490&lt;&gt;"",IF(AND(B490='IN-TC'!$S$4,OR(TH!N490="1111",TH!O490="1111")),TH!D490,""),"")</f>
        <v/>
      </c>
      <c r="B490" s="63">
        <f t="shared" si="59"/>
        <v>3</v>
      </c>
      <c r="C490" s="320">
        <v>42430</v>
      </c>
      <c r="D490" s="320" t="s">
        <v>882</v>
      </c>
      <c r="E490" s="320">
        <v>42430</v>
      </c>
      <c r="F490" s="321" t="s">
        <v>782</v>
      </c>
      <c r="G490" s="1000" t="s">
        <v>1120</v>
      </c>
      <c r="H490" s="322" t="s">
        <v>1121</v>
      </c>
      <c r="I490" s="447"/>
      <c r="J490" s="447"/>
      <c r="K490" s="438"/>
      <c r="L490" s="447"/>
      <c r="M490" s="65">
        <v>43545</v>
      </c>
      <c r="N490" s="323" t="s">
        <v>9</v>
      </c>
      <c r="O490" s="66" t="s">
        <v>63</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
      </c>
      <c r="W490" s="85" t="str">
        <f>IF(AND('341-CT'!$H$9=H490,OR(LEFT(N490,3)=$W$7,LEFT(O490,3)=$W$7)),"x","")</f>
        <v/>
      </c>
      <c r="X490" s="85" t="str">
        <f>IF(OR(TH!N490=TH!$X$7,O490=TH!$X$7),"x","")</f>
        <v/>
      </c>
      <c r="Y490" s="85" t="str">
        <f>IF(AND(OR(N490="131",O490="131"),H490='131-CT'!$H$9),"x","")</f>
        <v/>
      </c>
      <c r="Z490" s="85"/>
      <c r="AA490" s="85" t="str">
        <f>IF(AND(MONTH(E490)='IN-NX'!$J$5,'IN-NX'!$D$7=D490),"x","")</f>
        <v/>
      </c>
      <c r="AB490" s="85" t="str">
        <f>IF(AND(OR(LEFT(TH!N490,2)="15",LEFT(TH!O490,2)="15"),'152-CT'!$J$8=TH!F490),"x","")</f>
        <v/>
      </c>
      <c r="AC490" s="85" t="str">
        <f>IF(AND(OR(LEFT(TH!N490,2)="15",LEFT(TH!O490,2)="15"),TK!$E$7=TH!F490),"x","")</f>
        <v/>
      </c>
      <c r="AD490" s="85" t="str">
        <f>IF(AND(N490="1521",MONTH(C490)='BK-NL'!$M$11),"x","")</f>
        <v/>
      </c>
    </row>
    <row r="491" spans="1:31" ht="15.75" customHeight="1">
      <c r="A491" s="343" t="str">
        <f>IF(B491&lt;&gt;"",IF(AND(B491='IN-TC'!$S$4,OR(TH!N491="1111",TH!O491="1111")),TH!D491,""),"")</f>
        <v/>
      </c>
      <c r="B491" s="63">
        <f t="shared" si="59"/>
        <v>3</v>
      </c>
      <c r="C491" s="320">
        <v>42430</v>
      </c>
      <c r="D491" s="320" t="s">
        <v>883</v>
      </c>
      <c r="E491" s="320">
        <v>42430</v>
      </c>
      <c r="F491" s="321" t="s">
        <v>1122</v>
      </c>
      <c r="G491" s="1000" t="s">
        <v>1123</v>
      </c>
      <c r="H491" s="322" t="s">
        <v>1125</v>
      </c>
      <c r="I491" s="447"/>
      <c r="J491" s="447"/>
      <c r="K491" s="438"/>
      <c r="L491" s="447"/>
      <c r="M491" s="65">
        <v>1697500</v>
      </c>
      <c r="N491" s="323" t="s">
        <v>101</v>
      </c>
      <c r="O491" s="66" t="s">
        <v>63</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
      </c>
      <c r="W491" s="85" t="str">
        <f>IF(AND('341-CT'!$H$9=H491,OR(LEFT(N491,3)=$W$7,LEFT(O491,3)=$W$7)),"x","")</f>
        <v/>
      </c>
      <c r="X491" s="85" t="str">
        <f>IF(OR(TH!N491=TH!$X$7,O491=TH!$X$7),"x","")</f>
        <v/>
      </c>
      <c r="Y491" s="85" t="str">
        <f>IF(AND(OR(N491="131",O491="131"),H491='131-CT'!$H$9),"x","")</f>
        <v/>
      </c>
      <c r="Z491" s="85"/>
      <c r="AA491" s="85" t="str">
        <f>IF(AND(MONTH(E491)='IN-NX'!$J$5,'IN-NX'!$D$7=D491),"x","")</f>
        <v/>
      </c>
      <c r="AB491" s="85" t="str">
        <f>IF(AND(OR(LEFT(TH!N491,2)="15",LEFT(TH!O491,2)="15"),'152-CT'!$J$8=TH!F491),"x","")</f>
        <v/>
      </c>
      <c r="AC491" s="85" t="str">
        <f>IF(AND(OR(LEFT(TH!N491,2)="15",LEFT(TH!O491,2)="15"),TK!$E$7=TH!F491),"x","")</f>
        <v/>
      </c>
      <c r="AD491" s="85" t="str">
        <f>IF(AND(N491="1521",MONTH(C491)='BK-NL'!$M$11),"x","")</f>
        <v/>
      </c>
    </row>
    <row r="492" spans="1:31" ht="15.75" customHeight="1">
      <c r="A492" s="343" t="str">
        <f>IF(B492&lt;&gt;"",IF(AND(B492='IN-TC'!$S$4,OR(TH!N492="1111",TH!O492="1111")),TH!D492,""),"")</f>
        <v/>
      </c>
      <c r="B492" s="63">
        <f t="shared" si="59"/>
        <v>3</v>
      </c>
      <c r="C492" s="320">
        <v>42430</v>
      </c>
      <c r="D492" s="320" t="s">
        <v>883</v>
      </c>
      <c r="E492" s="320">
        <v>42430</v>
      </c>
      <c r="F492" s="321" t="s">
        <v>1124</v>
      </c>
      <c r="G492" s="1000" t="s">
        <v>1123</v>
      </c>
      <c r="H492" s="322" t="s">
        <v>1125</v>
      </c>
      <c r="I492" s="447"/>
      <c r="J492" s="447"/>
      <c r="K492" s="438"/>
      <c r="L492" s="447"/>
      <c r="M492" s="65">
        <v>169750</v>
      </c>
      <c r="N492" s="323" t="s">
        <v>9</v>
      </c>
      <c r="O492" s="66" t="s">
        <v>63</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
      </c>
      <c r="W492" s="85" t="str">
        <f>IF(AND('341-CT'!$H$9=H492,OR(LEFT(N492,3)=$W$7,LEFT(O492,3)=$W$7)),"x","")</f>
        <v/>
      </c>
      <c r="X492" s="85" t="str">
        <f>IF(OR(TH!N492=TH!$X$7,O492=TH!$X$7),"x","")</f>
        <v/>
      </c>
      <c r="Y492" s="85" t="str">
        <f>IF(AND(OR(N492="131",O492="131"),H492='131-CT'!$H$9),"x","")</f>
        <v/>
      </c>
      <c r="Z492" s="85"/>
      <c r="AA492" s="85" t="str">
        <f>IF(AND(MONTH(E492)='IN-NX'!$J$5,'IN-NX'!$D$7=D492),"x","")</f>
        <v/>
      </c>
      <c r="AB492" s="85" t="str">
        <f>IF(AND(OR(LEFT(TH!N492,2)="15",LEFT(TH!O492,2)="15"),'152-CT'!$J$8=TH!F492),"x","")</f>
        <v/>
      </c>
      <c r="AC492" s="85" t="str">
        <f>IF(AND(OR(LEFT(TH!N492,2)="15",LEFT(TH!O492,2)="15"),TK!$E$7=TH!F492),"x","")</f>
        <v/>
      </c>
      <c r="AD492" s="85" t="str">
        <f>IF(AND(N492="1521",MONTH(C492)='BK-NL'!$M$11),"x","")</f>
        <v/>
      </c>
    </row>
    <row r="493" spans="1:31" ht="15.75" customHeight="1">
      <c r="A493" s="343" t="str">
        <f>IF(B493&lt;&gt;"",IF(AND(B493='IN-TC'!$S$4,OR(TH!N493="1111",TH!O493="1111")),TH!D493,""),"")</f>
        <v/>
      </c>
      <c r="B493" s="63">
        <f t="shared" si="59"/>
        <v>3</v>
      </c>
      <c r="C493" s="64">
        <v>42430</v>
      </c>
      <c r="D493" s="320" t="s">
        <v>709</v>
      </c>
      <c r="E493" s="64">
        <v>42430</v>
      </c>
      <c r="F493" s="67" t="s">
        <v>1221</v>
      </c>
      <c r="G493" s="67" t="s">
        <v>930</v>
      </c>
      <c r="H493" s="7" t="s">
        <v>636</v>
      </c>
      <c r="I493" s="447"/>
      <c r="J493" s="447"/>
      <c r="K493" s="438"/>
      <c r="L493" s="447"/>
      <c r="M493" s="65">
        <v>32386200</v>
      </c>
      <c r="N493" s="66" t="s">
        <v>8</v>
      </c>
      <c r="O493" s="66" t="s">
        <v>26</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
      </c>
      <c r="W493" s="85" t="str">
        <f>IF(AND('341-CT'!$H$9=H493,OR(LEFT(N493,3)=$W$7,LEFT(O493,3)=$W$7)),"x","")</f>
        <v/>
      </c>
      <c r="X493" s="85" t="str">
        <f>IF(OR(TH!N493=TH!$X$7,O493=TH!$X$7),"x","")</f>
        <v/>
      </c>
      <c r="Y493" s="85" t="str">
        <f>IF(AND(OR(N493="131",O493="131"),H493='131-CT'!$H$9),"x","")</f>
        <v/>
      </c>
      <c r="Z493" s="85"/>
      <c r="AA493" s="85" t="str">
        <f>IF(AND(MONTH(E493)='IN-NX'!$J$5,'IN-NX'!$D$7=D493),"x","")</f>
        <v/>
      </c>
      <c r="AB493" s="85" t="str">
        <f>IF(AND(OR(LEFT(TH!N493,2)="15",LEFT(TH!O493,2)="15"),'152-CT'!$J$8=TH!F493),"x","")</f>
        <v/>
      </c>
      <c r="AC493" s="85" t="str">
        <f>IF(AND(OR(LEFT(TH!N493,2)="15",LEFT(TH!O493,2)="15"),TK!$E$7=TH!F493),"x","")</f>
        <v/>
      </c>
      <c r="AD493" s="85" t="str">
        <f>IF(AND(N493="1521",MONTH(C493)='BK-NL'!$M$11),"x","")</f>
        <v/>
      </c>
    </row>
    <row r="494" spans="1:31" ht="15.75" customHeight="1">
      <c r="A494" s="343" t="str">
        <f>IF(B494&lt;&gt;"",IF(AND(B494='IN-TC'!$S$4,OR(TH!N494="1111",TH!O494="1111")),TH!D494,""),"")</f>
        <v/>
      </c>
      <c r="B494" s="63">
        <f t="shared" si="59"/>
        <v>3</v>
      </c>
      <c r="C494" s="64">
        <v>42430</v>
      </c>
      <c r="D494" s="320" t="s">
        <v>709</v>
      </c>
      <c r="E494" s="64">
        <v>42430</v>
      </c>
      <c r="F494" s="67" t="s">
        <v>1215</v>
      </c>
      <c r="G494" s="67" t="s">
        <v>930</v>
      </c>
      <c r="H494" s="74"/>
      <c r="I494" s="447"/>
      <c r="J494" s="447"/>
      <c r="K494" s="438"/>
      <c r="L494" s="447"/>
      <c r="M494" s="65">
        <v>45000</v>
      </c>
      <c r="N494" s="66" t="s">
        <v>101</v>
      </c>
      <c r="O494" s="66" t="s">
        <v>26</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
      </c>
      <c r="V494" s="85" t="str">
        <f>IF(ISERROR(FIND('112'!$M$9,G494,1)),"",IF((AND(RIGHT(G494,2)=RIGHT('112'!$M$9,2),B494&lt;'112'!$K$9,$O494='112'!$I$6)),"x",""))</f>
        <v/>
      </c>
      <c r="W494" s="85" t="str">
        <f>IF(AND('341-CT'!$H$9=H494,OR(LEFT(N494,3)=$W$7,LEFT(O494,3)=$W$7)),"x","")</f>
        <v/>
      </c>
      <c r="X494" s="85" t="str">
        <f>IF(OR(TH!N494=TH!$X$7,O494=TH!$X$7),"x","")</f>
        <v/>
      </c>
      <c r="Y494" s="85" t="str">
        <f>IF(AND(OR(N494="131",O494="131"),H494='131-CT'!$H$9),"x","")</f>
        <v/>
      </c>
      <c r="Z494" s="85"/>
      <c r="AA494" s="85" t="str">
        <f>IF(AND(MONTH(E494)='IN-NX'!$J$5,'IN-NX'!$D$7=D494),"x","")</f>
        <v/>
      </c>
      <c r="AB494" s="85" t="str">
        <f>IF(AND(OR(LEFT(TH!N494,2)="15",LEFT(TH!O494,2)="15"),'152-CT'!$J$8=TH!F494),"x","")</f>
        <v/>
      </c>
      <c r="AC494" s="85" t="str">
        <f>IF(AND(OR(LEFT(TH!N494,2)="15",LEFT(TH!O494,2)="15"),TK!$E$7=TH!F494),"x","")</f>
        <v/>
      </c>
      <c r="AD494" s="85" t="str">
        <f>IF(AND(N494="1521",MONTH(C494)='BK-NL'!$M$11),"x","")</f>
        <v/>
      </c>
    </row>
    <row r="495" spans="1:31" ht="15.75" customHeight="1">
      <c r="A495" s="343" t="str">
        <f>IF(B495&lt;&gt;"",IF(AND(B495='IN-TC'!$S$4,OR(TH!N495="1111",TH!O495="1111")),TH!D495,""),"")</f>
        <v/>
      </c>
      <c r="B495" s="63">
        <f t="shared" si="59"/>
        <v>3</v>
      </c>
      <c r="C495" s="64">
        <v>42430</v>
      </c>
      <c r="D495" s="320" t="s">
        <v>709</v>
      </c>
      <c r="E495" s="64">
        <v>42430</v>
      </c>
      <c r="F495" s="67" t="s">
        <v>1216</v>
      </c>
      <c r="G495" s="67" t="s">
        <v>930</v>
      </c>
      <c r="H495" s="74"/>
      <c r="I495" s="447"/>
      <c r="J495" s="447"/>
      <c r="K495" s="438"/>
      <c r="L495" s="447"/>
      <c r="M495" s="65">
        <v>4500</v>
      </c>
      <c r="N495" s="66" t="s">
        <v>9</v>
      </c>
      <c r="O495" s="66" t="s">
        <v>26</v>
      </c>
      <c r="P495" s="85" t="str">
        <f>IF(AND('331-CT'!$E$7=TH!H495,OR(N495="331",O495="331")),"x","")</f>
        <v/>
      </c>
      <c r="Q495" s="85" t="str">
        <f>IF(AND(B495='111'!$L$11,OR($N495=$Q$7,$O495=$Q$7)),"x","")</f>
        <v/>
      </c>
      <c r="R495" s="85" t="str">
        <f>IF(AND($N495=$Q$7,$B495&lt;'111'!$L$11),"x","")</f>
        <v/>
      </c>
      <c r="S495" s="85" t="str">
        <f>IF(AND($O495=$Q$7,$B495&lt;'111'!$L$11),"x","")</f>
        <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
      </c>
      <c r="W495" s="85" t="str">
        <f>IF(AND('341-CT'!$H$9=H495,OR(LEFT(N495,3)=$W$7,LEFT(O495,3)=$W$7)),"x","")</f>
        <v/>
      </c>
      <c r="X495" s="85" t="str">
        <f>IF(OR(TH!N495=TH!$X$7,O495=TH!$X$7),"x","")</f>
        <v/>
      </c>
      <c r="Y495" s="85" t="str">
        <f>IF(AND(OR(N495="131",O495="131"),H495='131-CT'!$H$9),"x","")</f>
        <v/>
      </c>
      <c r="Z495" s="85"/>
      <c r="AA495" s="85" t="str">
        <f>IF(AND(MONTH(E495)='IN-NX'!$J$5,'IN-NX'!$D$7=D495),"x","")</f>
        <v/>
      </c>
      <c r="AB495" s="85" t="str">
        <f>IF(AND(OR(LEFT(TH!N495,2)="15",LEFT(TH!O495,2)="15"),'152-CT'!$J$8=TH!F495),"x","")</f>
        <v/>
      </c>
      <c r="AC495" s="85" t="str">
        <f>IF(AND(OR(LEFT(TH!N495,2)="15",LEFT(TH!O495,2)="15"),TK!$E$7=TH!F495),"x","")</f>
        <v/>
      </c>
      <c r="AD495" s="85" t="str">
        <f>IF(AND(N495="1521",MONTH(C495)='BK-NL'!$M$11),"x","")</f>
        <v/>
      </c>
    </row>
    <row r="496" spans="1:31" ht="15.75" customHeight="1">
      <c r="A496" s="343" t="str">
        <f>IF(B496&lt;&gt;"",IF(AND(B496='IN-TC'!$S$4,OR(TH!N496="1111",TH!O496="1111")),TH!D496,""),"")</f>
        <v/>
      </c>
      <c r="B496" s="63">
        <f t="shared" si="59"/>
        <v>3</v>
      </c>
      <c r="C496" s="320">
        <v>42431</v>
      </c>
      <c r="D496" s="320" t="s">
        <v>884</v>
      </c>
      <c r="E496" s="320">
        <v>42373</v>
      </c>
      <c r="F496" s="321" t="s">
        <v>1164</v>
      </c>
      <c r="G496" s="1000" t="s">
        <v>1168</v>
      </c>
      <c r="H496" s="74" t="s">
        <v>1167</v>
      </c>
      <c r="I496" s="447"/>
      <c r="J496" s="447"/>
      <c r="K496" s="438"/>
      <c r="L496" s="447"/>
      <c r="M496" s="65">
        <v>16822500</v>
      </c>
      <c r="N496" s="323" t="s">
        <v>162</v>
      </c>
      <c r="O496" s="66" t="s">
        <v>63</v>
      </c>
      <c r="P496" s="85" t="str">
        <f>IF(AND('331-CT'!$E$7=TH!H496,OR(N496="331",O496="331")),"x","")</f>
        <v/>
      </c>
      <c r="Q496" s="85" t="str">
        <f>IF(AND(B496='111'!$L$11,OR($N496=$Q$7,$O496=$Q$7)),"x","")</f>
        <v/>
      </c>
      <c r="R496" s="85" t="str">
        <f>IF(AND($N496=$Q$7,$B496&lt;'111'!$L$11),"x","")</f>
        <v/>
      </c>
      <c r="S496" s="85" t="str">
        <f>IF(AND($O496=$Q$7,$B496&lt;'111'!$L$11),"x","")</f>
        <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
      </c>
      <c r="W496" s="85" t="str">
        <f>IF(AND('341-CT'!$H$9=H496,OR(LEFT(N496,3)=$W$7,LEFT(O496,3)=$W$7)),"x","")</f>
        <v/>
      </c>
      <c r="X496" s="85" t="str">
        <f>IF(OR(TH!N496=TH!$X$7,O496=TH!$X$7),"x","")</f>
        <v/>
      </c>
      <c r="Y496" s="85" t="str">
        <f>IF(AND(OR(N496="131",O496="131"),H496='131-CT'!$H$9),"x","")</f>
        <v/>
      </c>
      <c r="Z496" s="85"/>
      <c r="AA496" s="85" t="str">
        <f>IF(AND(MONTH(E496)='IN-NX'!$J$5,'IN-NX'!$D$7=D496),"x","")</f>
        <v/>
      </c>
      <c r="AB496" s="85" t="str">
        <f>IF(AND(OR(LEFT(TH!N496,2)="15",LEFT(TH!O496,2)="15"),'152-CT'!$J$8=TH!F496),"x","")</f>
        <v/>
      </c>
      <c r="AC496" s="85" t="str">
        <f>IF(AND(OR(LEFT(TH!N496,2)="15",LEFT(TH!O496,2)="15"),TK!$E$7=TH!F496),"x","")</f>
        <v/>
      </c>
      <c r="AD496" s="85" t="str">
        <f>IF(AND(N496="1521",MONTH(C496)='BK-NL'!$M$11),"x","")</f>
        <v/>
      </c>
    </row>
    <row r="497" spans="1:31" ht="15.75" customHeight="1">
      <c r="A497" s="343" t="str">
        <f>IF(B497&lt;&gt;"",IF(AND(B497='IN-TC'!$S$4,OR(TH!N497="1111",TH!O497="1111")),TH!D497,""),"")</f>
        <v/>
      </c>
      <c r="B497" s="63">
        <f t="shared" si="59"/>
        <v>3</v>
      </c>
      <c r="C497" s="320">
        <v>42431</v>
      </c>
      <c r="D497" s="320" t="s">
        <v>884</v>
      </c>
      <c r="E497" s="320">
        <v>42373</v>
      </c>
      <c r="F497" s="67" t="s">
        <v>1165</v>
      </c>
      <c r="G497" s="1000" t="s">
        <v>1168</v>
      </c>
      <c r="H497" s="74" t="s">
        <v>1167</v>
      </c>
      <c r="I497" s="447"/>
      <c r="J497" s="447"/>
      <c r="K497" s="438"/>
      <c r="L497" s="447"/>
      <c r="M497" s="65">
        <v>1682250</v>
      </c>
      <c r="N497" s="323" t="s">
        <v>9</v>
      </c>
      <c r="O497" s="66" t="s">
        <v>63</v>
      </c>
      <c r="P497" s="85" t="str">
        <f>IF(AND('331-CT'!$E$7=TH!H497,OR(N497="331",O497="331")),"x","")</f>
        <v/>
      </c>
      <c r="Q497" s="85" t="str">
        <f>IF(AND(B497='111'!$L$11,OR($N497=$Q$7,$O497=$Q$7)),"x","")</f>
        <v/>
      </c>
      <c r="R497" s="85" t="str">
        <f>IF(AND($N497=$Q$7,$B497&lt;'111'!$L$11),"x","")</f>
        <v/>
      </c>
      <c r="S497" s="85" t="str">
        <f>IF(AND($O497=$Q$7,$B497&lt;'111'!$L$11),"x","")</f>
        <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
      </c>
      <c r="W497" s="85" t="str">
        <f>IF(AND('341-CT'!$H$9=H497,OR(LEFT(N497,3)=$W$7,LEFT(O497,3)=$W$7)),"x","")</f>
        <v/>
      </c>
      <c r="X497" s="85" t="str">
        <f>IF(OR(TH!N497=TH!$X$7,O497=TH!$X$7),"x","")</f>
        <v/>
      </c>
      <c r="Y497" s="85" t="str">
        <f>IF(AND(OR(N497="131",O497="131"),H497='131-CT'!$H$9),"x","")</f>
        <v/>
      </c>
      <c r="Z497" s="85"/>
      <c r="AA497" s="85" t="str">
        <f>IF(AND(MONTH(E497)='IN-NX'!$J$5,'IN-NX'!$D$7=D497),"x","")</f>
        <v/>
      </c>
      <c r="AB497" s="85" t="str">
        <f>IF(AND(OR(LEFT(TH!N497,2)="15",LEFT(TH!O497,2)="15"),'152-CT'!$J$8=TH!F497),"x","")</f>
        <v/>
      </c>
      <c r="AC497" s="85" t="str">
        <f>IF(AND(OR(LEFT(TH!N497,2)="15",LEFT(TH!O497,2)="15"),TK!$E$7=TH!F497),"x","")</f>
        <v/>
      </c>
      <c r="AD497" s="85" t="str">
        <f>IF(AND(N497="1521",MONTH(C497)='BK-NL'!$M$11),"x","")</f>
        <v/>
      </c>
    </row>
    <row r="498" spans="1:31" ht="15.75" customHeight="1">
      <c r="A498" s="343" t="str">
        <f>IF(B498&lt;&gt;"",IF(AND(B498='IN-TC'!$S$4,OR(TH!N498="1111",TH!O498="1111")),TH!D498,""),"")</f>
        <v/>
      </c>
      <c r="B498" s="63">
        <f t="shared" si="59"/>
        <v>3</v>
      </c>
      <c r="C498" s="320">
        <v>42431</v>
      </c>
      <c r="D498" s="320" t="s">
        <v>886</v>
      </c>
      <c r="E498" s="320">
        <v>42375</v>
      </c>
      <c r="F498" s="67" t="s">
        <v>1169</v>
      </c>
      <c r="G498" s="1000" t="s">
        <v>1171</v>
      </c>
      <c r="H498" s="74" t="s">
        <v>1172</v>
      </c>
      <c r="I498" s="447"/>
      <c r="J498" s="447"/>
      <c r="K498" s="438"/>
      <c r="L498" s="447"/>
      <c r="M498" s="65">
        <v>18091920</v>
      </c>
      <c r="N498" s="323" t="s">
        <v>162</v>
      </c>
      <c r="O498" s="66" t="s">
        <v>63</v>
      </c>
      <c r="P498" s="85" t="str">
        <f>IF(AND('331-CT'!$E$7=TH!H498,OR(N498="331",O498="331")),"x","")</f>
        <v/>
      </c>
      <c r="Q498" s="85" t="str">
        <f>IF(AND(B498='111'!$L$11,OR($N498=$Q$7,$O498=$Q$7)),"x","")</f>
        <v/>
      </c>
      <c r="R498" s="85" t="str">
        <f>IF(AND($N498=$Q$7,$B498&lt;'111'!$L$11),"x","")</f>
        <v/>
      </c>
      <c r="S498" s="85" t="str">
        <f>IF(AND($O498=$Q$7,$B498&lt;'111'!$L$11),"x","")</f>
        <v/>
      </c>
      <c r="T498" s="85" t="str">
        <f>IF(ISERROR(FIND('112'!$M$9,G498,1)),"",IF((AND(FIND('112'!$M$9,G498,1)&gt;=1,B498='112'!$K$9,OR($N498='112'!$I$6,$O498='112'!$I$6))),"x",""))</f>
        <v/>
      </c>
      <c r="U498" s="85" t="str">
        <f>IF(ISERROR(FIND('112'!$M$9,G498,1)),"",IF((AND(LEFT(G498,2)=LEFT('112'!$M$9,2),B498&lt;'112'!$K$9,$N498='112'!$I$6)),"x",""))</f>
        <v/>
      </c>
      <c r="V498" s="85" t="str">
        <f>IF(ISERROR(FIND('112'!$M$9,G498,1)),"",IF((AND(RIGHT(G498,2)=RIGHT('112'!$M$9,2),B498&lt;'112'!$K$9,$O498='112'!$I$6)),"x",""))</f>
        <v/>
      </c>
      <c r="W498" s="85" t="str">
        <f>IF(AND('341-CT'!$H$9=H498,OR(LEFT(N498,3)=$W$7,LEFT(O498,3)=$W$7)),"x","")</f>
        <v/>
      </c>
      <c r="X498" s="85" t="str">
        <f>IF(OR(TH!N498=TH!$X$7,O498=TH!$X$7),"x","")</f>
        <v/>
      </c>
      <c r="Y498" s="85" t="str">
        <f>IF(AND(OR(N498="131",O498="131"),H498='131-CT'!$H$9),"x","")</f>
        <v/>
      </c>
      <c r="Z498" s="85"/>
      <c r="AA498" s="85" t="str">
        <f>IF(AND(MONTH(E498)='IN-NX'!$J$5,'IN-NX'!$D$7=D498),"x","")</f>
        <v/>
      </c>
      <c r="AB498" s="85" t="str">
        <f>IF(AND(OR(LEFT(TH!N498,2)="15",LEFT(TH!O498,2)="15"),'152-CT'!$J$8=TH!F498),"x","")</f>
        <v/>
      </c>
      <c r="AC498" s="85" t="str">
        <f>IF(AND(OR(LEFT(TH!N498,2)="15",LEFT(TH!O498,2)="15"),TK!$E$7=TH!F498),"x","")</f>
        <v/>
      </c>
      <c r="AD498" s="85" t="str">
        <f>IF(AND(N498="1521",MONTH(C498)='BK-NL'!$M$11),"x","")</f>
        <v/>
      </c>
    </row>
    <row r="499" spans="1:31" ht="15.75" customHeight="1">
      <c r="A499" s="343" t="str">
        <f>IF(B499&lt;&gt;"",IF(AND(B499='IN-TC'!$S$4,OR(TH!N499="1111",TH!O499="1111")),TH!D499,""),"")</f>
        <v/>
      </c>
      <c r="B499" s="63">
        <f t="shared" si="59"/>
        <v>3</v>
      </c>
      <c r="C499" s="320">
        <v>42431</v>
      </c>
      <c r="D499" s="320" t="s">
        <v>886</v>
      </c>
      <c r="E499" s="320">
        <v>42375</v>
      </c>
      <c r="F499" s="67" t="s">
        <v>1170</v>
      </c>
      <c r="G499" s="1000" t="s">
        <v>1171</v>
      </c>
      <c r="H499" s="74" t="s">
        <v>1172</v>
      </c>
      <c r="I499" s="447"/>
      <c r="J499" s="447"/>
      <c r="K499" s="438"/>
      <c r="L499" s="447"/>
      <c r="M499" s="65">
        <v>1809192</v>
      </c>
      <c r="N499" s="323" t="s">
        <v>9</v>
      </c>
      <c r="O499" s="66" t="s">
        <v>63</v>
      </c>
      <c r="P499" s="85" t="str">
        <f>IF(AND('331-CT'!$E$7=TH!H499,OR(N499="331",O499="331")),"x","")</f>
        <v/>
      </c>
      <c r="Q499" s="85" t="str">
        <f>IF(AND(B499='111'!$L$11,OR($N499=$Q$7,$O499=$Q$7)),"x","")</f>
        <v/>
      </c>
      <c r="R499" s="85" t="str">
        <f>IF(AND($N499=$Q$7,$B499&lt;'111'!$L$11),"x","")</f>
        <v/>
      </c>
      <c r="S499" s="85" t="str">
        <f>IF(AND($O499=$Q$7,$B499&lt;'111'!$L$11),"x","")</f>
        <v/>
      </c>
      <c r="T499" s="85" t="str">
        <f>IF(ISERROR(FIND('112'!$M$9,G499,1)),"",IF((AND(FIND('112'!$M$9,G499,1)&gt;=1,B499='112'!$K$9,OR($N499='112'!$I$6,$O499='112'!$I$6))),"x",""))</f>
        <v/>
      </c>
      <c r="U499" s="85" t="str">
        <f>IF(ISERROR(FIND('112'!$M$9,G499,1)),"",IF((AND(LEFT(G499,2)=LEFT('112'!$M$9,2),B499&lt;'112'!$K$9,$N499='112'!$I$6)),"x",""))</f>
        <v/>
      </c>
      <c r="V499" s="85" t="str">
        <f>IF(ISERROR(FIND('112'!$M$9,G499,1)),"",IF((AND(RIGHT(G499,2)=RIGHT('112'!$M$9,2),B499&lt;'112'!$K$9,$O499='112'!$I$6)),"x",""))</f>
        <v/>
      </c>
      <c r="W499" s="85" t="str">
        <f>IF(AND('341-CT'!$H$9=H499,OR(LEFT(N499,3)=$W$7,LEFT(O499,3)=$W$7)),"x","")</f>
        <v/>
      </c>
      <c r="X499" s="85" t="str">
        <f>IF(OR(TH!N499=TH!$X$7,O499=TH!$X$7),"x","")</f>
        <v/>
      </c>
      <c r="Y499" s="85" t="str">
        <f>IF(AND(OR(N499="131",O499="131"),H499='131-CT'!$H$9),"x","")</f>
        <v/>
      </c>
      <c r="Z499" s="85"/>
      <c r="AA499" s="85" t="str">
        <f>IF(AND(MONTH(E499)='IN-NX'!$J$5,'IN-NX'!$D$7=D499),"x","")</f>
        <v/>
      </c>
      <c r="AB499" s="85" t="str">
        <f>IF(AND(OR(LEFT(TH!N499,2)="15",LEFT(TH!O499,2)="15"),'152-CT'!$J$8=TH!F499),"x","")</f>
        <v/>
      </c>
      <c r="AC499" s="85" t="str">
        <f>IF(AND(OR(LEFT(TH!N499,2)="15",LEFT(TH!O499,2)="15"),TK!$E$7=TH!F499),"x","")</f>
        <v/>
      </c>
      <c r="AD499" s="85" t="str">
        <f>IF(AND(N499="1521",MONTH(C499)='BK-NL'!$M$11),"x","")</f>
        <v/>
      </c>
    </row>
    <row r="500" spans="1:31" ht="15.75" customHeight="1">
      <c r="A500" s="343" t="str">
        <f>IF(B500&lt;&gt;"",IF(AND(B500='IN-TC'!$S$4,OR(TH!N500="1111",TH!O500="1111")),TH!D500,""),"")</f>
        <v/>
      </c>
      <c r="B500" s="63">
        <f t="shared" si="59"/>
        <v>3</v>
      </c>
      <c r="C500" s="320">
        <v>42431</v>
      </c>
      <c r="D500" s="320" t="s">
        <v>887</v>
      </c>
      <c r="E500" s="320">
        <v>42375</v>
      </c>
      <c r="F500" s="67" t="s">
        <v>1173</v>
      </c>
      <c r="G500" s="1000" t="s">
        <v>1175</v>
      </c>
      <c r="H500" s="74" t="s">
        <v>1176</v>
      </c>
      <c r="I500" s="447"/>
      <c r="J500" s="447"/>
      <c r="K500" s="438"/>
      <c r="L500" s="447"/>
      <c r="M500" s="65">
        <v>18091200</v>
      </c>
      <c r="N500" s="323" t="s">
        <v>162</v>
      </c>
      <c r="O500" s="66" t="s">
        <v>63</v>
      </c>
      <c r="P500" s="85" t="str">
        <f>IF(AND('331-CT'!$E$7=TH!H500,OR(N500="331",O500="331")),"x","")</f>
        <v/>
      </c>
      <c r="Q500" s="85" t="str">
        <f>IF(AND(B500='111'!$L$11,OR($N500=$Q$7,$O500=$Q$7)),"x","")</f>
        <v/>
      </c>
      <c r="R500" s="85" t="str">
        <f>IF(AND($N500=$Q$7,$B500&lt;'111'!$L$11),"x","")</f>
        <v/>
      </c>
      <c r="S500" s="85" t="str">
        <f>IF(AND($O500=$Q$7,$B500&lt;'111'!$L$11),"x","")</f>
        <v/>
      </c>
      <c r="T500" s="85" t="str">
        <f>IF(ISERROR(FIND('112'!$M$9,G500,1)),"",IF((AND(FIND('112'!$M$9,G500,1)&gt;=1,B500='112'!$K$9,OR($N500='112'!$I$6,$O500='112'!$I$6))),"x",""))</f>
        <v/>
      </c>
      <c r="U500" s="85" t="str">
        <f>IF(ISERROR(FIND('112'!$M$9,G500,1)),"",IF((AND(LEFT(G500,2)=LEFT('112'!$M$9,2),B500&lt;'112'!$K$9,$N500='112'!$I$6)),"x",""))</f>
        <v/>
      </c>
      <c r="V500" s="85" t="str">
        <f>IF(ISERROR(FIND('112'!$M$9,G500,1)),"",IF((AND(RIGHT(G500,2)=RIGHT('112'!$M$9,2),B500&lt;'112'!$K$9,$O500='112'!$I$6)),"x",""))</f>
        <v/>
      </c>
      <c r="W500" s="85" t="str">
        <f>IF(AND('341-CT'!$H$9=H500,OR(LEFT(N500,3)=$W$7,LEFT(O500,3)=$W$7)),"x","")</f>
        <v/>
      </c>
      <c r="X500" s="85" t="str">
        <f>IF(OR(TH!N500=TH!$X$7,O500=TH!$X$7),"x","")</f>
        <v/>
      </c>
      <c r="Y500" s="85" t="str">
        <f>IF(AND(OR(N500="131",O500="131"),H500='131-CT'!$H$9),"x","")</f>
        <v/>
      </c>
      <c r="Z500" s="85"/>
      <c r="AA500" s="85" t="str">
        <f>IF(AND(MONTH(E500)='IN-NX'!$J$5,'IN-NX'!$D$7=D500),"x","")</f>
        <v/>
      </c>
      <c r="AB500" s="85" t="str">
        <f>IF(AND(OR(LEFT(TH!N500,2)="15",LEFT(TH!O500,2)="15"),'152-CT'!$J$8=TH!F500),"x","")</f>
        <v/>
      </c>
      <c r="AC500" s="85" t="str">
        <f>IF(AND(OR(LEFT(TH!N500,2)="15",LEFT(TH!O500,2)="15"),TK!$E$7=TH!F500),"x","")</f>
        <v/>
      </c>
      <c r="AD500" s="85" t="str">
        <f>IF(AND(N500="1521",MONTH(C500)='BK-NL'!$M$11),"x","")</f>
        <v/>
      </c>
    </row>
    <row r="501" spans="1:31" ht="15.75" customHeight="1">
      <c r="A501" s="343" t="str">
        <f>IF(B501&lt;&gt;"",IF(AND(B501='IN-TC'!$S$4,OR(TH!N501="1111",TH!O501="1111")),TH!D501,""),"")</f>
        <v/>
      </c>
      <c r="B501" s="63">
        <f t="shared" si="59"/>
        <v>3</v>
      </c>
      <c r="C501" s="320">
        <v>42431</v>
      </c>
      <c r="D501" s="320" t="s">
        <v>887</v>
      </c>
      <c r="E501" s="320">
        <v>42375</v>
      </c>
      <c r="F501" s="67" t="s">
        <v>1174</v>
      </c>
      <c r="G501" s="1000" t="s">
        <v>1175</v>
      </c>
      <c r="H501" s="74" t="s">
        <v>1176</v>
      </c>
      <c r="I501" s="447"/>
      <c r="J501" s="447"/>
      <c r="K501" s="438"/>
      <c r="L501" s="447"/>
      <c r="M501" s="65">
        <v>1809120</v>
      </c>
      <c r="N501" s="323" t="s">
        <v>9</v>
      </c>
      <c r="O501" s="66" t="s">
        <v>63</v>
      </c>
      <c r="P501" s="85" t="str">
        <f>IF(AND('331-CT'!$E$7=TH!H501,OR(N501="331",O501="331")),"x","")</f>
        <v/>
      </c>
      <c r="Q501" s="85" t="str">
        <f>IF(AND(B501='111'!$L$11,OR($N501=$Q$7,$O501=$Q$7)),"x","")</f>
        <v/>
      </c>
      <c r="R501" s="85" t="str">
        <f>IF(AND($N501=$Q$7,$B501&lt;'111'!$L$11),"x","")</f>
        <v/>
      </c>
      <c r="S501" s="85" t="str">
        <f>IF(AND($O501=$Q$7,$B501&lt;'111'!$L$11),"x","")</f>
        <v/>
      </c>
      <c r="T501" s="85" t="str">
        <f>IF(ISERROR(FIND('112'!$M$9,G501,1)),"",IF((AND(FIND('112'!$M$9,G501,1)&gt;=1,B501='112'!$K$9,OR($N501='112'!$I$6,$O501='112'!$I$6))),"x",""))</f>
        <v/>
      </c>
      <c r="U501" s="85" t="str">
        <f>IF(ISERROR(FIND('112'!$M$9,G501,1)),"",IF((AND(LEFT(G501,2)=LEFT('112'!$M$9,2),B501&lt;'112'!$K$9,$N501='112'!$I$6)),"x",""))</f>
        <v/>
      </c>
      <c r="V501" s="85" t="str">
        <f>IF(ISERROR(FIND('112'!$M$9,G501,1)),"",IF((AND(RIGHT(G501,2)=RIGHT('112'!$M$9,2),B501&lt;'112'!$K$9,$O501='112'!$I$6)),"x",""))</f>
        <v/>
      </c>
      <c r="W501" s="85" t="str">
        <f>IF(AND('341-CT'!$H$9=H501,OR(LEFT(N501,3)=$W$7,LEFT(O501,3)=$W$7)),"x","")</f>
        <v/>
      </c>
      <c r="X501" s="85" t="str">
        <f>IF(OR(TH!N501=TH!$X$7,O501=TH!$X$7),"x","")</f>
        <v/>
      </c>
      <c r="Y501" s="85" t="str">
        <f>IF(AND(OR(N501="131",O501="131"),H501='131-CT'!$H$9),"x","")</f>
        <v/>
      </c>
      <c r="Z501" s="85"/>
      <c r="AA501" s="85" t="str">
        <f>IF(AND(MONTH(E501)='IN-NX'!$J$5,'IN-NX'!$D$7=D501),"x","")</f>
        <v/>
      </c>
      <c r="AB501" s="85" t="str">
        <f>IF(AND(OR(LEFT(TH!N501,2)="15",LEFT(TH!O501,2)="15"),'152-CT'!$J$8=TH!F501),"x","")</f>
        <v/>
      </c>
      <c r="AC501" s="85" t="str">
        <f>IF(AND(OR(LEFT(TH!N501,2)="15",LEFT(TH!O501,2)="15"),TK!$E$7=TH!F501),"x","")</f>
        <v/>
      </c>
      <c r="AD501" s="85" t="str">
        <f>IF(AND(N501="1521",MONTH(C501)='BK-NL'!$M$11),"x","")</f>
        <v/>
      </c>
    </row>
    <row r="502" spans="1:31" ht="15.75" customHeight="1">
      <c r="A502" s="343" t="str">
        <f>IF(B502&lt;&gt;"",IF(AND(B502='IN-TC'!$S$4,OR(TH!N502="1111",TH!O502="1111")),TH!D502,""),"")</f>
        <v/>
      </c>
      <c r="B502" s="63">
        <f t="shared" si="59"/>
        <v>3</v>
      </c>
      <c r="C502" s="320">
        <v>42433</v>
      </c>
      <c r="D502" s="320" t="s">
        <v>888</v>
      </c>
      <c r="E502" s="320">
        <v>42433</v>
      </c>
      <c r="F502" s="321" t="s">
        <v>801</v>
      </c>
      <c r="G502" s="1000" t="s">
        <v>1127</v>
      </c>
      <c r="H502" s="322" t="s">
        <v>1121</v>
      </c>
      <c r="I502" s="451"/>
      <c r="J502" s="451"/>
      <c r="K502" s="442"/>
      <c r="L502" s="451"/>
      <c r="M502" s="65">
        <f>444164+656818</f>
        <v>1100982</v>
      </c>
      <c r="N502" s="323" t="s">
        <v>101</v>
      </c>
      <c r="O502" s="66" t="s">
        <v>63</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IF(AND('341-CT'!$H$9=H502,OR(LEFT(N502,3)=$W$7,LEFT(O502,3)=$W$7)),"x","")</f>
        <v/>
      </c>
      <c r="X502" s="85" t="str">
        <f>IF(OR(TH!N502=TH!$X$7,O502=TH!$X$7),"x","")</f>
        <v/>
      </c>
      <c r="Y502" s="85" t="str">
        <f>IF(AND(OR(N502="131",O502="131"),H502='131-CT'!$H$9),"x","")</f>
        <v/>
      </c>
      <c r="Z502" s="85"/>
      <c r="AA502" s="85" t="str">
        <f>IF(AND(MONTH(E502)='IN-NX'!$J$5,'IN-NX'!$D$7=D502),"x","")</f>
        <v/>
      </c>
      <c r="AB502" s="85" t="str">
        <f>IF(AND(OR(LEFT(TH!N502,2)="15",LEFT(TH!O502,2)="15"),'152-CT'!$J$8=TH!F502),"x","")</f>
        <v/>
      </c>
      <c r="AC502" s="85" t="str">
        <f>IF(AND(OR(LEFT(TH!N502,2)="15",LEFT(TH!O502,2)="15"),TK!$E$7=TH!F502),"x","")</f>
        <v/>
      </c>
      <c r="AD502" s="85" t="str">
        <f>IF(AND(N502="1521",MONTH(C502)='BK-NL'!$M$11),"x","")</f>
        <v/>
      </c>
    </row>
    <row r="503" spans="1:31" ht="15.75" customHeight="1">
      <c r="A503" s="343" t="str">
        <f>IF(B503&lt;&gt;"",IF(AND(B503='IN-TC'!$S$4,OR(TH!N503="1111",TH!O503="1111")),TH!D503,""),"")</f>
        <v/>
      </c>
      <c r="B503" s="63">
        <f t="shared" si="59"/>
        <v>3</v>
      </c>
      <c r="C503" s="320">
        <v>42433</v>
      </c>
      <c r="D503" s="320" t="s">
        <v>888</v>
      </c>
      <c r="E503" s="320">
        <v>42433</v>
      </c>
      <c r="F503" s="321" t="s">
        <v>1027</v>
      </c>
      <c r="G503" s="1000" t="s">
        <v>1127</v>
      </c>
      <c r="H503" s="322" t="s">
        <v>1121</v>
      </c>
      <c r="I503" s="447"/>
      <c r="J503" s="447"/>
      <c r="K503" s="438"/>
      <c r="L503" s="447"/>
      <c r="M503" s="65">
        <v>110098</v>
      </c>
      <c r="N503" s="323" t="s">
        <v>9</v>
      </c>
      <c r="O503" s="66" t="s">
        <v>63</v>
      </c>
      <c r="P503" s="85" t="str">
        <f>IF(AND('331-CT'!$E$7=TH!H503,OR(N503="331",O503="331")),"x","")</f>
        <v/>
      </c>
      <c r="Q503" s="85" t="str">
        <f>IF(AND(B503='111'!$L$11,OR($N503=$Q$7,$O503=$Q$7)),"x","")</f>
        <v/>
      </c>
      <c r="R503" s="85" t="str">
        <f>IF(AND($N503=$Q$7,$B503&lt;'111'!$L$11),"x","")</f>
        <v/>
      </c>
      <c r="S503" s="85" t="str">
        <f>IF(AND($O503=$Q$7,$B503&lt;'111'!$L$11),"x","")</f>
        <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IF(AND('341-CT'!$H$9=H503,OR(LEFT(N503,3)=$W$7,LEFT(O503,3)=$W$7)),"x","")</f>
        <v/>
      </c>
      <c r="X503" s="85" t="str">
        <f>IF(OR(TH!N503=TH!$X$7,O503=TH!$X$7),"x","")</f>
        <v/>
      </c>
      <c r="Y503" s="85" t="str">
        <f>IF(AND(OR(N503="131",O503="131"),H503='131-CT'!$H$9),"x","")</f>
        <v/>
      </c>
      <c r="Z503" s="85"/>
      <c r="AA503" s="85" t="str">
        <f>IF(AND(MONTH(E503)='IN-NX'!$J$5,'IN-NX'!$D$7=D503),"x","")</f>
        <v/>
      </c>
      <c r="AB503" s="85" t="str">
        <f>IF(AND(OR(LEFT(TH!N503,2)="15",LEFT(TH!O503,2)="15"),'152-CT'!$J$8=TH!F503),"x","")</f>
        <v/>
      </c>
      <c r="AC503" s="85" t="str">
        <f>IF(AND(OR(LEFT(TH!N503,2)="15",LEFT(TH!O503,2)="15"),TK!$E$7=TH!F503),"x","")</f>
        <v/>
      </c>
      <c r="AD503" s="85" t="str">
        <f>IF(AND(N503="1521",MONTH(C503)='BK-NL'!$M$11),"x","")</f>
        <v/>
      </c>
    </row>
    <row r="504" spans="1:31" ht="15.75" customHeight="1">
      <c r="A504" s="343" t="str">
        <f>IF(B504&lt;&gt;"",IF(AND(B504='IN-TC'!$S$4,OR(TH!N504="1111",TH!O504="1111")),TH!D504,""),"")</f>
        <v/>
      </c>
      <c r="B504" s="63">
        <f t="shared" si="59"/>
        <v>3</v>
      </c>
      <c r="C504" s="320">
        <v>42433</v>
      </c>
      <c r="D504" s="320" t="s">
        <v>889</v>
      </c>
      <c r="E504" s="320">
        <v>42377</v>
      </c>
      <c r="F504" s="321" t="s">
        <v>1164</v>
      </c>
      <c r="G504" s="1000" t="s">
        <v>1177</v>
      </c>
      <c r="H504" s="74" t="s">
        <v>1167</v>
      </c>
      <c r="I504" s="447"/>
      <c r="J504" s="447"/>
      <c r="K504" s="438"/>
      <c r="L504" s="447"/>
      <c r="M504" s="65">
        <v>17272500</v>
      </c>
      <c r="N504" s="323" t="s">
        <v>162</v>
      </c>
      <c r="O504" s="66" t="s">
        <v>63</v>
      </c>
      <c r="P504" s="85" t="str">
        <f>IF(AND('331-CT'!$E$7=TH!H504,OR(N504="331",O504="331")),"x","")</f>
        <v/>
      </c>
      <c r="Q504" s="85" t="str">
        <f>IF(AND(B504='111'!$L$11,OR($N504=$Q$7,$O504=$Q$7)),"x","")</f>
        <v/>
      </c>
      <c r="R504" s="85" t="str">
        <f>IF(AND($N504=$Q$7,$B504&lt;'111'!$L$11),"x","")</f>
        <v/>
      </c>
      <c r="S504" s="85" t="str">
        <f>IF(AND($O504=$Q$7,$B504&lt;'111'!$L$11),"x","")</f>
        <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IF(AND('341-CT'!$H$9=H504,OR(LEFT(N504,3)=$W$7,LEFT(O504,3)=$W$7)),"x","")</f>
        <v/>
      </c>
      <c r="X504" s="85" t="str">
        <f>IF(OR(TH!N504=TH!$X$7,O504=TH!$X$7),"x","")</f>
        <v/>
      </c>
      <c r="Y504" s="85" t="str">
        <f>IF(AND(OR(N504="131",O504="131"),H504='131-CT'!$H$9),"x","")</f>
        <v/>
      </c>
      <c r="Z504" s="85"/>
      <c r="AA504" s="85" t="str">
        <f>IF(AND(MONTH(E504)='IN-NX'!$J$5,'IN-NX'!$D$7=D504),"x","")</f>
        <v/>
      </c>
      <c r="AB504" s="85" t="str">
        <f>IF(AND(OR(LEFT(TH!N504,2)="15",LEFT(TH!O504,2)="15"),'152-CT'!$J$8=TH!F504),"x","")</f>
        <v/>
      </c>
      <c r="AC504" s="85" t="str">
        <f>IF(AND(OR(LEFT(TH!N504,2)="15",LEFT(TH!O504,2)="15"),TK!$E$7=TH!F504),"x","")</f>
        <v/>
      </c>
      <c r="AD504" s="85" t="str">
        <f>IF(AND(N504="1521",MONTH(C504)='BK-NL'!$M$11),"x","")</f>
        <v/>
      </c>
    </row>
    <row r="505" spans="1:31" ht="15.75" customHeight="1">
      <c r="A505" s="343" t="str">
        <f>IF(B505&lt;&gt;"",IF(AND(B505='IN-TC'!$S$4,OR(TH!N505="1111",TH!O505="1111")),TH!D505,""),"")</f>
        <v/>
      </c>
      <c r="B505" s="63">
        <f t="shared" si="59"/>
        <v>3</v>
      </c>
      <c r="C505" s="320">
        <v>42433</v>
      </c>
      <c r="D505" s="320" t="s">
        <v>889</v>
      </c>
      <c r="E505" s="320">
        <v>42377</v>
      </c>
      <c r="F505" s="67" t="s">
        <v>1165</v>
      </c>
      <c r="G505" s="1000" t="s">
        <v>1177</v>
      </c>
      <c r="H505" s="74" t="s">
        <v>1167</v>
      </c>
      <c r="I505" s="447"/>
      <c r="J505" s="447"/>
      <c r="K505" s="438"/>
      <c r="L505" s="447"/>
      <c r="M505" s="65">
        <v>1727250</v>
      </c>
      <c r="N505" s="323" t="s">
        <v>9</v>
      </c>
      <c r="O505" s="66" t="s">
        <v>63</v>
      </c>
      <c r="P505" s="85" t="str">
        <f>IF(AND('331-CT'!$E$7=TH!H505,OR(N505="331",O505="331")),"x","")</f>
        <v/>
      </c>
      <c r="Q505" s="85" t="str">
        <f>IF(AND(B505='111'!$L$11,OR($N505=$Q$7,$O505=$Q$7)),"x","")</f>
        <v/>
      </c>
      <c r="R505" s="85" t="str">
        <f>IF(AND($N505=$Q$7,$B505&lt;'111'!$L$11),"x","")</f>
        <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
      </c>
      <c r="W505" s="85" t="str">
        <f>IF(AND('341-CT'!$H$9=H505,OR(LEFT(N505,3)=$W$7,LEFT(O505,3)=$W$7)),"x","")</f>
        <v/>
      </c>
      <c r="X505" s="85" t="str">
        <f>IF(OR(TH!N505=TH!$X$7,O505=TH!$X$7),"x","")</f>
        <v/>
      </c>
      <c r="Y505" s="85" t="str">
        <f>IF(AND(OR(N505="131",O505="131"),H505='131-CT'!$H$9),"x","")</f>
        <v/>
      </c>
      <c r="Z505" s="85"/>
      <c r="AA505" s="85" t="str">
        <f>IF(AND(MONTH(E505)='IN-NX'!$J$5,'IN-NX'!$D$7=D505),"x","")</f>
        <v/>
      </c>
      <c r="AB505" s="85" t="str">
        <f>IF(AND(OR(LEFT(TH!N505,2)="15",LEFT(TH!O505,2)="15"),'152-CT'!$J$8=TH!F505),"x","")</f>
        <v/>
      </c>
      <c r="AC505" s="85" t="str">
        <f>IF(AND(OR(LEFT(TH!N505,2)="15",LEFT(TH!O505,2)="15"),TK!$E$7=TH!F505),"x","")</f>
        <v/>
      </c>
      <c r="AD505" s="85" t="str">
        <f>IF(AND(N505="1521",MONTH(C505)='BK-NL'!$M$11),"x","")</f>
        <v/>
      </c>
    </row>
    <row r="506" spans="1:31" ht="15.75" customHeight="1">
      <c r="A506" s="343" t="str">
        <f>IF(B506&lt;&gt;"",IF(AND(B506='IN-TC'!$S$4,OR(TH!N506="1111",TH!O506="1111")),TH!D506,""),"")</f>
        <v/>
      </c>
      <c r="B506" s="63">
        <f t="shared" si="59"/>
        <v>3</v>
      </c>
      <c r="C506" s="320">
        <v>42434</v>
      </c>
      <c r="D506" s="320" t="s">
        <v>890</v>
      </c>
      <c r="E506" s="320">
        <v>42434</v>
      </c>
      <c r="F506" s="321" t="s">
        <v>1162</v>
      </c>
      <c r="G506" s="1000" t="s">
        <v>1163</v>
      </c>
      <c r="H506" s="322" t="s">
        <v>857</v>
      </c>
      <c r="I506" s="447"/>
      <c r="J506" s="447"/>
      <c r="K506" s="438"/>
      <c r="L506" s="447"/>
      <c r="M506" s="65">
        <v>1911132</v>
      </c>
      <c r="N506" s="323" t="s">
        <v>101</v>
      </c>
      <c r="O506" s="66" t="s">
        <v>63</v>
      </c>
      <c r="P506" s="85" t="str">
        <f>IF(AND('331-CT'!$E$7=TH!H506,OR(N506="331",O506="331")),"x","")</f>
        <v/>
      </c>
      <c r="Q506" s="85" t="str">
        <f>IF(AND(B506='111'!$L$11,OR($N506=$Q$7,$O506=$Q$7)),"x","")</f>
        <v/>
      </c>
      <c r="R506" s="85" t="str">
        <f>IF(AND($N506=$Q$7,$B506&lt;'111'!$L$11),"x","")</f>
        <v/>
      </c>
      <c r="S506" s="85" t="str">
        <f>IF(AND($O506=$Q$7,$B506&lt;'111'!$L$11),"x","")</f>
        <v/>
      </c>
      <c r="T506" s="85" t="str">
        <f>IF(ISERROR(FIND('112'!$M$9,G506,1)),"",IF((AND(FIND('112'!$M$9,G506,1)&gt;=1,B506='112'!$K$9,OR($N506='112'!$I$6,$O506='112'!$I$6))),"x",""))</f>
        <v/>
      </c>
      <c r="U506" s="85" t="str">
        <f>IF(ISERROR(FIND('112'!$M$9,G506,1)),"",IF((AND(LEFT(G506,2)=LEFT('112'!$M$9,2),B506&lt;'112'!$K$9,$N506='112'!$I$6)),"x",""))</f>
        <v/>
      </c>
      <c r="V506" s="85" t="str">
        <f>IF(ISERROR(FIND('112'!$M$9,G506,1)),"",IF((AND(RIGHT(G506,2)=RIGHT('112'!$M$9,2),B506&lt;'112'!$K$9,$O506='112'!$I$6)),"x",""))</f>
        <v/>
      </c>
      <c r="W506" s="85" t="str">
        <f>IF(AND('341-CT'!$H$9=H506,OR(LEFT(N506,3)=$W$7,LEFT(O506,3)=$W$7)),"x","")</f>
        <v/>
      </c>
      <c r="X506" s="85" t="str">
        <f>IF(OR(TH!N506=TH!$X$7,O506=TH!$X$7),"x","")</f>
        <v/>
      </c>
      <c r="Y506" s="85" t="str">
        <f>IF(AND(OR(N506="131",O506="131"),H506='131-CT'!$H$9),"x","")</f>
        <v/>
      </c>
      <c r="Z506" s="85"/>
      <c r="AA506" s="85" t="str">
        <f>IF(AND(MONTH(E506)='IN-NX'!$J$5,'IN-NX'!$D$7=D506),"x","")</f>
        <v/>
      </c>
      <c r="AB506" s="85" t="str">
        <f>IF(AND(OR(LEFT(TH!N506,2)="15",LEFT(TH!O506,2)="15"),'152-CT'!$J$8=TH!F506),"x","")</f>
        <v/>
      </c>
      <c r="AC506" s="85" t="str">
        <f>IF(AND(OR(LEFT(TH!N506,2)="15",LEFT(TH!O506,2)="15"),TK!$E$7=TH!F506),"x","")</f>
        <v/>
      </c>
      <c r="AD506" s="85" t="str">
        <f>IF(AND(N506="1521",MONTH(C506)='BK-NL'!$M$11),"x","")</f>
        <v/>
      </c>
    </row>
    <row r="507" spans="1:31" ht="15.75" customHeight="1">
      <c r="A507" s="343" t="str">
        <f>IF(B507&lt;&gt;"",IF(AND(B507='IN-TC'!$S$4,OR(TH!N507="1111",TH!O507="1111")),TH!D507,""),"")</f>
        <v/>
      </c>
      <c r="B507" s="63">
        <f t="shared" si="59"/>
        <v>3</v>
      </c>
      <c r="C507" s="320">
        <v>42434</v>
      </c>
      <c r="D507" s="320" t="s">
        <v>890</v>
      </c>
      <c r="E507" s="320">
        <v>42434</v>
      </c>
      <c r="F507" s="321" t="s">
        <v>1195</v>
      </c>
      <c r="G507" s="1000" t="s">
        <v>1163</v>
      </c>
      <c r="H507" s="322" t="s">
        <v>857</v>
      </c>
      <c r="I507" s="447"/>
      <c r="J507" s="447"/>
      <c r="K507" s="438"/>
      <c r="L507" s="447"/>
      <c r="M507" s="65">
        <v>191113</v>
      </c>
      <c r="N507" s="323" t="s">
        <v>9</v>
      </c>
      <c r="O507" s="66" t="s">
        <v>63</v>
      </c>
      <c r="P507" s="85" t="str">
        <f>IF(AND('331-CT'!$E$7=TH!H507,OR(N507="331",O507="331")),"x","")</f>
        <v/>
      </c>
      <c r="Q507" s="85" t="str">
        <f>IF(AND(B507='111'!$L$11,OR($N507=$Q$7,$O507=$Q$7)),"x","")</f>
        <v/>
      </c>
      <c r="R507" s="85" t="str">
        <f>IF(AND($N507=$Q$7,$B507&lt;'111'!$L$11),"x","")</f>
        <v/>
      </c>
      <c r="S507" s="85" t="str">
        <f>IF(AND($O507=$Q$7,$B507&lt;'111'!$L$11),"x","")</f>
        <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IF(AND('341-CT'!$H$9=H507,OR(LEFT(N507,3)=$W$7,LEFT(O507,3)=$W$7)),"x","")</f>
        <v/>
      </c>
      <c r="X507" s="85" t="str">
        <f>IF(OR(TH!N507=TH!$X$7,O507=TH!$X$7),"x","")</f>
        <v/>
      </c>
      <c r="Y507" s="85" t="str">
        <f>IF(AND(OR(N507="131",O507="131"),H507='131-CT'!$H$9),"x","")</f>
        <v/>
      </c>
      <c r="Z507" s="85"/>
      <c r="AA507" s="85" t="str">
        <f>IF(AND(MONTH(E507)='IN-NX'!$J$5,'IN-NX'!$D$7=D507),"x","")</f>
        <v/>
      </c>
      <c r="AB507" s="85" t="str">
        <f>IF(AND(OR(LEFT(TH!N507,2)="15",LEFT(TH!O507,2)="15"),'152-CT'!$J$8=TH!F507),"x","")</f>
        <v/>
      </c>
      <c r="AC507" s="85" t="str">
        <f>IF(AND(OR(LEFT(TH!N507,2)="15",LEFT(TH!O507,2)="15"),TK!$E$7=TH!F507),"x","")</f>
        <v/>
      </c>
      <c r="AD507" s="85" t="str">
        <f>IF(AND(N507="1521",MONTH(C507)='BK-NL'!$M$11),"x","")</f>
        <v/>
      </c>
    </row>
    <row r="508" spans="1:31" ht="15.75" customHeight="1">
      <c r="A508" s="343" t="str">
        <f>IF(B508&lt;&gt;"",IF(AND(B508='IN-TC'!$S$4,OR(TH!N508="1111",TH!O508="1111")),TH!D508,""),"")</f>
        <v/>
      </c>
      <c r="B508" s="63">
        <f t="shared" si="59"/>
        <v>3</v>
      </c>
      <c r="C508" s="320">
        <v>42435</v>
      </c>
      <c r="D508" s="320" t="s">
        <v>891</v>
      </c>
      <c r="E508" s="320">
        <v>42435</v>
      </c>
      <c r="F508" s="321" t="s">
        <v>786</v>
      </c>
      <c r="G508" s="1000" t="s">
        <v>1128</v>
      </c>
      <c r="H508" s="322" t="s">
        <v>1121</v>
      </c>
      <c r="I508" s="451"/>
      <c r="J508" s="451"/>
      <c r="K508" s="442"/>
      <c r="L508" s="451"/>
      <c r="M508" s="65">
        <v>564864</v>
      </c>
      <c r="N508" s="323" t="s">
        <v>101</v>
      </c>
      <c r="O508" s="66" t="s">
        <v>63</v>
      </c>
      <c r="P508" s="85" t="str">
        <f>IF(AND('331-CT'!$E$7=TH!H508,OR(N508="331",O508="331")),"x","")</f>
        <v/>
      </c>
      <c r="Q508" s="85" t="str">
        <f>IF(AND(B508='111'!$L$11,OR($N508=$Q$7,$O508=$Q$7)),"x","")</f>
        <v/>
      </c>
      <c r="R508" s="85" t="str">
        <f>IF(AND($N508=$Q$7,$B508&lt;'111'!$L$11),"x","")</f>
        <v/>
      </c>
      <c r="S508" s="85" t="str">
        <f>IF(AND($O508=$Q$7,$B508&lt;'111'!$L$11),"x","")</f>
        <v/>
      </c>
      <c r="T508" s="85" t="str">
        <f>IF(ISERROR(FIND('112'!$M$9,G508,1)),"",IF((AND(FIND('112'!$M$9,G508,1)&gt;=1,B508='112'!$K$9,OR($N508='112'!$I$6,$O508='112'!$I$6))),"x",""))</f>
        <v/>
      </c>
      <c r="U508" s="85" t="str">
        <f>IF(ISERROR(FIND('112'!$M$9,G508,1)),"",IF((AND(LEFT(G508,2)=LEFT('112'!$M$9,2),B508&lt;'112'!$K$9,$N508='112'!$I$6)),"x",""))</f>
        <v/>
      </c>
      <c r="V508" s="85" t="str">
        <f>IF(ISERROR(FIND('112'!$M$9,G508,1)),"",IF((AND(RIGHT(G508,2)=RIGHT('112'!$M$9,2),B508&lt;'112'!$K$9,$O508='112'!$I$6)),"x",""))</f>
        <v/>
      </c>
      <c r="W508" s="85" t="str">
        <f>IF(AND('341-CT'!$H$9=H508,OR(LEFT(N508,3)=$W$7,LEFT(O508,3)=$W$7)),"x","")</f>
        <v/>
      </c>
      <c r="X508" s="85" t="str">
        <f>IF(OR(TH!N508=TH!$X$7,O508=TH!$X$7),"x","")</f>
        <v/>
      </c>
      <c r="Y508" s="85" t="str">
        <f>IF(AND(OR(N508="131",O508="131"),H508='131-CT'!$H$9),"x","")</f>
        <v/>
      </c>
      <c r="Z508" s="85"/>
      <c r="AA508" s="85" t="str">
        <f>IF(AND(MONTH(E508)='IN-NX'!$J$5,'IN-NX'!$D$7=D508),"x","")</f>
        <v/>
      </c>
      <c r="AB508" s="85" t="str">
        <f>IF(AND(OR(LEFT(TH!N508,2)="15",LEFT(TH!O508,2)="15"),'152-CT'!$J$8=TH!F508),"x","")</f>
        <v/>
      </c>
      <c r="AC508" s="85" t="str">
        <f>IF(AND(OR(LEFT(TH!N508,2)="15",LEFT(TH!O508,2)="15"),TK!$E$7=TH!F508),"x","")</f>
        <v/>
      </c>
      <c r="AD508" s="85" t="str">
        <f>IF(AND(N508="1521",MONTH(C508)='BK-NL'!$M$11),"x","")</f>
        <v/>
      </c>
    </row>
    <row r="509" spans="1:31" ht="15.75" customHeight="1">
      <c r="A509" s="343" t="str">
        <f>IF(B509&lt;&gt;"",IF(AND(B509='IN-TC'!$S$4,OR(TH!N509="1111",TH!O509="1111")),TH!D509,""),"")</f>
        <v/>
      </c>
      <c r="B509" s="63">
        <f t="shared" si="59"/>
        <v>3</v>
      </c>
      <c r="C509" s="320">
        <v>42435</v>
      </c>
      <c r="D509" s="320" t="s">
        <v>891</v>
      </c>
      <c r="E509" s="320">
        <v>42435</v>
      </c>
      <c r="F509" s="321" t="s">
        <v>787</v>
      </c>
      <c r="G509" s="1000" t="s">
        <v>1128</v>
      </c>
      <c r="H509" s="322" t="s">
        <v>1121</v>
      </c>
      <c r="I509" s="447"/>
      <c r="J509" s="447"/>
      <c r="K509" s="438"/>
      <c r="L509" s="447"/>
      <c r="M509" s="65">
        <v>56486</v>
      </c>
      <c r="N509" s="323" t="s">
        <v>9</v>
      </c>
      <c r="O509" s="66" t="s">
        <v>63</v>
      </c>
      <c r="P509" s="85" t="str">
        <f>IF(AND('331-CT'!$E$7=TH!H509,OR(N509="331",O509="331")),"x","")</f>
        <v/>
      </c>
      <c r="Q509" s="85" t="str">
        <f>IF(AND(B509='111'!$L$11,OR($N509=$Q$7,$O509=$Q$7)),"x","")</f>
        <v/>
      </c>
      <c r="R509" s="85" t="str">
        <f>IF(AND($N509=$Q$7,$B509&lt;'111'!$L$11),"x","")</f>
        <v/>
      </c>
      <c r="S509" s="85" t="str">
        <f>IF(AND($O509=$Q$7,$B509&lt;'111'!$L$11),"x","")</f>
        <v/>
      </c>
      <c r="T509" s="85" t="str">
        <f>IF(ISERROR(FIND('112'!$M$9,G509,1)),"",IF((AND(FIND('112'!$M$9,G509,1)&gt;=1,B509='112'!$K$9,OR($N509='112'!$I$6,$O509='112'!$I$6))),"x",""))</f>
        <v/>
      </c>
      <c r="U509" s="85" t="str">
        <f>IF(ISERROR(FIND('112'!$M$9,G509,1)),"",IF((AND(LEFT(G509,2)=LEFT('112'!$M$9,2),B509&lt;'112'!$K$9,$N509='112'!$I$6)),"x",""))</f>
        <v/>
      </c>
      <c r="V509" s="85" t="str">
        <f>IF(ISERROR(FIND('112'!$M$9,G509,1)),"",IF((AND(RIGHT(G509,2)=RIGHT('112'!$M$9,2),B509&lt;'112'!$K$9,$O509='112'!$I$6)),"x",""))</f>
        <v/>
      </c>
      <c r="W509" s="85" t="str">
        <f>IF(AND('341-CT'!$H$9=H509,OR(LEFT(N509,3)=$W$7,LEFT(O509,3)=$W$7)),"x","")</f>
        <v/>
      </c>
      <c r="X509" s="85" t="str">
        <f>IF(OR(TH!N509=TH!$X$7,O509=TH!$X$7),"x","")</f>
        <v/>
      </c>
      <c r="Y509" s="85" t="str">
        <f>IF(AND(OR(N509="131",O509="131"),H509='131-CT'!$H$9),"x","")</f>
        <v/>
      </c>
      <c r="Z509" s="85"/>
      <c r="AA509" s="85" t="str">
        <f>IF(AND(MONTH(E509)='IN-NX'!$J$5,'IN-NX'!$D$7=D509),"x","")</f>
        <v/>
      </c>
      <c r="AB509" s="85" t="str">
        <f>IF(AND(OR(LEFT(TH!N509,2)="15",LEFT(TH!O509,2)="15"),'152-CT'!$J$8=TH!F509),"x","")</f>
        <v/>
      </c>
      <c r="AC509" s="85" t="str">
        <f>IF(AND(OR(LEFT(TH!N509,2)="15",LEFT(TH!O509,2)="15"),TK!$E$7=TH!F509),"x","")</f>
        <v/>
      </c>
      <c r="AD509" s="85" t="str">
        <f>IF(AND(N509="1521",MONTH(C509)='BK-NL'!$M$11),"x","")</f>
        <v/>
      </c>
    </row>
    <row r="510" spans="1:31" ht="15.75" customHeight="1">
      <c r="A510" s="343" t="str">
        <f>IF(B510&lt;&gt;"",IF(AND(B510='IN-TC'!$S$4,OR(TH!N510="1111",TH!O510="1111")),TH!D510,""),"")</f>
        <v/>
      </c>
      <c r="B510" s="63">
        <f t="shared" si="59"/>
        <v>3</v>
      </c>
      <c r="C510" s="64">
        <v>42436</v>
      </c>
      <c r="D510" s="320" t="s">
        <v>892</v>
      </c>
      <c r="E510" s="64">
        <v>42436</v>
      </c>
      <c r="F510" s="321" t="s">
        <v>1119</v>
      </c>
      <c r="G510" s="321" t="s">
        <v>930</v>
      </c>
      <c r="H510" s="322" t="s">
        <v>1222</v>
      </c>
      <c r="I510" s="447"/>
      <c r="J510" s="447"/>
      <c r="K510" s="438"/>
      <c r="L510" s="447"/>
      <c r="M510" s="65">
        <v>1900000000</v>
      </c>
      <c r="N510" s="323" t="s">
        <v>26</v>
      </c>
      <c r="O510" s="66" t="s">
        <v>63</v>
      </c>
      <c r="P510" s="85" t="str">
        <f>IF(AND('331-CT'!$E$7=TH!H510,OR(N510="331",O510="331")),"x","")</f>
        <v/>
      </c>
      <c r="Q510" s="85" t="str">
        <f>IF(AND(B510='111'!$L$11,OR($N510=$Q$7,$O510=$Q$7)),"x","")</f>
        <v/>
      </c>
      <c r="R510" s="85" t="str">
        <f>IF(AND($N510=$Q$7,$B510&lt;'111'!$L$11),"x","")</f>
        <v/>
      </c>
      <c r="S510" s="85" t="str">
        <f>IF(AND($O510=$Q$7,$B510&lt;'111'!$L$11),"x","")</f>
        <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IF(AND('341-CT'!$H$9=H510,OR(LEFT(N510,3)=$W$7,LEFT(O510,3)=$W$7)),"x","")</f>
        <v/>
      </c>
      <c r="X510" s="85" t="str">
        <f>IF(OR(TH!N510=TH!$X$7,O510=TH!$X$7),"x","")</f>
        <v/>
      </c>
      <c r="Y510" s="85" t="str">
        <f>IF(AND(OR(N510="131",O510="131"),H510='131-CT'!$H$9),"x","")</f>
        <v/>
      </c>
      <c r="Z510" s="85"/>
      <c r="AA510" s="85" t="str">
        <f>IF(AND(MONTH(E510)='IN-NX'!$J$5,'IN-NX'!$D$7=D510),"x","")</f>
        <v/>
      </c>
      <c r="AB510" s="85" t="str">
        <f>IF(AND(OR(LEFT(TH!N510,2)="15",LEFT(TH!O510,2)="15"),'152-CT'!$J$8=TH!F510),"x","")</f>
        <v/>
      </c>
      <c r="AC510" s="85" t="str">
        <f>IF(AND(OR(LEFT(TH!N510,2)="15",LEFT(TH!O510,2)="15"),TK!$E$7=TH!F510),"x","")</f>
        <v/>
      </c>
      <c r="AD510" s="85" t="str">
        <f>IF(AND(N510="1521",MONTH(C510)='BK-NL'!$M$11),"x","")</f>
        <v/>
      </c>
    </row>
    <row r="511" spans="1:31" ht="15.75" customHeight="1">
      <c r="A511" s="343" t="str">
        <f>IF(B511&lt;&gt;"",IF(AND(B511='IN-TC'!$S$4,OR(TH!N511="1111",TH!O511="1111")),TH!D511,""),"")</f>
        <v/>
      </c>
      <c r="B511" s="63">
        <f t="shared" si="59"/>
        <v>3</v>
      </c>
      <c r="C511" s="320">
        <v>42436</v>
      </c>
      <c r="D511" s="320" t="s">
        <v>706</v>
      </c>
      <c r="E511" s="320">
        <v>42436</v>
      </c>
      <c r="F511" s="321" t="s">
        <v>1199</v>
      </c>
      <c r="G511" s="321" t="s">
        <v>930</v>
      </c>
      <c r="H511" s="7"/>
      <c r="I511" s="447"/>
      <c r="J511" s="447"/>
      <c r="K511" s="438">
        <v>82000</v>
      </c>
      <c r="L511" s="447">
        <v>22300</v>
      </c>
      <c r="M511" s="65">
        <v>1828600000</v>
      </c>
      <c r="N511" s="323" t="s">
        <v>267</v>
      </c>
      <c r="O511" s="323" t="s">
        <v>26</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IF(AND('341-CT'!$H$9=H511,OR(LEFT(N511,3)=$W$7,LEFT(O511,3)=$W$7)),"x","")</f>
        <v/>
      </c>
      <c r="X511" s="85" t="str">
        <f>IF(OR(TH!N511=TH!$X$7,O511=TH!$X$7),"x","")</f>
        <v/>
      </c>
      <c r="Y511" s="85" t="str">
        <f>IF(AND(OR(N511="131",O511="131"),H511='131-CT'!$H$9),"x","")</f>
        <v/>
      </c>
      <c r="Z511" s="85"/>
      <c r="AA511" s="85" t="str">
        <f>IF(AND(MONTH(E511)='IN-NX'!$J$5,'IN-NX'!$D$7=D511),"x","")</f>
        <v/>
      </c>
      <c r="AB511" s="85" t="str">
        <f>IF(AND(OR(LEFT(TH!N511,2)="15",LEFT(TH!O511,2)="15"),'152-CT'!$J$8=TH!F511),"x","")</f>
        <v/>
      </c>
      <c r="AC511" s="85" t="str">
        <f>IF(AND(OR(LEFT(TH!N511,2)="15",LEFT(TH!O511,2)="15"),TK!$E$7=TH!F511),"x","")</f>
        <v/>
      </c>
      <c r="AD511" s="85" t="str">
        <f>IF(AND(N511="1521",MONTH(C511)='BK-NL'!$M$11),"x","")</f>
        <v/>
      </c>
      <c r="AE511" s="357"/>
    </row>
    <row r="512" spans="1:31" ht="15.75" customHeight="1">
      <c r="A512" s="343" t="str">
        <f>IF(B512&lt;&gt;"",IF(AND(B512='IN-TC'!$S$4,OR(TH!N512="1111",TH!O512="1111")),TH!D512,""),"")</f>
        <v/>
      </c>
      <c r="B512" s="63">
        <f t="shared" si="59"/>
        <v>3</v>
      </c>
      <c r="C512" s="320">
        <v>42436</v>
      </c>
      <c r="D512" s="320" t="s">
        <v>706</v>
      </c>
      <c r="E512" s="320">
        <v>42436</v>
      </c>
      <c r="F512" s="67" t="s">
        <v>1201</v>
      </c>
      <c r="G512" s="321" t="s">
        <v>930</v>
      </c>
      <c r="H512" s="74" t="s">
        <v>1200</v>
      </c>
      <c r="I512" s="447"/>
      <c r="J512" s="447"/>
      <c r="K512" s="438">
        <v>82000</v>
      </c>
      <c r="L512" s="447">
        <v>22300</v>
      </c>
      <c r="M512" s="65">
        <v>1828600000</v>
      </c>
      <c r="N512" s="323" t="s">
        <v>267</v>
      </c>
      <c r="O512" s="66" t="s">
        <v>261</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IF(AND('341-CT'!$H$9=H512,OR(LEFT(N512,3)=$W$7,LEFT(O512,3)=$W$7)),"x","")</f>
        <v/>
      </c>
      <c r="X512" s="85" t="str">
        <f>IF(OR(TH!N512=TH!$X$7,O512=TH!$X$7),"x","")</f>
        <v/>
      </c>
      <c r="Y512" s="85" t="str">
        <f>IF(AND(OR(N512="131",O512="131"),H512='131-CT'!$H$9),"x","")</f>
        <v/>
      </c>
      <c r="Z512" s="85"/>
      <c r="AA512" s="85" t="str">
        <f>IF(AND(MONTH(E512)='IN-NX'!$J$5,'IN-NX'!$D$7=D512),"x","")</f>
        <v/>
      </c>
      <c r="AB512" s="85" t="str">
        <f>IF(AND(OR(LEFT(TH!N512,2)="15",LEFT(TH!O512,2)="15"),'152-CT'!$J$8=TH!F512),"x","")</f>
        <v/>
      </c>
      <c r="AC512" s="85" t="str">
        <f>IF(AND(OR(LEFT(TH!N512,2)="15",LEFT(TH!O512,2)="15"),TK!$E$7=TH!F512),"x","")</f>
        <v/>
      </c>
      <c r="AD512" s="85" t="str">
        <f>IF(AND(N512="1521",MONTH(C512)='BK-NL'!$M$11),"x","")</f>
        <v/>
      </c>
    </row>
    <row r="513" spans="1:31" ht="15.75" customHeight="1">
      <c r="A513" s="343" t="str">
        <f>IF(B513&lt;&gt;"",IF(AND(B513='IN-TC'!$S$4,OR(TH!N513="1111",TH!O513="1111")),TH!D513,""),"")</f>
        <v/>
      </c>
      <c r="B513" s="63">
        <f t="shared" si="59"/>
        <v>3</v>
      </c>
      <c r="C513" s="320">
        <v>42436</v>
      </c>
      <c r="D513" s="320" t="s">
        <v>709</v>
      </c>
      <c r="E513" s="320">
        <v>42436</v>
      </c>
      <c r="F513" s="321" t="s">
        <v>1203</v>
      </c>
      <c r="G513" s="321" t="s">
        <v>930</v>
      </c>
      <c r="H513" s="7" t="s">
        <v>731</v>
      </c>
      <c r="I513" s="447"/>
      <c r="J513" s="447"/>
      <c r="K513" s="438">
        <v>82000</v>
      </c>
      <c r="L513" s="447">
        <v>22300</v>
      </c>
      <c r="M513" s="65">
        <v>1828600000</v>
      </c>
      <c r="N513" s="323" t="s">
        <v>261</v>
      </c>
      <c r="O513" s="323" t="s">
        <v>267</v>
      </c>
      <c r="P513" s="85" t="str">
        <f>IF(AND('331-CT'!$E$7=TH!H513,OR(N513="331",O513="331")),"x","")</f>
        <v/>
      </c>
      <c r="Q513" s="85" t="str">
        <f>IF(AND(B513='111'!$L$11,OR($N513=$Q$7,$O513=$Q$7)),"x","")</f>
        <v/>
      </c>
      <c r="R513" s="85" t="str">
        <f>IF(AND($N513=$Q$7,$B513&lt;'111'!$L$11),"x","")</f>
        <v/>
      </c>
      <c r="S513" s="85" t="str">
        <f>IF(AND($O513=$Q$7,$B513&lt;'111'!$L$11),"x","")</f>
        <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IF(AND('341-CT'!$H$9=H513,OR(LEFT(N513,3)=$W$7,LEFT(O513,3)=$W$7)),"x","")</f>
        <v/>
      </c>
      <c r="X513" s="85" t="str">
        <f>IF(OR(TH!N513=TH!$X$7,O513=TH!$X$7),"x","")</f>
        <v/>
      </c>
      <c r="Y513" s="85" t="str">
        <f>IF(AND(OR(N513="131",O513="131"),H513='131-CT'!$H$9),"x","")</f>
        <v/>
      </c>
      <c r="Z513" s="85"/>
      <c r="AA513" s="85" t="str">
        <f>IF(AND(MONTH(E513)='IN-NX'!$J$5,'IN-NX'!$D$7=D513),"x","")</f>
        <v/>
      </c>
      <c r="AB513" s="85" t="str">
        <f>IF(AND(OR(LEFT(TH!N513,2)="15",LEFT(TH!O513,2)="15"),'152-CT'!$J$8=TH!F513),"x","")</f>
        <v/>
      </c>
      <c r="AC513" s="85" t="str">
        <f>IF(AND(OR(LEFT(TH!N513,2)="15",LEFT(TH!O513,2)="15"),TK!$E$7=TH!F513),"x","")</f>
        <v/>
      </c>
      <c r="AD513" s="85" t="str">
        <f>IF(AND(N513="1521",MONTH(C513)='BK-NL'!$M$11),"x","")</f>
        <v/>
      </c>
      <c r="AE513" s="358"/>
    </row>
    <row r="514" spans="1:31" ht="15.75" customHeight="1">
      <c r="A514" s="343" t="str">
        <f>IF(B514&lt;&gt;"",IF(AND(B514='IN-TC'!$S$4,OR(TH!N514="1111",TH!O514="1111")),TH!D514,""),"")</f>
        <v/>
      </c>
      <c r="B514" s="63">
        <f t="shared" si="59"/>
        <v>3</v>
      </c>
      <c r="C514" s="320">
        <v>42436</v>
      </c>
      <c r="D514" s="320" t="s">
        <v>585</v>
      </c>
      <c r="E514" s="320">
        <v>42436</v>
      </c>
      <c r="F514" s="321" t="s">
        <v>1205</v>
      </c>
      <c r="G514" s="321" t="s">
        <v>930</v>
      </c>
      <c r="H514" s="7" t="s">
        <v>731</v>
      </c>
      <c r="I514" s="447"/>
      <c r="J514" s="447"/>
      <c r="K514" s="438"/>
      <c r="L514" s="447"/>
      <c r="M514" s="65">
        <v>14350000</v>
      </c>
      <c r="N514" s="323" t="s">
        <v>261</v>
      </c>
      <c r="O514" s="323" t="s">
        <v>43</v>
      </c>
      <c r="P514" s="85" t="str">
        <f>IF(AND('331-CT'!$E$7=TH!H514,OR(N514="331",O514="331")),"x","")</f>
        <v/>
      </c>
      <c r="Q514" s="85" t="str">
        <f>IF(AND(B514='111'!$L$11,OR($N514=$Q$7,$O514=$Q$7)),"x","")</f>
        <v/>
      </c>
      <c r="R514" s="85" t="str">
        <f>IF(AND($N514=$Q$7,$B514&lt;'111'!$L$11),"x","")</f>
        <v/>
      </c>
      <c r="S514" s="85" t="str">
        <f>IF(AND($O514=$Q$7,$B514&lt;'111'!$L$11),"x","")</f>
        <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IF(AND('341-CT'!$H$9=H514,OR(LEFT(N514,3)=$W$7,LEFT(O514,3)=$W$7)),"x","")</f>
        <v/>
      </c>
      <c r="X514" s="85" t="str">
        <f>IF(OR(TH!N514=TH!$X$7,O514=TH!$X$7),"x","")</f>
        <v/>
      </c>
      <c r="Y514" s="85" t="str">
        <f>IF(AND(OR(N514="131",O514="131"),H514='131-CT'!$H$9),"x","")</f>
        <v/>
      </c>
      <c r="Z514" s="85"/>
      <c r="AA514" s="85" t="str">
        <f>IF(AND(MONTH(E514)='IN-NX'!$J$5,'IN-NX'!$D$7=D514),"x","")</f>
        <v/>
      </c>
      <c r="AB514" s="85" t="str">
        <f>IF(AND(OR(LEFT(TH!N514,2)="15",LEFT(TH!O514,2)="15"),'152-CT'!$J$8=TH!F514),"x","")</f>
        <v/>
      </c>
      <c r="AC514" s="85" t="str">
        <f>IF(AND(OR(LEFT(TH!N514,2)="15",LEFT(TH!O514,2)="15"),TK!$E$7=TH!F514),"x","")</f>
        <v/>
      </c>
      <c r="AD514" s="85" t="str">
        <f>IF(AND(N514="1521",MONTH(C514)='BK-NL'!$M$11),"x","")</f>
        <v/>
      </c>
      <c r="AE514" s="358"/>
    </row>
    <row r="515" spans="1:31" ht="15.75" customHeight="1">
      <c r="A515" s="343" t="str">
        <f>IF(B515&lt;&gt;"",IF(AND(B515='IN-TC'!$S$4,OR(TH!N515="1111",TH!O515="1111")),TH!D515,""),"")</f>
        <v/>
      </c>
      <c r="B515" s="63">
        <f t="shared" si="59"/>
        <v>3</v>
      </c>
      <c r="C515" s="320">
        <v>42436</v>
      </c>
      <c r="D515" s="320" t="s">
        <v>709</v>
      </c>
      <c r="E515" s="320">
        <v>42436</v>
      </c>
      <c r="F515" s="67" t="s">
        <v>1204</v>
      </c>
      <c r="G515" s="321" t="s">
        <v>930</v>
      </c>
      <c r="H515" s="322"/>
      <c r="I515" s="447"/>
      <c r="J515" s="447"/>
      <c r="K515" s="438">
        <v>82000</v>
      </c>
      <c r="L515" s="447">
        <v>22300</v>
      </c>
      <c r="M515" s="65">
        <v>1828600000</v>
      </c>
      <c r="N515" s="323" t="s">
        <v>26</v>
      </c>
      <c r="O515" s="323" t="s">
        <v>267</v>
      </c>
      <c r="P515" s="85" t="str">
        <f>IF(AND('331-CT'!$E$7=TH!H515,OR(N515="331",O515="331")),"x","")</f>
        <v/>
      </c>
      <c r="Q515" s="85" t="str">
        <f>IF(AND(B515='111'!$L$11,OR($N515=$Q$7,$O515=$Q$7)),"x","")</f>
        <v/>
      </c>
      <c r="R515" s="85" t="str">
        <f>IF(AND($N515=$Q$7,$B515&lt;'111'!$L$11),"x","")</f>
        <v/>
      </c>
      <c r="S515" s="85" t="str">
        <f>IF(AND($O515=$Q$7,$B515&lt;'111'!$L$11),"x","")</f>
        <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IF(AND('341-CT'!$H$9=H515,OR(LEFT(N515,3)=$W$7,LEFT(O515,3)=$W$7)),"x","")</f>
        <v/>
      </c>
      <c r="X515" s="85" t="str">
        <f>IF(OR(TH!N515=TH!$X$7,O515=TH!$X$7),"x","")</f>
        <v/>
      </c>
      <c r="Y515" s="85" t="str">
        <f>IF(AND(OR(N515="131",O515="131"),H515='131-CT'!$H$9),"x","")</f>
        <v/>
      </c>
      <c r="Z515" s="85"/>
      <c r="AA515" s="85" t="str">
        <f>IF(AND(MONTH(E515)='IN-NX'!$J$5,'IN-NX'!$D$7=D515),"x","")</f>
        <v/>
      </c>
      <c r="AB515" s="85" t="str">
        <f>IF(AND(OR(LEFT(TH!N515,2)="15",LEFT(TH!O515,2)="15"),'152-CT'!$J$8=TH!F515),"x","")</f>
        <v/>
      </c>
      <c r="AC515" s="85" t="str">
        <f>IF(AND(OR(LEFT(TH!N515,2)="15",LEFT(TH!O515,2)="15"),TK!$E$7=TH!F515),"x","")</f>
        <v/>
      </c>
      <c r="AD515" s="85" t="str">
        <f>IF(AND(N515="1521",MONTH(C515)='BK-NL'!$M$11),"x","")</f>
        <v/>
      </c>
      <c r="AE515" s="358"/>
    </row>
    <row r="516" spans="1:31" ht="15.75" customHeight="1">
      <c r="A516" s="343" t="str">
        <f>IF(B516&lt;&gt;"",IF(AND(B516='IN-TC'!$S$4,OR(TH!N516="1111",TH!O516="1111")),TH!D516,""),"")</f>
        <v/>
      </c>
      <c r="B516" s="63">
        <f t="shared" si="59"/>
        <v>3</v>
      </c>
      <c r="C516" s="64">
        <v>42436</v>
      </c>
      <c r="D516" s="320" t="s">
        <v>709</v>
      </c>
      <c r="E516" s="64">
        <v>42436</v>
      </c>
      <c r="F516" s="67" t="s">
        <v>1212</v>
      </c>
      <c r="G516" s="67" t="s">
        <v>930</v>
      </c>
      <c r="H516" s="7" t="s">
        <v>731</v>
      </c>
      <c r="I516" s="447"/>
      <c r="J516" s="447"/>
      <c r="K516" s="438">
        <v>191.33001792114695</v>
      </c>
      <c r="L516" s="447">
        <v>22320</v>
      </c>
      <c r="M516" s="65">
        <v>4270486</v>
      </c>
      <c r="N516" s="66" t="s">
        <v>99</v>
      </c>
      <c r="O516" s="66" t="s">
        <v>26</v>
      </c>
      <c r="P516" s="85" t="str">
        <f>IF(AND('331-CT'!$E$7=TH!H516,OR(N516="331",O516="331")),"x","")</f>
        <v/>
      </c>
      <c r="Q516" s="85" t="str">
        <f>IF(AND(B516='111'!$L$11,OR($N516=$Q$7,$O516=$Q$7)),"x","")</f>
        <v/>
      </c>
      <c r="R516" s="85" t="str">
        <f>IF(AND($N516=$Q$7,$B516&lt;'111'!$L$11),"x","")</f>
        <v/>
      </c>
      <c r="S516" s="85" t="str">
        <f>IF(AND($O516=$Q$7,$B516&lt;'111'!$L$11),"x","")</f>
        <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
      </c>
      <c r="W516" s="85" t="str">
        <f>IF(AND('341-CT'!$H$9=H516,OR(LEFT(N516,3)=$W$7,LEFT(O516,3)=$W$7)),"x","")</f>
        <v/>
      </c>
      <c r="X516" s="85" t="str">
        <f>IF(OR(TH!N516=TH!$X$7,O516=TH!$X$7),"x","")</f>
        <v/>
      </c>
      <c r="Y516" s="85" t="str">
        <f>IF(AND(OR(N516="131",O516="131"),H516='131-CT'!$H$9),"x","")</f>
        <v/>
      </c>
      <c r="Z516" s="85"/>
      <c r="AA516" s="85" t="str">
        <f>IF(AND(MONTH(E516)='IN-NX'!$J$5,'IN-NX'!$D$7=D516),"x","")</f>
        <v/>
      </c>
      <c r="AB516" s="85" t="str">
        <f>IF(AND(OR(LEFT(TH!N516,2)="15",LEFT(TH!O516,2)="15"),'152-CT'!$J$8=TH!F516),"x","")</f>
        <v/>
      </c>
      <c r="AC516" s="85" t="str">
        <f>IF(AND(OR(LEFT(TH!N516,2)="15",LEFT(TH!O516,2)="15"),TK!$E$7=TH!F516),"x","")</f>
        <v/>
      </c>
      <c r="AD516" s="85" t="str">
        <f>IF(AND(N516="1521",MONTH(C516)='BK-NL'!$M$11),"x","")</f>
        <v/>
      </c>
    </row>
    <row r="517" spans="1:31" ht="15.75" customHeight="1">
      <c r="A517" s="343" t="str">
        <f>IF(B517&lt;&gt;"",IF(AND(B517='IN-TC'!$S$4,OR(TH!N517="1111",TH!O517="1111")),TH!D517,""),"")</f>
        <v/>
      </c>
      <c r="B517" s="63">
        <f t="shared" si="59"/>
        <v>3</v>
      </c>
      <c r="C517" s="64">
        <v>42436</v>
      </c>
      <c r="D517" s="320" t="s">
        <v>709</v>
      </c>
      <c r="E517" s="64">
        <v>42436</v>
      </c>
      <c r="F517" s="67" t="s">
        <v>1212</v>
      </c>
      <c r="G517" s="67" t="s">
        <v>930</v>
      </c>
      <c r="H517" s="7" t="s">
        <v>729</v>
      </c>
      <c r="I517" s="447"/>
      <c r="J517" s="447"/>
      <c r="K517" s="438">
        <v>56.05</v>
      </c>
      <c r="L517" s="447">
        <v>22320</v>
      </c>
      <c r="M517" s="65">
        <v>1251036</v>
      </c>
      <c r="N517" s="66" t="s">
        <v>19</v>
      </c>
      <c r="O517" s="66" t="s">
        <v>26</v>
      </c>
      <c r="P517" s="85" t="str">
        <f>IF(AND('331-CT'!$E$7=TH!H517,OR(N517="331",O517="331")),"x","")</f>
        <v/>
      </c>
      <c r="Q517" s="85" t="str">
        <f>IF(AND(B517='111'!$L$11,OR($N517=$Q$7,$O517=$Q$7)),"x","")</f>
        <v/>
      </c>
      <c r="R517" s="85" t="str">
        <f>IF(AND($N517=$Q$7,$B517&lt;'111'!$L$11),"x","")</f>
        <v/>
      </c>
      <c r="S517" s="85" t="str">
        <f>IF(AND($O517=$Q$7,$B517&lt;'111'!$L$11),"x","")</f>
        <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
      </c>
      <c r="W517" s="85" t="str">
        <f>IF(AND('341-CT'!$H$9=H517,OR(LEFT(N517,3)=$W$7,LEFT(O517,3)=$W$7)),"x","")</f>
        <v/>
      </c>
      <c r="X517" s="85" t="str">
        <f>IF(OR(TH!N517=TH!$X$7,O517=TH!$X$7),"x","")</f>
        <v/>
      </c>
      <c r="Y517" s="85" t="str">
        <f>IF(AND(OR(N517="131",O517="131"),H517='131-CT'!$H$9),"x","")</f>
        <v/>
      </c>
      <c r="Z517" s="85"/>
      <c r="AA517" s="85" t="str">
        <f>IF(AND(MONTH(E517)='IN-NX'!$J$5,'IN-NX'!$D$7=D517),"x","")</f>
        <v/>
      </c>
      <c r="AB517" s="85" t="str">
        <f>IF(AND(OR(LEFT(TH!N517,2)="15",LEFT(TH!O517,2)="15"),'152-CT'!$J$8=TH!F517),"x","")</f>
        <v/>
      </c>
      <c r="AC517" s="85" t="str">
        <f>IF(AND(OR(LEFT(TH!N517,2)="15",LEFT(TH!O517,2)="15"),TK!$E$7=TH!F517),"x","")</f>
        <v/>
      </c>
      <c r="AD517" s="85" t="str">
        <f>IF(AND(N517="1521",MONTH(C517)='BK-NL'!$M$11),"x","")</f>
        <v/>
      </c>
    </row>
    <row r="518" spans="1:31" ht="15.75" customHeight="1">
      <c r="A518" s="343" t="str">
        <f>IF(B518&lt;&gt;"",IF(AND(B518='IN-TC'!$S$4,OR(TH!N518="1111",TH!O518="1111")),TH!D518,""),"")</f>
        <v/>
      </c>
      <c r="B518" s="63">
        <f t="shared" si="59"/>
        <v>3</v>
      </c>
      <c r="C518" s="64">
        <v>42436</v>
      </c>
      <c r="D518" s="320" t="s">
        <v>709</v>
      </c>
      <c r="E518" s="64">
        <v>42436</v>
      </c>
      <c r="F518" s="67" t="s">
        <v>1212</v>
      </c>
      <c r="G518" s="67" t="s">
        <v>930</v>
      </c>
      <c r="H518" s="7" t="s">
        <v>721</v>
      </c>
      <c r="I518" s="447"/>
      <c r="J518" s="447"/>
      <c r="K518" s="438">
        <v>120.78001792114695</v>
      </c>
      <c r="L518" s="447">
        <v>22320</v>
      </c>
      <c r="M518" s="65">
        <v>2695810</v>
      </c>
      <c r="N518" s="66" t="s">
        <v>99</v>
      </c>
      <c r="O518" s="66" t="s">
        <v>26</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
      </c>
      <c r="V518" s="85" t="str">
        <f>IF(ISERROR(FIND('112'!$M$9,G518,1)),"",IF((AND(RIGHT(G518,2)=RIGHT('112'!$M$9,2),B518&lt;'112'!$K$9,$O518='112'!$I$6)),"x",""))</f>
        <v/>
      </c>
      <c r="W518" s="85" t="str">
        <f>IF(AND('341-CT'!$H$9=H518,OR(LEFT(N518,3)=$W$7,LEFT(O518,3)=$W$7)),"x","")</f>
        <v/>
      </c>
      <c r="X518" s="85" t="str">
        <f>IF(OR(TH!N518=TH!$X$7,O518=TH!$X$7),"x","")</f>
        <v/>
      </c>
      <c r="Y518" s="85" t="str">
        <f>IF(AND(OR(N518="131",O518="131"),H518='131-CT'!$H$9),"x","")</f>
        <v/>
      </c>
      <c r="Z518" s="85"/>
      <c r="AA518" s="85" t="str">
        <f>IF(AND(MONTH(E518)='IN-NX'!$J$5,'IN-NX'!$D$7=D518),"x","")</f>
        <v/>
      </c>
      <c r="AB518" s="85" t="str">
        <f>IF(AND(OR(LEFT(TH!N518,2)="15",LEFT(TH!O518,2)="15"),'152-CT'!$J$8=TH!F518),"x","")</f>
        <v/>
      </c>
      <c r="AC518" s="85" t="str">
        <f>IF(AND(OR(LEFT(TH!N518,2)="15",LEFT(TH!O518,2)="15"),TK!$E$7=TH!F518),"x","")</f>
        <v/>
      </c>
      <c r="AD518" s="85" t="str">
        <f>IF(AND(N518="1521",MONTH(C518)='BK-NL'!$M$11),"x","")</f>
        <v/>
      </c>
    </row>
    <row r="519" spans="1:31" ht="15.75" customHeight="1">
      <c r="A519" s="343" t="str">
        <f>IF(B519&lt;&gt;"",IF(AND(B519='IN-TC'!$S$4,OR(TH!N519="1111",TH!O519="1111")),TH!D519,""),"")</f>
        <v/>
      </c>
      <c r="B519" s="63">
        <f t="shared" si="59"/>
        <v>3</v>
      </c>
      <c r="C519" s="64">
        <v>42436</v>
      </c>
      <c r="D519" s="320" t="s">
        <v>709</v>
      </c>
      <c r="E519" s="64">
        <v>42436</v>
      </c>
      <c r="F519" s="67" t="s">
        <v>1212</v>
      </c>
      <c r="G519" s="67" t="s">
        <v>930</v>
      </c>
      <c r="H519" s="7" t="s">
        <v>722</v>
      </c>
      <c r="I519" s="447"/>
      <c r="J519" s="447"/>
      <c r="K519" s="438">
        <v>74.369982078853042</v>
      </c>
      <c r="L519" s="447">
        <v>22320</v>
      </c>
      <c r="M519" s="65">
        <v>1659938</v>
      </c>
      <c r="N519" s="66" t="s">
        <v>99</v>
      </c>
      <c r="O519" s="66" t="s">
        <v>26</v>
      </c>
      <c r="P519" s="85" t="str">
        <f>IF(AND('331-CT'!$E$7=TH!H519,OR(N519="331",O519="331")),"x","")</f>
        <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
      </c>
      <c r="W519" s="85" t="str">
        <f>IF(AND('341-CT'!$H$9=H519,OR(LEFT(N519,3)=$W$7,LEFT(O519,3)=$W$7)),"x","")</f>
        <v/>
      </c>
      <c r="X519" s="85" t="str">
        <f>IF(OR(TH!N519=TH!$X$7,O519=TH!$X$7),"x","")</f>
        <v/>
      </c>
      <c r="Y519" s="85" t="str">
        <f>IF(AND(OR(N519="131",O519="131"),H519='131-CT'!$H$9),"x","")</f>
        <v/>
      </c>
      <c r="Z519" s="85"/>
      <c r="AA519" s="85" t="str">
        <f>IF(AND(MONTH(E519)='IN-NX'!$J$5,'IN-NX'!$D$7=D519),"x","")</f>
        <v/>
      </c>
      <c r="AB519" s="85" t="str">
        <f>IF(AND(OR(LEFT(TH!N519,2)="15",LEFT(TH!O519,2)="15"),'152-CT'!$J$8=TH!F519),"x","")</f>
        <v/>
      </c>
      <c r="AC519" s="85" t="str">
        <f>IF(AND(OR(LEFT(TH!N519,2)="15",LEFT(TH!O519,2)="15"),TK!$E$7=TH!F519),"x","")</f>
        <v/>
      </c>
      <c r="AD519" s="85" t="str">
        <f>IF(AND(N519="1521",MONTH(C519)='BK-NL'!$M$11),"x","")</f>
        <v/>
      </c>
    </row>
    <row r="520" spans="1:31" ht="15.75" customHeight="1">
      <c r="A520" s="343" t="str">
        <f>IF(B520&lt;&gt;"",IF(AND(B520='IN-TC'!$S$4,OR(TH!N520="1111",TH!O520="1111")),TH!D520,""),"")</f>
        <v/>
      </c>
      <c r="B520" s="63">
        <f t="shared" si="59"/>
        <v>3</v>
      </c>
      <c r="C520" s="64">
        <v>42436</v>
      </c>
      <c r="D520" s="320" t="s">
        <v>709</v>
      </c>
      <c r="E520" s="64">
        <v>42436</v>
      </c>
      <c r="F520" s="67" t="s">
        <v>1212</v>
      </c>
      <c r="G520" s="67" t="s">
        <v>930</v>
      </c>
      <c r="H520" s="7" t="s">
        <v>730</v>
      </c>
      <c r="I520" s="447"/>
      <c r="J520" s="447"/>
      <c r="K520" s="438">
        <v>104.10999103942652</v>
      </c>
      <c r="L520" s="447">
        <v>22320</v>
      </c>
      <c r="M520" s="65">
        <v>2323735</v>
      </c>
      <c r="N520" s="66" t="s">
        <v>99</v>
      </c>
      <c r="O520" s="66" t="s">
        <v>26</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IF(AND('341-CT'!$H$9=H520,OR(LEFT(N520,3)=$W$7,LEFT(O520,3)=$W$7)),"x","")</f>
        <v/>
      </c>
      <c r="X520" s="85" t="str">
        <f>IF(OR(TH!N520=TH!$X$7,O520=TH!$X$7),"x","")</f>
        <v/>
      </c>
      <c r="Y520" s="85" t="str">
        <f>IF(AND(OR(N520="131",O520="131"),H520='131-CT'!$H$9),"x","")</f>
        <v/>
      </c>
      <c r="Z520" s="85"/>
      <c r="AA520" s="85" t="str">
        <f>IF(AND(MONTH(E520)='IN-NX'!$J$5,'IN-NX'!$D$7=D520),"x","")</f>
        <v/>
      </c>
      <c r="AB520" s="85" t="str">
        <f>IF(AND(OR(LEFT(TH!N520,2)="15",LEFT(TH!O520,2)="15"),'152-CT'!$J$8=TH!F520),"x","")</f>
        <v/>
      </c>
      <c r="AC520" s="85" t="str">
        <f>IF(AND(OR(LEFT(TH!N520,2)="15",LEFT(TH!O520,2)="15"),TK!$E$7=TH!F520),"x","")</f>
        <v/>
      </c>
      <c r="AD520" s="85" t="str">
        <f>IF(AND(N520="1521",MONTH(C520)='BK-NL'!$M$11),"x","")</f>
        <v/>
      </c>
    </row>
    <row r="521" spans="1:31" ht="15.75" customHeight="1">
      <c r="A521" s="343" t="str">
        <f>IF(B521&lt;&gt;"",IF(AND(B521='IN-TC'!$S$4,OR(TH!N521="1111",TH!O521="1111")),TH!D521,""),"")</f>
        <v/>
      </c>
      <c r="B521" s="63">
        <f t="shared" si="59"/>
        <v>3</v>
      </c>
      <c r="C521" s="64">
        <v>42436</v>
      </c>
      <c r="D521" s="320" t="s">
        <v>706</v>
      </c>
      <c r="E521" s="64">
        <v>42436</v>
      </c>
      <c r="F521" s="67" t="s">
        <v>1223</v>
      </c>
      <c r="G521" s="67" t="s">
        <v>930</v>
      </c>
      <c r="H521" s="7" t="s">
        <v>729</v>
      </c>
      <c r="I521" s="447"/>
      <c r="J521" s="447"/>
      <c r="K521" s="438"/>
      <c r="L521" s="447"/>
      <c r="M521" s="65">
        <v>1251036</v>
      </c>
      <c r="N521" s="66" t="s">
        <v>26</v>
      </c>
      <c r="O521" s="66" t="s">
        <v>19</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IF(AND('341-CT'!$H$9=H521,OR(LEFT(N521,3)=$W$7,LEFT(O521,3)=$W$7)),"x","")</f>
        <v/>
      </c>
      <c r="X521" s="85" t="str">
        <f>IF(OR(TH!N521=TH!$X$7,O521=TH!$X$7),"x","")</f>
        <v/>
      </c>
      <c r="Y521" s="85" t="str">
        <f>IF(AND(OR(N521="131",O521="131"),H521='131-CT'!$H$9),"x","")</f>
        <v/>
      </c>
      <c r="Z521" s="85"/>
      <c r="AA521" s="85" t="str">
        <f>IF(AND(MONTH(E521)='IN-NX'!$J$5,'IN-NX'!$D$7=D521),"x","")</f>
        <v/>
      </c>
      <c r="AB521" s="85" t="str">
        <f>IF(AND(OR(LEFT(TH!N521,2)="15",LEFT(TH!O521,2)="15"),'152-CT'!$J$8=TH!F521),"x","")</f>
        <v/>
      </c>
      <c r="AC521" s="85" t="str">
        <f>IF(AND(OR(LEFT(TH!N521,2)="15",LEFT(TH!O521,2)="15"),TK!$E$7=TH!F521),"x","")</f>
        <v/>
      </c>
      <c r="AD521" s="85" t="str">
        <f>IF(AND(N521="1521",MONTH(C521)='BK-NL'!$M$11),"x","")</f>
        <v/>
      </c>
    </row>
    <row r="522" spans="1:31" ht="15.75" customHeight="1">
      <c r="A522" s="343" t="str">
        <f>IF(B522&lt;&gt;"",IF(AND(B522='IN-TC'!$S$4,OR(TH!N522="1111",TH!O522="1111")),TH!D522,""),"")</f>
        <v/>
      </c>
      <c r="B522" s="63">
        <f t="shared" si="59"/>
        <v>3</v>
      </c>
      <c r="C522" s="64">
        <v>42436</v>
      </c>
      <c r="D522" s="320" t="s">
        <v>709</v>
      </c>
      <c r="E522" s="64">
        <v>42436</v>
      </c>
      <c r="F522" s="67" t="s">
        <v>1212</v>
      </c>
      <c r="G522" s="67" t="s">
        <v>930</v>
      </c>
      <c r="H522" s="7" t="s">
        <v>729</v>
      </c>
      <c r="I522" s="447"/>
      <c r="J522" s="447"/>
      <c r="K522" s="438">
        <v>50.440008960573479</v>
      </c>
      <c r="L522" s="447">
        <v>22320</v>
      </c>
      <c r="M522" s="65">
        <v>1125821</v>
      </c>
      <c r="N522" s="66" t="s">
        <v>99</v>
      </c>
      <c r="O522" s="66" t="s">
        <v>26</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IF(AND('341-CT'!$H$9=H522,OR(LEFT(N522,3)=$W$7,LEFT(O522,3)=$W$7)),"x","")</f>
        <v/>
      </c>
      <c r="X522" s="85" t="str">
        <f>IF(OR(TH!N522=TH!$X$7,O522=TH!$X$7),"x","")</f>
        <v/>
      </c>
      <c r="Y522" s="85" t="str">
        <f>IF(AND(OR(N522="131",O522="131"),H522='131-CT'!$H$9),"x","")</f>
        <v/>
      </c>
      <c r="Z522" s="85"/>
      <c r="AA522" s="85" t="str">
        <f>IF(AND(MONTH(E522)='IN-NX'!$J$5,'IN-NX'!$D$7=D522),"x","")</f>
        <v/>
      </c>
      <c r="AB522" s="85" t="str">
        <f>IF(AND(OR(LEFT(TH!N522,2)="15",LEFT(TH!O522,2)="15"),'152-CT'!$J$8=TH!F522),"x","")</f>
        <v/>
      </c>
      <c r="AC522" s="85" t="str">
        <f>IF(AND(OR(LEFT(TH!N522,2)="15",LEFT(TH!O522,2)="15"),TK!$E$7=TH!F522),"x","")</f>
        <v/>
      </c>
      <c r="AD522" s="85" t="str">
        <f>IF(AND(N522="1521",MONTH(C522)='BK-NL'!$M$11),"x","")</f>
        <v/>
      </c>
    </row>
    <row r="523" spans="1:31" ht="15.75" customHeight="1">
      <c r="A523" s="343" t="str">
        <f>IF(B523&lt;&gt;"",IF(AND(B523='IN-TC'!$S$4,OR(TH!N523="1111",TH!O523="1111")),TH!D523,""),"")</f>
        <v/>
      </c>
      <c r="B523" s="63">
        <f t="shared" ref="B523:B586" si="60">IF(C523&lt;&gt;"",MONTH(C523),"")</f>
        <v>3</v>
      </c>
      <c r="C523" s="64">
        <v>42436</v>
      </c>
      <c r="D523" s="320" t="s">
        <v>885</v>
      </c>
      <c r="E523" s="64">
        <v>42436</v>
      </c>
      <c r="F523" s="321" t="s">
        <v>1158</v>
      </c>
      <c r="G523" s="67" t="s">
        <v>930</v>
      </c>
      <c r="H523" s="322" t="s">
        <v>773</v>
      </c>
      <c r="I523" s="447"/>
      <c r="J523" s="447"/>
      <c r="K523" s="438"/>
      <c r="L523" s="447"/>
      <c r="M523" s="65">
        <v>1828600000</v>
      </c>
      <c r="N523" s="323" t="s">
        <v>63</v>
      </c>
      <c r="O523" s="323" t="s">
        <v>26</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
      </c>
      <c r="V523" s="85" t="str">
        <f>IF(ISERROR(FIND('112'!$M$9,G523,1)),"",IF((AND(RIGHT(G523,2)=RIGHT('112'!$M$9,2),B523&lt;'112'!$K$9,$O523='112'!$I$6)),"x",""))</f>
        <v/>
      </c>
      <c r="W523" s="85" t="str">
        <f>IF(AND('341-CT'!$H$9=H523,OR(LEFT(N523,3)=$W$7,LEFT(O523,3)=$W$7)),"x","")</f>
        <v/>
      </c>
      <c r="X523" s="85" t="str">
        <f>IF(OR(TH!N523=TH!$X$7,O523=TH!$X$7),"x","")</f>
        <v/>
      </c>
      <c r="Y523" s="85" t="str">
        <f>IF(AND(OR(N523="131",O523="131"),H523='131-CT'!$H$9),"x","")</f>
        <v/>
      </c>
      <c r="Z523" s="85"/>
      <c r="AA523" s="85" t="str">
        <f>IF(AND(MONTH(E523)='IN-NX'!$J$5,'IN-NX'!$D$7=D523),"x","")</f>
        <v/>
      </c>
      <c r="AB523" s="85" t="str">
        <f>IF(AND(OR(LEFT(TH!N523,2)="15",LEFT(TH!O523,2)="15"),'152-CT'!$J$8=TH!F523),"x","")</f>
        <v/>
      </c>
      <c r="AC523" s="85" t="str">
        <f>IF(AND(OR(LEFT(TH!N523,2)="15",LEFT(TH!O523,2)="15"),TK!$E$7=TH!F523),"x","")</f>
        <v/>
      </c>
      <c r="AD523" s="85" t="str">
        <f>IF(AND(N523="1521",MONTH(C523)='BK-NL'!$M$11),"x","")</f>
        <v/>
      </c>
    </row>
    <row r="524" spans="1:31" ht="15.75" customHeight="1">
      <c r="A524" s="343" t="str">
        <f>IF(B524&lt;&gt;"",IF(AND(B524='IN-TC'!$S$4,OR(TH!N524="1111",TH!O524="1111")),TH!D524,""),"")</f>
        <v/>
      </c>
      <c r="B524" s="63">
        <f t="shared" si="60"/>
        <v>3</v>
      </c>
      <c r="C524" s="320">
        <v>42437</v>
      </c>
      <c r="D524" s="320" t="s">
        <v>893</v>
      </c>
      <c r="E524" s="320">
        <v>42437</v>
      </c>
      <c r="F524" s="321" t="s">
        <v>1119</v>
      </c>
      <c r="G524" s="321" t="s">
        <v>930</v>
      </c>
      <c r="H524" s="322" t="s">
        <v>773</v>
      </c>
      <c r="I524" s="447"/>
      <c r="J524" s="447"/>
      <c r="K524" s="438"/>
      <c r="L524" s="447"/>
      <c r="M524" s="65">
        <v>64000000</v>
      </c>
      <c r="N524" s="323" t="s">
        <v>26</v>
      </c>
      <c r="O524" s="66" t="s">
        <v>63</v>
      </c>
      <c r="P524" s="85" t="str">
        <f>IF(AND('331-CT'!$E$7=TH!H524,OR(N524="331",O524="331")),"x","")</f>
        <v/>
      </c>
      <c r="Q524" s="85" t="str">
        <f>IF(AND(B524='111'!$L$11,OR($N524=$Q$7,$O524=$Q$7)),"x","")</f>
        <v/>
      </c>
      <c r="R524" s="85" t="str">
        <f>IF(AND($N524=$Q$7,$B524&lt;'111'!$L$11),"x","")</f>
        <v/>
      </c>
      <c r="S524" s="85" t="str">
        <f>IF(AND($O524=$Q$7,$B524&lt;'111'!$L$11),"x","")</f>
        <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
      </c>
      <c r="W524" s="85" t="str">
        <f>IF(AND('341-CT'!$H$9=H524,OR(LEFT(N524,3)=$W$7,LEFT(O524,3)=$W$7)),"x","")</f>
        <v/>
      </c>
      <c r="X524" s="85" t="str">
        <f>IF(OR(TH!N524=TH!$X$7,O524=TH!$X$7),"x","")</f>
        <v/>
      </c>
      <c r="Y524" s="85" t="str">
        <f>IF(AND(OR(N524="131",O524="131"),H524='131-CT'!$H$9),"x","")</f>
        <v/>
      </c>
      <c r="Z524" s="85"/>
      <c r="AA524" s="85" t="str">
        <f>IF(AND(MONTH(E524)='IN-NX'!$J$5,'IN-NX'!$D$7=D524),"x","")</f>
        <v/>
      </c>
      <c r="AB524" s="85" t="str">
        <f>IF(AND(OR(LEFT(TH!N524,2)="15",LEFT(TH!O524,2)="15"),'152-CT'!$J$8=TH!F524),"x","")</f>
        <v/>
      </c>
      <c r="AC524" s="85" t="str">
        <f>IF(AND(OR(LEFT(TH!N524,2)="15",LEFT(TH!O524,2)="15"),TK!$E$7=TH!F524),"x","")</f>
        <v/>
      </c>
      <c r="AD524" s="85" t="str">
        <f>IF(AND(N524="1521",MONTH(C524)='BK-NL'!$M$11),"x","")</f>
        <v/>
      </c>
    </row>
    <row r="525" spans="1:31" ht="15.75" customHeight="1">
      <c r="A525" s="343" t="str">
        <f>IF(B525&lt;&gt;"",IF(AND(B525='IN-TC'!$S$4,OR(TH!N525="1111",TH!O525="1111")),TH!D525,""),"")</f>
        <v/>
      </c>
      <c r="B525" s="63">
        <f t="shared" si="60"/>
        <v>3</v>
      </c>
      <c r="C525" s="320">
        <v>42437</v>
      </c>
      <c r="D525" s="320" t="s">
        <v>894</v>
      </c>
      <c r="E525" s="320">
        <v>42437</v>
      </c>
      <c r="F525" s="321" t="s">
        <v>781</v>
      </c>
      <c r="G525" s="1000" t="s">
        <v>1129</v>
      </c>
      <c r="H525" s="322" t="s">
        <v>1121</v>
      </c>
      <c r="I525" s="447"/>
      <c r="J525" s="447"/>
      <c r="K525" s="438"/>
      <c r="L525" s="447"/>
      <c r="M525" s="65">
        <v>452873</v>
      </c>
      <c r="N525" s="323" t="s">
        <v>101</v>
      </c>
      <c r="O525" s="66" t="s">
        <v>63</v>
      </c>
      <c r="P525" s="85" t="str">
        <f>IF(AND('331-CT'!$E$7=TH!H525,OR(N525="331",O525="331")),"x","")</f>
        <v/>
      </c>
      <c r="Q525" s="85" t="str">
        <f>IF(AND(B525='111'!$L$11,OR($N525=$Q$7,$O525=$Q$7)),"x","")</f>
        <v/>
      </c>
      <c r="R525" s="85" t="str">
        <f>IF(AND($N525=$Q$7,$B525&lt;'111'!$L$11),"x","")</f>
        <v/>
      </c>
      <c r="S525" s="85" t="str">
        <f>IF(AND($O525=$Q$7,$B525&lt;'111'!$L$11),"x","")</f>
        <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
      </c>
      <c r="W525" s="85" t="str">
        <f>IF(AND('341-CT'!$H$9=H525,OR(LEFT(N525,3)=$W$7,LEFT(O525,3)=$W$7)),"x","")</f>
        <v/>
      </c>
      <c r="X525" s="85" t="str">
        <f>IF(OR(TH!N525=TH!$X$7,O525=TH!$X$7),"x","")</f>
        <v/>
      </c>
      <c r="Y525" s="85" t="str">
        <f>IF(AND(OR(N525="131",O525="131"),H525='131-CT'!$H$9),"x","")</f>
        <v/>
      </c>
      <c r="Z525" s="85"/>
      <c r="AA525" s="85" t="str">
        <f>IF(AND(MONTH(E525)='IN-NX'!$J$5,'IN-NX'!$D$7=D525),"x","")</f>
        <v/>
      </c>
      <c r="AB525" s="85" t="str">
        <f>IF(AND(OR(LEFT(TH!N525,2)="15",LEFT(TH!O525,2)="15"),'152-CT'!$J$8=TH!F525),"x","")</f>
        <v/>
      </c>
      <c r="AC525" s="85" t="str">
        <f>IF(AND(OR(LEFT(TH!N525,2)="15",LEFT(TH!O525,2)="15"),TK!$E$7=TH!F525),"x","")</f>
        <v/>
      </c>
      <c r="AD525" s="85" t="str">
        <f>IF(AND(N525="1521",MONTH(C525)='BK-NL'!$M$11),"x","")</f>
        <v/>
      </c>
    </row>
    <row r="526" spans="1:31" ht="15.75" customHeight="1">
      <c r="A526" s="343" t="str">
        <f>IF(B526&lt;&gt;"",IF(AND(B526='IN-TC'!$S$4,OR(TH!N526="1111",TH!O526="1111")),TH!D526,""),"")</f>
        <v/>
      </c>
      <c r="B526" s="63">
        <f t="shared" si="60"/>
        <v>3</v>
      </c>
      <c r="C526" s="320">
        <v>42437</v>
      </c>
      <c r="D526" s="320" t="s">
        <v>894</v>
      </c>
      <c r="E526" s="320">
        <v>42437</v>
      </c>
      <c r="F526" s="321" t="s">
        <v>782</v>
      </c>
      <c r="G526" s="1000" t="s">
        <v>1129</v>
      </c>
      <c r="H526" s="322" t="s">
        <v>1121</v>
      </c>
      <c r="I526" s="447"/>
      <c r="J526" s="447"/>
      <c r="K526" s="438"/>
      <c r="L526" s="447"/>
      <c r="M526" s="65">
        <v>45287</v>
      </c>
      <c r="N526" s="323" t="s">
        <v>9</v>
      </c>
      <c r="O526" s="66" t="s">
        <v>63</v>
      </c>
      <c r="P526" s="85" t="str">
        <f>IF(AND('331-CT'!$E$7=TH!H526,OR(N526="331",O526="331")),"x","")</f>
        <v/>
      </c>
      <c r="Q526" s="85" t="str">
        <f>IF(AND(B526='111'!$L$11,OR($N526=$Q$7,$O526=$Q$7)),"x","")</f>
        <v/>
      </c>
      <c r="R526" s="85" t="str">
        <f>IF(AND($N526=$Q$7,$B526&lt;'111'!$L$11),"x","")</f>
        <v/>
      </c>
      <c r="S526" s="85" t="str">
        <f>IF(AND($O526=$Q$7,$B526&lt;'111'!$L$11),"x","")</f>
        <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
      </c>
      <c r="W526" s="85" t="str">
        <f>IF(AND('341-CT'!$H$9=H526,OR(LEFT(N526,3)=$W$7,LEFT(O526,3)=$W$7)),"x","")</f>
        <v/>
      </c>
      <c r="X526" s="85" t="str">
        <f>IF(OR(TH!N526=TH!$X$7,O526=TH!$X$7),"x","")</f>
        <v/>
      </c>
      <c r="Y526" s="85" t="str">
        <f>IF(AND(OR(N526="131",O526="131"),H526='131-CT'!$H$9),"x","")</f>
        <v/>
      </c>
      <c r="Z526" s="85"/>
      <c r="AA526" s="85" t="str">
        <f>IF(AND(MONTH(E526)='IN-NX'!$J$5,'IN-NX'!$D$7=D526),"x","")</f>
        <v/>
      </c>
      <c r="AB526" s="85" t="str">
        <f>IF(AND(OR(LEFT(TH!N526,2)="15",LEFT(TH!O526,2)="15"),'152-CT'!$J$8=TH!F526),"x","")</f>
        <v/>
      </c>
      <c r="AC526" s="85" t="str">
        <f>IF(AND(OR(LEFT(TH!N526,2)="15",LEFT(TH!O526,2)="15"),TK!$E$7=TH!F526),"x","")</f>
        <v/>
      </c>
      <c r="AD526" s="85" t="str">
        <f>IF(AND(N526="1521",MONTH(C526)='BK-NL'!$M$11),"x","")</f>
        <v/>
      </c>
    </row>
    <row r="527" spans="1:31" ht="15.75" customHeight="1">
      <c r="A527" s="343" t="str">
        <f>IF(B527&lt;&gt;"",IF(AND(B527='IN-TC'!$S$4,OR(TH!N527="1111",TH!O527="1111")),TH!D527,""),"")</f>
        <v/>
      </c>
      <c r="B527" s="63">
        <f t="shared" si="60"/>
        <v>3</v>
      </c>
      <c r="C527" s="64">
        <v>42437</v>
      </c>
      <c r="D527" s="320" t="s">
        <v>895</v>
      </c>
      <c r="E527" s="64">
        <v>42437</v>
      </c>
      <c r="F527" s="321" t="s">
        <v>1119</v>
      </c>
      <c r="G527" s="321" t="s">
        <v>930</v>
      </c>
      <c r="H527" s="322" t="s">
        <v>1224</v>
      </c>
      <c r="I527" s="447"/>
      <c r="J527" s="447"/>
      <c r="K527" s="438"/>
      <c r="L527" s="447"/>
      <c r="M527" s="65">
        <v>1928600000</v>
      </c>
      <c r="N527" s="323" t="s">
        <v>26</v>
      </c>
      <c r="O527" s="66" t="s">
        <v>63</v>
      </c>
      <c r="P527" s="85" t="str">
        <f>IF(AND('331-CT'!$E$7=TH!H527,OR(N527="331",O527="331")),"x","")</f>
        <v/>
      </c>
      <c r="Q527" s="85" t="str">
        <f>IF(AND(B527='111'!$L$11,OR($N527=$Q$7,$O527=$Q$7)),"x","")</f>
        <v/>
      </c>
      <c r="R527" s="85" t="str">
        <f>IF(AND($N527=$Q$7,$B527&lt;'111'!$L$11),"x","")</f>
        <v/>
      </c>
      <c r="S527" s="85" t="str">
        <f>IF(AND($O527=$Q$7,$B527&lt;'111'!$L$11),"x","")</f>
        <v/>
      </c>
      <c r="T527" s="85" t="str">
        <f>IF(ISERROR(FIND('112'!$M$9,G527,1)),"",IF((AND(FIND('112'!$M$9,G527,1)&gt;=1,B527='112'!$K$9,OR($N527='112'!$I$6,$O527='112'!$I$6))),"x",""))</f>
        <v/>
      </c>
      <c r="U527" s="85" t="str">
        <f>IF(ISERROR(FIND('112'!$M$9,G527,1)),"",IF((AND(LEFT(G527,2)=LEFT('112'!$M$9,2),B527&lt;'112'!$K$9,$N527='112'!$I$6)),"x",""))</f>
        <v/>
      </c>
      <c r="V527" s="85" t="str">
        <f>IF(ISERROR(FIND('112'!$M$9,G527,1)),"",IF((AND(RIGHT(G527,2)=RIGHT('112'!$M$9,2),B527&lt;'112'!$K$9,$O527='112'!$I$6)),"x",""))</f>
        <v/>
      </c>
      <c r="W527" s="85" t="str">
        <f>IF(AND('341-CT'!$H$9=H527,OR(LEFT(N527,3)=$W$7,LEFT(O527,3)=$W$7)),"x","")</f>
        <v/>
      </c>
      <c r="X527" s="85" t="str">
        <f>IF(OR(TH!N527=TH!$X$7,O527=TH!$X$7),"x","")</f>
        <v/>
      </c>
      <c r="Y527" s="85" t="str">
        <f>IF(AND(OR(N527="131",O527="131"),H527='131-CT'!$H$9),"x","")</f>
        <v/>
      </c>
      <c r="Z527" s="85"/>
      <c r="AA527" s="85" t="str">
        <f>IF(AND(MONTH(E527)='IN-NX'!$J$5,'IN-NX'!$D$7=D527),"x","")</f>
        <v/>
      </c>
      <c r="AB527" s="85" t="str">
        <f>IF(AND(OR(LEFT(TH!N527,2)="15",LEFT(TH!O527,2)="15"),'152-CT'!$J$8=TH!F527),"x","")</f>
        <v/>
      </c>
      <c r="AC527" s="85" t="str">
        <f>IF(AND(OR(LEFT(TH!N527,2)="15",LEFT(TH!O527,2)="15"),TK!$E$7=TH!F527),"x","")</f>
        <v/>
      </c>
      <c r="AD527" s="85" t="str">
        <f>IF(AND(N527="1521",MONTH(C527)='BK-NL'!$M$11),"x","")</f>
        <v/>
      </c>
    </row>
    <row r="528" spans="1:31" ht="15.75" customHeight="1">
      <c r="A528" s="343" t="str">
        <f>IF(B528&lt;&gt;"",IF(AND(B528='IN-TC'!$S$4,OR(TH!N528="1111",TH!O528="1111")),TH!D528,""),"")</f>
        <v/>
      </c>
      <c r="B528" s="63">
        <f t="shared" si="60"/>
        <v>3</v>
      </c>
      <c r="C528" s="64">
        <v>42437</v>
      </c>
      <c r="D528" s="320" t="s">
        <v>706</v>
      </c>
      <c r="E528" s="320">
        <v>42437</v>
      </c>
      <c r="F528" s="321" t="s">
        <v>1199</v>
      </c>
      <c r="G528" s="321" t="s">
        <v>930</v>
      </c>
      <c r="H528" s="74"/>
      <c r="I528" s="447"/>
      <c r="J528" s="447"/>
      <c r="K528" s="438">
        <v>90000</v>
      </c>
      <c r="L528" s="447">
        <v>22300</v>
      </c>
      <c r="M528" s="65">
        <v>2007000000</v>
      </c>
      <c r="N528" s="323" t="s">
        <v>267</v>
      </c>
      <c r="O528" s="323" t="s">
        <v>26</v>
      </c>
      <c r="P528" s="85" t="str">
        <f>IF(AND('331-CT'!$E$7=TH!H528,OR(N528="331",O528="331")),"x","")</f>
        <v/>
      </c>
      <c r="Q528" s="85" t="str">
        <f>IF(AND(B528='111'!$L$11,OR($N528=$Q$7,$O528=$Q$7)),"x","")</f>
        <v/>
      </c>
      <c r="R528" s="85" t="str">
        <f>IF(AND($N528=$Q$7,$B528&lt;'111'!$L$11),"x","")</f>
        <v/>
      </c>
      <c r="S528" s="85" t="str">
        <f>IF(AND($O528=$Q$7,$B528&lt;'111'!$L$11),"x","")</f>
        <v/>
      </c>
      <c r="T528" s="85" t="str">
        <f>IF(ISERROR(FIND('112'!$M$9,G528,1)),"",IF((AND(FIND('112'!$M$9,G528,1)&gt;=1,B528='112'!$K$9,OR($N528='112'!$I$6,$O528='112'!$I$6))),"x",""))</f>
        <v/>
      </c>
      <c r="U528" s="85" t="str">
        <f>IF(ISERROR(FIND('112'!$M$9,G528,1)),"",IF((AND(LEFT(G528,2)=LEFT('112'!$M$9,2),B528&lt;'112'!$K$9,$N528='112'!$I$6)),"x",""))</f>
        <v/>
      </c>
      <c r="V528" s="85" t="str">
        <f>IF(ISERROR(FIND('112'!$M$9,G528,1)),"",IF((AND(RIGHT(G528,2)=RIGHT('112'!$M$9,2),B528&lt;'112'!$K$9,$O528='112'!$I$6)),"x",""))</f>
        <v/>
      </c>
      <c r="W528" s="85" t="str">
        <f>IF(AND('341-CT'!$H$9=H528,OR(LEFT(N528,3)=$W$7,LEFT(O528,3)=$W$7)),"x","")</f>
        <v/>
      </c>
      <c r="X528" s="85" t="str">
        <f>IF(OR(TH!N528=TH!$X$7,O528=TH!$X$7),"x","")</f>
        <v/>
      </c>
      <c r="Y528" s="85" t="str">
        <f>IF(AND(OR(N528="131",O528="131"),H528='131-CT'!$H$9),"x","")</f>
        <v/>
      </c>
      <c r="Z528" s="85"/>
      <c r="AA528" s="85" t="str">
        <f>IF(AND(MONTH(E528)='IN-NX'!$J$5,'IN-NX'!$D$7=D528),"x","")</f>
        <v/>
      </c>
      <c r="AB528" s="85" t="str">
        <f>IF(AND(OR(LEFT(TH!N528,2)="15",LEFT(TH!O528,2)="15"),'152-CT'!$J$8=TH!F528),"x","")</f>
        <v/>
      </c>
      <c r="AC528" s="85" t="str">
        <f>IF(AND(OR(LEFT(TH!N528,2)="15",LEFT(TH!O528,2)="15"),TK!$E$7=TH!F528),"x","")</f>
        <v/>
      </c>
      <c r="AD528" s="85" t="str">
        <f>IF(AND(N528="1521",MONTH(C528)='BK-NL'!$M$11),"x","")</f>
        <v/>
      </c>
      <c r="AE528" s="354"/>
    </row>
    <row r="529" spans="1:31" s="358" customFormat="1" ht="15.75" customHeight="1">
      <c r="A529" s="343" t="str">
        <f>IF(B529&lt;&gt;"",IF(AND(B529='IN-TC'!$S$4,OR(TH!N529="1111",TH!O529="1111")),TH!D529,""),"")</f>
        <v/>
      </c>
      <c r="B529" s="63">
        <f t="shared" si="60"/>
        <v>3</v>
      </c>
      <c r="C529" s="64">
        <v>42437</v>
      </c>
      <c r="D529" s="320" t="s">
        <v>706</v>
      </c>
      <c r="E529" s="320">
        <v>42437</v>
      </c>
      <c r="F529" s="67" t="s">
        <v>1201</v>
      </c>
      <c r="G529" s="321" t="s">
        <v>930</v>
      </c>
      <c r="H529" s="74" t="s">
        <v>1202</v>
      </c>
      <c r="I529" s="447"/>
      <c r="J529" s="447"/>
      <c r="K529" s="438">
        <v>90000</v>
      </c>
      <c r="L529" s="447">
        <v>22300</v>
      </c>
      <c r="M529" s="65">
        <v>2007000000</v>
      </c>
      <c r="N529" s="323" t="s">
        <v>267</v>
      </c>
      <c r="O529" s="66" t="s">
        <v>261</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
      </c>
      <c r="V529" s="85" t="str">
        <f>IF(ISERROR(FIND('112'!$M$9,G529,1)),"",IF((AND(RIGHT(G529,2)=RIGHT('112'!$M$9,2),B529&lt;'112'!$K$9,$O529='112'!$I$6)),"x",""))</f>
        <v/>
      </c>
      <c r="W529" s="85" t="str">
        <f>IF(AND('341-CT'!$H$9=H529,OR(LEFT(N529,3)=$W$7,LEFT(O529,3)=$W$7)),"x","")</f>
        <v/>
      </c>
      <c r="X529" s="85" t="str">
        <f>IF(OR(TH!N529=TH!$X$7,O529=TH!$X$7),"x","")</f>
        <v/>
      </c>
      <c r="Y529" s="85" t="str">
        <f>IF(AND(OR(N529="131",O529="131"),H529='131-CT'!$H$9),"x","")</f>
        <v/>
      </c>
      <c r="Z529" s="85"/>
      <c r="AA529" s="85" t="str">
        <f>IF(AND(MONTH(E529)='IN-NX'!$J$5,'IN-NX'!$D$7=D529),"x","")</f>
        <v/>
      </c>
      <c r="AB529" s="85" t="str">
        <f>IF(AND(OR(LEFT(TH!N529,2)="15",LEFT(TH!O529,2)="15"),'152-CT'!$J$8=TH!F529),"x","")</f>
        <v/>
      </c>
      <c r="AC529" s="85" t="str">
        <f>IF(AND(OR(LEFT(TH!N529,2)="15",LEFT(TH!O529,2)="15"),TK!$E$7=TH!F529),"x","")</f>
        <v/>
      </c>
      <c r="AD529" s="85" t="str">
        <f>IF(AND(N529="1521",MONTH(C529)='BK-NL'!$M$11),"x","")</f>
        <v/>
      </c>
    </row>
    <row r="530" spans="1:31" s="357" customFormat="1" ht="15.75" customHeight="1">
      <c r="A530" s="343" t="str">
        <f>IF(B530&lt;&gt;"",IF(AND(B530='IN-TC'!$S$4,OR(TH!N530="1111",TH!O530="1111")),TH!D530,""),"")</f>
        <v/>
      </c>
      <c r="B530" s="63">
        <f t="shared" si="60"/>
        <v>3</v>
      </c>
      <c r="C530" s="320">
        <v>42437</v>
      </c>
      <c r="D530" s="320" t="s">
        <v>709</v>
      </c>
      <c r="E530" s="320">
        <v>42437</v>
      </c>
      <c r="F530" s="321" t="s">
        <v>1203</v>
      </c>
      <c r="G530" s="321" t="s">
        <v>930</v>
      </c>
      <c r="H530" s="322" t="s">
        <v>732</v>
      </c>
      <c r="I530" s="447"/>
      <c r="J530" s="447"/>
      <c r="K530" s="438">
        <v>40000</v>
      </c>
      <c r="L530" s="447">
        <v>22300</v>
      </c>
      <c r="M530" s="65">
        <v>892000000</v>
      </c>
      <c r="N530" s="323" t="s">
        <v>261</v>
      </c>
      <c r="O530" s="323" t="s">
        <v>267</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
      </c>
      <c r="W530" s="85" t="str">
        <f>IF(AND('341-CT'!$H$9=H530,OR(LEFT(N530,3)=$W$7,LEFT(O530,3)=$W$7)),"x","")</f>
        <v/>
      </c>
      <c r="X530" s="85" t="str">
        <f>IF(OR(TH!N530=TH!$X$7,O530=TH!$X$7),"x","")</f>
        <v/>
      </c>
      <c r="Y530" s="85" t="str">
        <f>IF(AND(OR(N530="131",O530="131"),H530='131-CT'!$H$9),"x","")</f>
        <v/>
      </c>
      <c r="Z530" s="85"/>
      <c r="AA530" s="85" t="str">
        <f>IF(AND(MONTH(E530)='IN-NX'!$J$5,'IN-NX'!$D$7=D530),"x","")</f>
        <v/>
      </c>
      <c r="AB530" s="85" t="str">
        <f>IF(AND(OR(LEFT(TH!N530,2)="15",LEFT(TH!O530,2)="15"),'152-CT'!$J$8=TH!F530),"x","")</f>
        <v/>
      </c>
      <c r="AC530" s="85" t="str">
        <f>IF(AND(OR(LEFT(TH!N530,2)="15",LEFT(TH!O530,2)="15"),TK!$E$7=TH!F530),"x","")</f>
        <v/>
      </c>
      <c r="AD530" s="85" t="str">
        <f>IF(AND(N530="1521",MONTH(C530)='BK-NL'!$M$11),"x","")</f>
        <v/>
      </c>
      <c r="AE530" s="358"/>
    </row>
    <row r="531" spans="1:31" ht="15.75" customHeight="1">
      <c r="A531" s="343" t="str">
        <f>IF(B531&lt;&gt;"",IF(AND(B531='IN-TC'!$S$4,OR(TH!N531="1111",TH!O531="1111")),TH!D531,""),"")</f>
        <v/>
      </c>
      <c r="B531" s="63">
        <f t="shared" si="60"/>
        <v>3</v>
      </c>
      <c r="C531" s="320">
        <v>42437</v>
      </c>
      <c r="D531" s="320" t="s">
        <v>585</v>
      </c>
      <c r="E531" s="320">
        <v>42437</v>
      </c>
      <c r="F531" s="321" t="s">
        <v>1205</v>
      </c>
      <c r="G531" s="321" t="s">
        <v>930</v>
      </c>
      <c r="H531" s="322" t="s">
        <v>732</v>
      </c>
      <c r="I531" s="447"/>
      <c r="J531" s="447"/>
      <c r="K531" s="438"/>
      <c r="L531" s="447">
        <v>22300</v>
      </c>
      <c r="M531" s="8">
        <v>7520000</v>
      </c>
      <c r="N531" s="323" t="s">
        <v>261</v>
      </c>
      <c r="O531" s="323" t="s">
        <v>43</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
      </c>
      <c r="W531" s="85" t="str">
        <f>IF(AND('341-CT'!$H$9=H531,OR(LEFT(N531,3)=$W$7,LEFT(O531,3)=$W$7)),"x","")</f>
        <v/>
      </c>
      <c r="X531" s="85" t="str">
        <f>IF(OR(TH!N531=TH!$X$7,O531=TH!$X$7),"x","")</f>
        <v/>
      </c>
      <c r="Y531" s="85" t="str">
        <f>IF(AND(OR(N531="131",O531="131"),H531='131-CT'!$H$9),"x","")</f>
        <v/>
      </c>
      <c r="Z531" s="85"/>
      <c r="AA531" s="85" t="str">
        <f>IF(AND(MONTH(E531)='IN-NX'!$J$5,'IN-NX'!$D$7=D531),"x","")</f>
        <v/>
      </c>
      <c r="AB531" s="85" t="str">
        <f>IF(AND(OR(LEFT(TH!N531,2)="15",LEFT(TH!O531,2)="15"),'152-CT'!$J$8=TH!F531),"x","")</f>
        <v/>
      </c>
      <c r="AC531" s="85" t="str">
        <f>IF(AND(OR(LEFT(TH!N531,2)="15",LEFT(TH!O531,2)="15"),TK!$E$7=TH!F531),"x","")</f>
        <v/>
      </c>
      <c r="AD531" s="85" t="str">
        <f>IF(AND(N531="1521",MONTH(C531)='BK-NL'!$M$11),"x","")</f>
        <v/>
      </c>
      <c r="AE531" s="358"/>
    </row>
    <row r="532" spans="1:31" s="354" customFormat="1" ht="15.75" customHeight="1">
      <c r="A532" s="343" t="str">
        <f>IF(B532&lt;&gt;"",IF(AND(B532='IN-TC'!$S$4,OR(TH!N532="1111",TH!O532="1111")),TH!D532,""),"")</f>
        <v/>
      </c>
      <c r="B532" s="63">
        <f t="shared" si="60"/>
        <v>3</v>
      </c>
      <c r="C532" s="320">
        <v>42437</v>
      </c>
      <c r="D532" s="320" t="s">
        <v>709</v>
      </c>
      <c r="E532" s="320">
        <v>42437</v>
      </c>
      <c r="F532" s="321" t="s">
        <v>1203</v>
      </c>
      <c r="G532" s="321" t="s">
        <v>930</v>
      </c>
      <c r="H532" s="322" t="s">
        <v>733</v>
      </c>
      <c r="I532" s="447"/>
      <c r="J532" s="447"/>
      <c r="K532" s="438">
        <v>50000</v>
      </c>
      <c r="L532" s="447">
        <v>22300</v>
      </c>
      <c r="M532" s="65">
        <v>1115000000</v>
      </c>
      <c r="N532" s="323" t="s">
        <v>261</v>
      </c>
      <c r="O532" s="323" t="s">
        <v>267</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
      </c>
      <c r="V532" s="85" t="str">
        <f>IF(ISERROR(FIND('112'!$M$9,G532,1)),"",IF((AND(RIGHT(G532,2)=RIGHT('112'!$M$9,2),B532&lt;'112'!$K$9,$O532='112'!$I$6)),"x",""))</f>
        <v/>
      </c>
      <c r="W532" s="85" t="str">
        <f>IF(AND('341-CT'!$H$9=H532,OR(LEFT(N532,3)=$W$7,LEFT(O532,3)=$W$7)),"x","")</f>
        <v>x</v>
      </c>
      <c r="X532" s="85" t="str">
        <f>IF(OR(TH!N532=TH!$X$7,O532=TH!$X$7),"x","")</f>
        <v/>
      </c>
      <c r="Y532" s="85" t="str">
        <f>IF(AND(OR(N532="131",O532="131"),H532='131-CT'!$H$9),"x","")</f>
        <v/>
      </c>
      <c r="Z532" s="85"/>
      <c r="AA532" s="85" t="str">
        <f>IF(AND(MONTH(E532)='IN-NX'!$J$5,'IN-NX'!$D$7=D532),"x","")</f>
        <v/>
      </c>
      <c r="AB532" s="85" t="str">
        <f>IF(AND(OR(LEFT(TH!N532,2)="15",LEFT(TH!O532,2)="15"),'152-CT'!$J$8=TH!F532),"x","")</f>
        <v/>
      </c>
      <c r="AC532" s="85" t="str">
        <f>IF(AND(OR(LEFT(TH!N532,2)="15",LEFT(TH!O532,2)="15"),TK!$E$7=TH!F532),"x","")</f>
        <v/>
      </c>
      <c r="AD532" s="85" t="str">
        <f>IF(AND(N532="1521",MONTH(C532)='BK-NL'!$M$11),"x","")</f>
        <v/>
      </c>
      <c r="AE532" s="358"/>
    </row>
    <row r="533" spans="1:31" s="358" customFormat="1" ht="15.75" customHeight="1">
      <c r="A533" s="343" t="str">
        <f>IF(B533&lt;&gt;"",IF(AND(B533='IN-TC'!$S$4,OR(TH!N533="1111",TH!O533="1111")),TH!D533,""),"")</f>
        <v/>
      </c>
      <c r="B533" s="63">
        <f t="shared" si="60"/>
        <v>3</v>
      </c>
      <c r="C533" s="320">
        <v>42437</v>
      </c>
      <c r="D533" s="320" t="s">
        <v>585</v>
      </c>
      <c r="E533" s="320">
        <v>42437</v>
      </c>
      <c r="F533" s="321" t="s">
        <v>1205</v>
      </c>
      <c r="G533" s="321" t="s">
        <v>930</v>
      </c>
      <c r="H533" s="322" t="s">
        <v>733</v>
      </c>
      <c r="I533" s="447"/>
      <c r="J533" s="447"/>
      <c r="K533" s="438"/>
      <c r="L533" s="447">
        <v>22300</v>
      </c>
      <c r="M533" s="65">
        <v>9250000</v>
      </c>
      <c r="N533" s="323" t="s">
        <v>261</v>
      </c>
      <c r="O533" s="323" t="s">
        <v>43</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IF(AND('341-CT'!$H$9=H533,OR(LEFT(N533,3)=$W$7,LEFT(O533,3)=$W$7)),"x","")</f>
        <v>x</v>
      </c>
      <c r="X533" s="85" t="str">
        <f>IF(OR(TH!N533=TH!$X$7,O533=TH!$X$7),"x","")</f>
        <v/>
      </c>
      <c r="Y533" s="85" t="str">
        <f>IF(AND(OR(N533="131",O533="131"),H533='131-CT'!$H$9),"x","")</f>
        <v/>
      </c>
      <c r="Z533" s="85"/>
      <c r="AA533" s="85" t="str">
        <f>IF(AND(MONTH(E533)='IN-NX'!$J$5,'IN-NX'!$D$7=D533),"x","")</f>
        <v/>
      </c>
      <c r="AB533" s="85" t="str">
        <f>IF(AND(OR(LEFT(TH!N533,2)="15",LEFT(TH!O533,2)="15"),'152-CT'!$J$8=TH!F533),"x","")</f>
        <v/>
      </c>
      <c r="AC533" s="85" t="str">
        <f>IF(AND(OR(LEFT(TH!N533,2)="15",LEFT(TH!O533,2)="15"),TK!$E$7=TH!F533),"x","")</f>
        <v/>
      </c>
      <c r="AD533" s="85" t="str">
        <f>IF(AND(N533="1521",MONTH(C533)='BK-NL'!$M$11),"x","")</f>
        <v/>
      </c>
    </row>
    <row r="534" spans="1:31" s="358" customFormat="1" ht="15.75" customHeight="1">
      <c r="A534" s="343" t="str">
        <f>IF(B534&lt;&gt;"",IF(AND(B534='IN-TC'!$S$4,OR(TH!N534="1111",TH!O534="1111")),TH!D534,""),"")</f>
        <v/>
      </c>
      <c r="B534" s="63">
        <f t="shared" si="60"/>
        <v>3</v>
      </c>
      <c r="C534" s="320">
        <v>42437</v>
      </c>
      <c r="D534" s="320" t="s">
        <v>709</v>
      </c>
      <c r="E534" s="320">
        <v>42437</v>
      </c>
      <c r="F534" s="67" t="s">
        <v>1204</v>
      </c>
      <c r="G534" s="321" t="s">
        <v>930</v>
      </c>
      <c r="H534" s="322"/>
      <c r="I534" s="447"/>
      <c r="J534" s="447"/>
      <c r="K534" s="438">
        <v>90000</v>
      </c>
      <c r="L534" s="447">
        <v>22300</v>
      </c>
      <c r="M534" s="65">
        <v>2007000000</v>
      </c>
      <c r="N534" s="323" t="s">
        <v>26</v>
      </c>
      <c r="O534" s="323" t="s">
        <v>267</v>
      </c>
      <c r="P534" s="85" t="str">
        <f>IF(AND('331-CT'!$E$7=TH!H534,OR(N534="331",O534="331")),"x","")</f>
        <v/>
      </c>
      <c r="Q534" s="85" t="str">
        <f>IF(AND(B534='111'!$L$11,OR($N534=$Q$7,$O534=$Q$7)),"x","")</f>
        <v/>
      </c>
      <c r="R534" s="85" t="str">
        <f>IF(AND($N534=$Q$7,$B534&lt;'111'!$L$11),"x","")</f>
        <v/>
      </c>
      <c r="S534" s="85" t="str">
        <f>IF(AND($O534=$Q$7,$B534&lt;'111'!$L$11),"x","")</f>
        <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IF(AND('341-CT'!$H$9=H534,OR(LEFT(N534,3)=$W$7,LEFT(O534,3)=$W$7)),"x","")</f>
        <v/>
      </c>
      <c r="X534" s="85" t="str">
        <f>IF(OR(TH!N534=TH!$X$7,O534=TH!$X$7),"x","")</f>
        <v/>
      </c>
      <c r="Y534" s="85" t="str">
        <f>IF(AND(OR(N534="131",O534="131"),H534='131-CT'!$H$9),"x","")</f>
        <v/>
      </c>
      <c r="Z534" s="85"/>
      <c r="AA534" s="85" t="str">
        <f>IF(AND(MONTH(E534)='IN-NX'!$J$5,'IN-NX'!$D$7=D534),"x","")</f>
        <v/>
      </c>
      <c r="AB534" s="85" t="str">
        <f>IF(AND(OR(LEFT(TH!N534,2)="15",LEFT(TH!O534,2)="15"),'152-CT'!$J$8=TH!F534),"x","")</f>
        <v/>
      </c>
      <c r="AC534" s="85" t="str">
        <f>IF(AND(OR(LEFT(TH!N534,2)="15",LEFT(TH!O534,2)="15"),TK!$E$7=TH!F534),"x","")</f>
        <v/>
      </c>
      <c r="AD534" s="85" t="str">
        <f>IF(AND(N534="1521",MONTH(C534)='BK-NL'!$M$11),"x","")</f>
        <v/>
      </c>
    </row>
    <row r="535" spans="1:31" s="358" customFormat="1" ht="15.75" customHeight="1">
      <c r="A535" s="343" t="str">
        <f>IF(B535&lt;&gt;"",IF(AND(B535='IN-TC'!$S$4,OR(TH!N535="1111",TH!O535="1111")),TH!D535,""),"")</f>
        <v/>
      </c>
      <c r="B535" s="63">
        <f t="shared" si="60"/>
        <v>3</v>
      </c>
      <c r="C535" s="64">
        <v>42437</v>
      </c>
      <c r="D535" s="320" t="s">
        <v>709</v>
      </c>
      <c r="E535" s="64">
        <v>42437</v>
      </c>
      <c r="F535" s="67" t="s">
        <v>1212</v>
      </c>
      <c r="G535" s="67" t="s">
        <v>930</v>
      </c>
      <c r="H535" s="74" t="s">
        <v>732</v>
      </c>
      <c r="I535" s="447"/>
      <c r="J535" s="447"/>
      <c r="K535" s="438">
        <v>93.371818996415769</v>
      </c>
      <c r="L535" s="447">
        <v>22320</v>
      </c>
      <c r="M535" s="65">
        <v>2084059</v>
      </c>
      <c r="N535" s="66" t="s">
        <v>99</v>
      </c>
      <c r="O535" s="66" t="s">
        <v>26</v>
      </c>
      <c r="P535" s="85" t="str">
        <f>IF(AND('331-CT'!$E$7=TH!H535,OR(N535="331",O535="331")),"x","")</f>
        <v/>
      </c>
      <c r="Q535" s="85" t="str">
        <f>IF(AND(B535='111'!$L$11,OR($N535=$Q$7,$O535=$Q$7)),"x","")</f>
        <v/>
      </c>
      <c r="R535" s="85" t="str">
        <f>IF(AND($N535=$Q$7,$B535&lt;'111'!$L$11),"x","")</f>
        <v/>
      </c>
      <c r="S535" s="85" t="str">
        <f>IF(AND($O535=$Q$7,$B535&lt;'111'!$L$11),"x","")</f>
        <v/>
      </c>
      <c r="T535" s="85" t="str">
        <f>IF(ISERROR(FIND('112'!$M$9,G535,1)),"",IF((AND(FIND('112'!$M$9,G535,1)&gt;=1,B535='112'!$K$9,OR($N535='112'!$I$6,$O535='112'!$I$6))),"x",""))</f>
        <v/>
      </c>
      <c r="U535" s="85" t="str">
        <f>IF(ISERROR(FIND('112'!$M$9,G535,1)),"",IF((AND(LEFT(G535,2)=LEFT('112'!$M$9,2),B535&lt;'112'!$K$9,$N535='112'!$I$6)),"x",""))</f>
        <v/>
      </c>
      <c r="V535" s="85" t="str">
        <f>IF(ISERROR(FIND('112'!$M$9,G535,1)),"",IF((AND(RIGHT(G535,2)=RIGHT('112'!$M$9,2),B535&lt;'112'!$K$9,$O535='112'!$I$6)),"x",""))</f>
        <v/>
      </c>
      <c r="W535" s="85" t="str">
        <f>IF(AND('341-CT'!$H$9=H535,OR(LEFT(N535,3)=$W$7,LEFT(O535,3)=$W$7)),"x","")</f>
        <v/>
      </c>
      <c r="X535" s="85" t="str">
        <f>IF(OR(TH!N535=TH!$X$7,O535=TH!$X$7),"x","")</f>
        <v/>
      </c>
      <c r="Y535" s="85" t="str">
        <f>IF(AND(OR(N535="131",O535="131"),H535='131-CT'!$H$9),"x","")</f>
        <v/>
      </c>
      <c r="Z535" s="85"/>
      <c r="AA535" s="85" t="str">
        <f>IF(AND(MONTH(E535)='IN-NX'!$J$5,'IN-NX'!$D$7=D535),"x","")</f>
        <v/>
      </c>
      <c r="AB535" s="85" t="str">
        <f>IF(AND(OR(LEFT(TH!N535,2)="15",LEFT(TH!O535,2)="15"),'152-CT'!$J$8=TH!F535),"x","")</f>
        <v/>
      </c>
      <c r="AC535" s="85" t="str">
        <f>IF(AND(OR(LEFT(TH!N535,2)="15",LEFT(TH!O535,2)="15"),TK!$E$7=TH!F535),"x","")</f>
        <v/>
      </c>
      <c r="AD535" s="85" t="str">
        <f>IF(AND(N535="1521",MONTH(C535)='BK-NL'!$M$11),"x","")</f>
        <v/>
      </c>
    </row>
    <row r="536" spans="1:31" s="358" customFormat="1" ht="15.75" customHeight="1">
      <c r="A536" s="343" t="str">
        <f>IF(B536&lt;&gt;"",IF(AND(B536='IN-TC'!$S$4,OR(TH!N536="1111",TH!O536="1111")),TH!D536,""),"")</f>
        <v/>
      </c>
      <c r="B536" s="63">
        <f t="shared" si="60"/>
        <v>3</v>
      </c>
      <c r="C536" s="64">
        <v>42437</v>
      </c>
      <c r="D536" s="320" t="s">
        <v>709</v>
      </c>
      <c r="E536" s="64">
        <v>42437</v>
      </c>
      <c r="F536" s="67" t="s">
        <v>1212</v>
      </c>
      <c r="G536" s="67" t="s">
        <v>930</v>
      </c>
      <c r="H536" s="74" t="s">
        <v>733</v>
      </c>
      <c r="I536" s="447"/>
      <c r="J536" s="447"/>
      <c r="K536" s="438">
        <v>113.9410394265233</v>
      </c>
      <c r="L536" s="447">
        <v>22320</v>
      </c>
      <c r="M536" s="65">
        <v>2543164</v>
      </c>
      <c r="N536" s="66" t="s">
        <v>99</v>
      </c>
      <c r="O536" s="66" t="s">
        <v>26</v>
      </c>
      <c r="P536" s="85" t="str">
        <f>IF(AND('331-CT'!$E$7=TH!H536,OR(N536="331",O536="331")),"x","")</f>
        <v/>
      </c>
      <c r="Q536" s="85" t="str">
        <f>IF(AND(B536='111'!$L$11,OR($N536=$Q$7,$O536=$Q$7)),"x","")</f>
        <v/>
      </c>
      <c r="R536" s="85" t="str">
        <f>IF(AND($N536=$Q$7,$B536&lt;'111'!$L$11),"x","")</f>
        <v/>
      </c>
      <c r="S536" s="85" t="str">
        <f>IF(AND($O536=$Q$7,$B536&lt;'111'!$L$11),"x","")</f>
        <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
      </c>
      <c r="W536" s="85" t="str">
        <f>IF(AND('341-CT'!$H$9=H536,OR(LEFT(N536,3)=$W$7,LEFT(O536,3)=$W$7)),"x","")</f>
        <v/>
      </c>
      <c r="X536" s="85" t="str">
        <f>IF(OR(TH!N536=TH!$X$7,O536=TH!$X$7),"x","")</f>
        <v/>
      </c>
      <c r="Y536" s="85" t="str">
        <f>IF(AND(OR(N536="131",O536="131"),H536='131-CT'!$H$9),"x","")</f>
        <v/>
      </c>
      <c r="Z536" s="85"/>
      <c r="AA536" s="85" t="str">
        <f>IF(AND(MONTH(E536)='IN-NX'!$J$5,'IN-NX'!$D$7=D536),"x","")</f>
        <v/>
      </c>
      <c r="AB536" s="85" t="str">
        <f>IF(AND(OR(LEFT(TH!N536,2)="15",LEFT(TH!O536,2)="15"),'152-CT'!$J$8=TH!F536),"x","")</f>
        <v/>
      </c>
      <c r="AC536" s="85" t="str">
        <f>IF(AND(OR(LEFT(TH!N536,2)="15",LEFT(TH!O536,2)="15"),TK!$E$7=TH!F536),"x","")</f>
        <v/>
      </c>
      <c r="AD536" s="85" t="str">
        <f>IF(AND(N536="1521",MONTH(C536)='BK-NL'!$M$11),"x","")</f>
        <v/>
      </c>
      <c r="AE536" s="333"/>
    </row>
    <row r="537" spans="1:31" s="358" customFormat="1" ht="15.75" customHeight="1">
      <c r="A537" s="343" t="str">
        <f>IF(B537&lt;&gt;"",IF(AND(B537='IN-TC'!$S$4,OR(TH!N537="1111",TH!O537="1111")),TH!D537,""),"")</f>
        <v/>
      </c>
      <c r="B537" s="63">
        <f t="shared" si="60"/>
        <v>3</v>
      </c>
      <c r="C537" s="64">
        <v>42437</v>
      </c>
      <c r="D537" s="320" t="s">
        <v>914</v>
      </c>
      <c r="E537" s="64">
        <v>42437</v>
      </c>
      <c r="F537" s="321" t="s">
        <v>1158</v>
      </c>
      <c r="G537" s="67" t="s">
        <v>930</v>
      </c>
      <c r="H537" s="322" t="s">
        <v>773</v>
      </c>
      <c r="I537" s="447"/>
      <c r="J537" s="447"/>
      <c r="K537" s="438"/>
      <c r="L537" s="447"/>
      <c r="M537" s="65">
        <v>2025000000</v>
      </c>
      <c r="N537" s="323" t="s">
        <v>63</v>
      </c>
      <c r="O537" s="323" t="s">
        <v>26</v>
      </c>
      <c r="P537" s="85" t="str">
        <f>IF(AND('331-CT'!$E$7=TH!H537,OR(N537="331",O537="331")),"x","")</f>
        <v/>
      </c>
      <c r="Q537" s="85" t="str">
        <f>IF(AND(B537='111'!$L$11,OR($N537=$Q$7,$O537=$Q$7)),"x","")</f>
        <v/>
      </c>
      <c r="R537" s="85" t="str">
        <f>IF(AND($N537=$Q$7,$B537&lt;'111'!$L$11),"x","")</f>
        <v/>
      </c>
      <c r="S537" s="85" t="str">
        <f>IF(AND($O537=$Q$7,$B537&lt;'111'!$L$11),"x","")</f>
        <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IF(AND('341-CT'!$H$9=H537,OR(LEFT(N537,3)=$W$7,LEFT(O537,3)=$W$7)),"x","")</f>
        <v/>
      </c>
      <c r="X537" s="85" t="str">
        <f>IF(OR(TH!N537=TH!$X$7,O537=TH!$X$7),"x","")</f>
        <v/>
      </c>
      <c r="Y537" s="85" t="str">
        <f>IF(AND(OR(N537="131",O537="131"),H537='131-CT'!$H$9),"x","")</f>
        <v/>
      </c>
      <c r="Z537" s="85"/>
      <c r="AA537" s="85" t="str">
        <f>IF(AND(MONTH(E537)='IN-NX'!$J$5,'IN-NX'!$D$7=D537),"x","")</f>
        <v/>
      </c>
      <c r="AB537" s="85" t="str">
        <f>IF(AND(OR(LEFT(TH!N537,2)="15",LEFT(TH!O537,2)="15"),'152-CT'!$J$8=TH!F537),"x","")</f>
        <v/>
      </c>
      <c r="AC537" s="85" t="str">
        <f>IF(AND(OR(LEFT(TH!N537,2)="15",LEFT(TH!O537,2)="15"),TK!$E$7=TH!F537),"x","")</f>
        <v/>
      </c>
      <c r="AD537" s="85" t="str">
        <f>IF(AND(N537="1521",MONTH(C537)='BK-NL'!$M$11),"x","")</f>
        <v/>
      </c>
      <c r="AE537" s="333"/>
    </row>
    <row r="538" spans="1:31" s="358" customFormat="1" ht="15.75" customHeight="1">
      <c r="A538" s="343" t="str">
        <f>IF(B538&lt;&gt;"",IF(AND(B538='IN-TC'!$S$4,OR(TH!N538="1111",TH!O538="1111")),TH!D538,""),"")</f>
        <v/>
      </c>
      <c r="B538" s="63">
        <f t="shared" si="60"/>
        <v>3</v>
      </c>
      <c r="C538" s="64">
        <v>42437</v>
      </c>
      <c r="D538" s="320" t="s">
        <v>896</v>
      </c>
      <c r="E538" s="64">
        <v>42437</v>
      </c>
      <c r="F538" s="67" t="s">
        <v>790</v>
      </c>
      <c r="G538" s="996" t="s">
        <v>662</v>
      </c>
      <c r="H538" s="7" t="s">
        <v>679</v>
      </c>
      <c r="I538" s="447"/>
      <c r="J538" s="447"/>
      <c r="K538" s="438"/>
      <c r="L538" s="447"/>
      <c r="M538" s="65">
        <v>14800000</v>
      </c>
      <c r="N538" s="66" t="s">
        <v>8</v>
      </c>
      <c r="O538" s="66" t="s">
        <v>63</v>
      </c>
      <c r="P538" s="85" t="str">
        <f>IF(AND('331-CT'!$E$7=TH!H538,OR(N538="331",O538="331")),"x","")</f>
        <v/>
      </c>
      <c r="Q538" s="85" t="str">
        <f>IF(AND(B538='111'!$L$11,OR($N538=$Q$7,$O538=$Q$7)),"x","")</f>
        <v/>
      </c>
      <c r="R538" s="85" t="str">
        <f>IF(AND($N538=$Q$7,$B538&lt;'111'!$L$11),"x","")</f>
        <v/>
      </c>
      <c r="S538" s="85" t="str">
        <f>IF(AND($O538=$Q$7,$B538&lt;'111'!$L$11),"x","")</f>
        <v/>
      </c>
      <c r="T538" s="85" t="str">
        <f>IF(ISERROR(FIND('112'!$M$9,G538,1)),"",IF((AND(FIND('112'!$M$9,G538,1)&gt;=1,B538='112'!$K$9,OR($N538='112'!$I$6,$O538='112'!$I$6))),"x",""))</f>
        <v/>
      </c>
      <c r="U538" s="85" t="str">
        <f>IF(ISERROR(FIND('112'!$M$9,G538,1)),"",IF((AND(LEFT(G538,2)=LEFT('112'!$M$9,2),B538&lt;'112'!$K$9,$N538='112'!$I$6)),"x",""))</f>
        <v/>
      </c>
      <c r="V538" s="85" t="str">
        <f>IF(ISERROR(FIND('112'!$M$9,G538,1)),"",IF((AND(RIGHT(G538,2)=RIGHT('112'!$M$9,2),B538&lt;'112'!$K$9,$O538='112'!$I$6)),"x",""))</f>
        <v/>
      </c>
      <c r="W538" s="85" t="str">
        <f>IF(AND('341-CT'!$H$9=H538,OR(LEFT(N538,3)=$W$7,LEFT(O538,3)=$W$7)),"x","")</f>
        <v/>
      </c>
      <c r="X538" s="85" t="str">
        <f>IF(OR(TH!N538=TH!$X$7,O538=TH!$X$7),"x","")</f>
        <v/>
      </c>
      <c r="Y538" s="85" t="str">
        <f>IF(AND(OR(N538="131",O538="131"),H538='131-CT'!$H$9),"x","")</f>
        <v/>
      </c>
      <c r="Z538" s="85"/>
      <c r="AA538" s="85" t="str">
        <f>IF(AND(MONTH(E538)='IN-NX'!$J$5,'IN-NX'!$D$7=D538),"x","")</f>
        <v/>
      </c>
      <c r="AB538" s="85" t="str">
        <f>IF(AND(OR(LEFT(TH!N538,2)="15",LEFT(TH!O538,2)="15"),'152-CT'!$J$8=TH!F538),"x","")</f>
        <v/>
      </c>
      <c r="AC538" s="85" t="str">
        <f>IF(AND(OR(LEFT(TH!N538,2)="15",LEFT(TH!O538,2)="15"),TK!$E$7=TH!F538),"x","")</f>
        <v/>
      </c>
      <c r="AD538" s="85" t="str">
        <f>IF(AND(N538="1521",MONTH(C538)='BK-NL'!$M$11),"x","")</f>
        <v/>
      </c>
      <c r="AE538" s="333"/>
    </row>
    <row r="539" spans="1:31" s="358" customFormat="1" ht="15.75" customHeight="1">
      <c r="A539" s="343" t="str">
        <f>IF(B539&lt;&gt;"",IF(AND(B539='IN-TC'!$S$4,OR(TH!N539="1111",TH!O539="1111")),TH!D539,""),"")</f>
        <v/>
      </c>
      <c r="B539" s="63">
        <f t="shared" si="60"/>
        <v>3</v>
      </c>
      <c r="C539" s="320">
        <v>42437</v>
      </c>
      <c r="D539" s="320" t="s">
        <v>709</v>
      </c>
      <c r="E539" s="320">
        <v>42437</v>
      </c>
      <c r="F539" s="321" t="s">
        <v>1225</v>
      </c>
      <c r="G539" s="1000" t="s">
        <v>930</v>
      </c>
      <c r="H539" s="322" t="s">
        <v>636</v>
      </c>
      <c r="I539" s="447"/>
      <c r="J539" s="447"/>
      <c r="K539" s="438"/>
      <c r="L539" s="447"/>
      <c r="M539" s="65">
        <v>23473066</v>
      </c>
      <c r="N539" s="323" t="s">
        <v>8</v>
      </c>
      <c r="O539" s="323" t="s">
        <v>26</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
      </c>
      <c r="V539" s="85" t="str">
        <f>IF(ISERROR(FIND('112'!$M$9,G539,1)),"",IF((AND(RIGHT(G539,2)=RIGHT('112'!$M$9,2),B539&lt;'112'!$K$9,$O539='112'!$I$6)),"x",""))</f>
        <v/>
      </c>
      <c r="W539" s="85" t="str">
        <f>IF(AND('341-CT'!$H$9=H539,OR(LEFT(N539,3)=$W$7,LEFT(O539,3)=$W$7)),"x","")</f>
        <v/>
      </c>
      <c r="X539" s="85" t="str">
        <f>IF(OR(TH!N539=TH!$X$7,O539=TH!$X$7),"x","")</f>
        <v/>
      </c>
      <c r="Y539" s="85" t="str">
        <f>IF(AND(OR(N539="131",O539="131"),H539='131-CT'!$H$9),"x","")</f>
        <v/>
      </c>
      <c r="Z539" s="85"/>
      <c r="AA539" s="85" t="str">
        <f>IF(AND(MONTH(E539)='IN-NX'!$J$5,'IN-NX'!$D$7=D539),"x","")</f>
        <v/>
      </c>
      <c r="AB539" s="85" t="str">
        <f>IF(AND(OR(LEFT(TH!N539,2)="15",LEFT(TH!O539,2)="15"),'152-CT'!$J$8=TH!F539),"x","")</f>
        <v/>
      </c>
      <c r="AC539" s="85" t="str">
        <f>IF(AND(OR(LEFT(TH!N539,2)="15",LEFT(TH!O539,2)="15"),TK!$E$7=TH!F539),"x","")</f>
        <v/>
      </c>
      <c r="AD539" s="85" t="str">
        <f>IF(AND(N539="1521",MONTH(C539)='BK-NL'!$M$11),"x","")</f>
        <v/>
      </c>
      <c r="AE539" s="333"/>
    </row>
    <row r="540" spans="1:31" s="358" customFormat="1" ht="15.75" customHeight="1">
      <c r="A540" s="343" t="str">
        <f>IF(B540&lt;&gt;"",IF(AND(B540='IN-TC'!$S$4,OR(TH!N540="1111",TH!O540="1111")),TH!D540,""),"")</f>
        <v/>
      </c>
      <c r="B540" s="63">
        <f t="shared" si="60"/>
        <v>3</v>
      </c>
      <c r="C540" s="320">
        <v>42438</v>
      </c>
      <c r="D540" s="320" t="s">
        <v>897</v>
      </c>
      <c r="E540" s="320">
        <v>42438</v>
      </c>
      <c r="F540" s="321" t="s">
        <v>1130</v>
      </c>
      <c r="G540" s="1000" t="s">
        <v>1131</v>
      </c>
      <c r="H540" s="322" t="s">
        <v>631</v>
      </c>
      <c r="I540" s="447"/>
      <c r="J540" s="447"/>
      <c r="K540" s="438"/>
      <c r="L540" s="447"/>
      <c r="M540" s="65">
        <v>7500000</v>
      </c>
      <c r="N540" s="323" t="s">
        <v>101</v>
      </c>
      <c r="O540" s="323" t="s">
        <v>63</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IF(AND('341-CT'!$H$9=H540,OR(LEFT(N540,3)=$W$7,LEFT(O540,3)=$W$7)),"x","")</f>
        <v/>
      </c>
      <c r="X540" s="85" t="str">
        <f>IF(OR(TH!N540=TH!$X$7,O540=TH!$X$7),"x","")</f>
        <v/>
      </c>
      <c r="Y540" s="85" t="str">
        <f>IF(AND(OR(N540="131",O540="131"),H540='131-CT'!$H$9),"x","")</f>
        <v/>
      </c>
      <c r="Z540" s="85"/>
      <c r="AA540" s="85" t="str">
        <f>IF(AND(MONTH(E540)='IN-NX'!$J$5,'IN-NX'!$D$7=D540),"x","")</f>
        <v/>
      </c>
      <c r="AB540" s="85" t="str">
        <f>IF(AND(OR(LEFT(TH!N540,2)="15",LEFT(TH!O540,2)="15"),'152-CT'!$J$8=TH!F540),"x","")</f>
        <v/>
      </c>
      <c r="AC540" s="85" t="str">
        <f>IF(AND(OR(LEFT(TH!N540,2)="15",LEFT(TH!O540,2)="15"),TK!$E$7=TH!F540),"x","")</f>
        <v/>
      </c>
      <c r="AD540" s="85" t="str">
        <f>IF(AND(N540="1521",MONTH(C540)='BK-NL'!$M$11),"x","")</f>
        <v/>
      </c>
      <c r="AE540" s="333"/>
    </row>
    <row r="541" spans="1:31" s="358" customFormat="1" ht="15.75" customHeight="1">
      <c r="A541" s="343" t="str">
        <f>IF(B541&lt;&gt;"",IF(AND(B541='IN-TC'!$S$4,OR(TH!N541="1111",TH!O541="1111")),TH!D541,""),"")</f>
        <v/>
      </c>
      <c r="B541" s="63">
        <f t="shared" si="60"/>
        <v>3</v>
      </c>
      <c r="C541" s="320">
        <v>42439</v>
      </c>
      <c r="D541" s="320" t="s">
        <v>898</v>
      </c>
      <c r="E541" s="320">
        <v>42439</v>
      </c>
      <c r="F541" s="321" t="s">
        <v>1191</v>
      </c>
      <c r="G541" s="1000" t="s">
        <v>1139</v>
      </c>
      <c r="H541" s="322" t="s">
        <v>1140</v>
      </c>
      <c r="I541" s="447"/>
      <c r="J541" s="447"/>
      <c r="K541" s="438"/>
      <c r="L541" s="447"/>
      <c r="M541" s="65">
        <v>17737273</v>
      </c>
      <c r="N541" s="323" t="s">
        <v>101</v>
      </c>
      <c r="O541" s="323" t="s">
        <v>63</v>
      </c>
      <c r="P541" s="85" t="str">
        <f>IF(AND('331-CT'!$E$7=TH!H541,OR(N541="331",O541="331")),"x","")</f>
        <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
      </c>
      <c r="W541" s="85" t="str">
        <f>IF(AND('341-CT'!$H$9=H541,OR(LEFT(N541,3)=$W$7,LEFT(O541,3)=$W$7)),"x","")</f>
        <v/>
      </c>
      <c r="X541" s="85" t="str">
        <f>IF(OR(TH!N541=TH!$X$7,O541=TH!$X$7),"x","")</f>
        <v/>
      </c>
      <c r="Y541" s="85" t="str">
        <f>IF(AND(OR(N541="131",O541="131"),H541='131-CT'!$H$9),"x","")</f>
        <v/>
      </c>
      <c r="Z541" s="85"/>
      <c r="AA541" s="85" t="str">
        <f>IF(AND(MONTH(E541)='IN-NX'!$J$5,'IN-NX'!$D$7=D541),"x","")</f>
        <v/>
      </c>
      <c r="AB541" s="85" t="str">
        <f>IF(AND(OR(LEFT(TH!N541,2)="15",LEFT(TH!O541,2)="15"),'152-CT'!$J$8=TH!F541),"x","")</f>
        <v/>
      </c>
      <c r="AC541" s="85" t="str">
        <f>IF(AND(OR(LEFT(TH!N541,2)="15",LEFT(TH!O541,2)="15"),TK!$E$7=TH!F541),"x","")</f>
        <v/>
      </c>
      <c r="AD541" s="85" t="str">
        <f>IF(AND(N541="1521",MONTH(C541)='BK-NL'!$M$11),"x","")</f>
        <v/>
      </c>
      <c r="AE541" s="333"/>
    </row>
    <row r="542" spans="1:31" s="358" customFormat="1" ht="15.75" customHeight="1">
      <c r="A542" s="343" t="str">
        <f>IF(B542&lt;&gt;"",IF(AND(B542='IN-TC'!$S$4,OR(TH!N542="1111",TH!O542="1111")),TH!D542,""),"")</f>
        <v/>
      </c>
      <c r="B542" s="63">
        <f t="shared" si="60"/>
        <v>3</v>
      </c>
      <c r="C542" s="320">
        <v>42439</v>
      </c>
      <c r="D542" s="320" t="s">
        <v>898</v>
      </c>
      <c r="E542" s="320">
        <v>42439</v>
      </c>
      <c r="F542" s="321" t="s">
        <v>1138</v>
      </c>
      <c r="G542" s="1000" t="s">
        <v>1139</v>
      </c>
      <c r="H542" s="322" t="s">
        <v>1140</v>
      </c>
      <c r="I542" s="447"/>
      <c r="J542" s="447"/>
      <c r="K542" s="438"/>
      <c r="L542" s="447"/>
      <c r="M542" s="65">
        <v>1773727</v>
      </c>
      <c r="N542" s="323" t="s">
        <v>9</v>
      </c>
      <c r="O542" s="323" t="s">
        <v>63</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
      </c>
      <c r="V542" s="85" t="str">
        <f>IF(ISERROR(FIND('112'!$M$9,G542,1)),"",IF((AND(RIGHT(G542,2)=RIGHT('112'!$M$9,2),B542&lt;'112'!$K$9,$O542='112'!$I$6)),"x",""))</f>
        <v/>
      </c>
      <c r="W542" s="85" t="str">
        <f>IF(AND('341-CT'!$H$9=H542,OR(LEFT(N542,3)=$W$7,LEFT(O542,3)=$W$7)),"x","")</f>
        <v/>
      </c>
      <c r="X542" s="85" t="str">
        <f>IF(OR(TH!N542=TH!$X$7,O542=TH!$X$7),"x","")</f>
        <v/>
      </c>
      <c r="Y542" s="85" t="str">
        <f>IF(AND(OR(N542="131",O542="131"),H542='131-CT'!$H$9),"x","")</f>
        <v/>
      </c>
      <c r="Z542" s="85"/>
      <c r="AA542" s="85" t="str">
        <f>IF(AND(MONTH(E542)='IN-NX'!$J$5,'IN-NX'!$D$7=D542),"x","")</f>
        <v/>
      </c>
      <c r="AB542" s="85" t="str">
        <f>IF(AND(OR(LEFT(TH!N542,2)="15",LEFT(TH!O542,2)="15"),'152-CT'!$J$8=TH!F542),"x","")</f>
        <v/>
      </c>
      <c r="AC542" s="85" t="str">
        <f>IF(AND(OR(LEFT(TH!N542,2)="15",LEFT(TH!O542,2)="15"),TK!$E$7=TH!F542),"x","")</f>
        <v/>
      </c>
      <c r="AD542" s="85" t="str">
        <f>IF(AND(N542="1521",MONTH(C542)='BK-NL'!$M$11),"x","")</f>
        <v/>
      </c>
      <c r="AE542" s="333"/>
    </row>
    <row r="543" spans="1:31" s="358" customFormat="1" ht="15.75" customHeight="1">
      <c r="A543" s="343" t="str">
        <f>IF(B543&lt;&gt;"",IF(AND(B543='IN-TC'!$S$4,OR(TH!N543="1111",TH!O543="1111")),TH!D543,""),"")</f>
        <v/>
      </c>
      <c r="B543" s="63">
        <f t="shared" si="60"/>
        <v>3</v>
      </c>
      <c r="C543" s="320">
        <v>42439</v>
      </c>
      <c r="D543" s="320" t="s">
        <v>899</v>
      </c>
      <c r="E543" s="320">
        <v>42439</v>
      </c>
      <c r="F543" s="321" t="s">
        <v>1141</v>
      </c>
      <c r="G543" s="1000" t="s">
        <v>1142</v>
      </c>
      <c r="H543" s="322" t="s">
        <v>1143</v>
      </c>
      <c r="I543" s="447"/>
      <c r="J543" s="447"/>
      <c r="K543" s="438"/>
      <c r="L543" s="447"/>
      <c r="M543" s="65">
        <v>2650000</v>
      </c>
      <c r="N543" s="323" t="s">
        <v>101</v>
      </c>
      <c r="O543" s="323" t="s">
        <v>63</v>
      </c>
      <c r="P543" s="85" t="str">
        <f>IF(AND('331-CT'!$E$7=TH!H543,OR(N543="331",O543="331")),"x","")</f>
        <v/>
      </c>
      <c r="Q543" s="85" t="str">
        <f>IF(AND(B543='111'!$L$11,OR($N543=$Q$7,$O543=$Q$7)),"x","")</f>
        <v/>
      </c>
      <c r="R543" s="85" t="str">
        <f>IF(AND($N543=$Q$7,$B543&lt;'111'!$L$11),"x","")</f>
        <v/>
      </c>
      <c r="S543" s="85" t="str">
        <f>IF(AND($O543=$Q$7,$B543&lt;'111'!$L$11),"x","")</f>
        <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
      </c>
      <c r="W543" s="85" t="str">
        <f>IF(AND('341-CT'!$H$9=H543,OR(LEFT(N543,3)=$W$7,LEFT(O543,3)=$W$7)),"x","")</f>
        <v/>
      </c>
      <c r="X543" s="85" t="str">
        <f>IF(OR(TH!N543=TH!$X$7,O543=TH!$X$7),"x","")</f>
        <v/>
      </c>
      <c r="Y543" s="85" t="str">
        <f>IF(AND(OR(N543="131",O543="131"),H543='131-CT'!$H$9),"x","")</f>
        <v/>
      </c>
      <c r="Z543" s="85"/>
      <c r="AA543" s="85" t="str">
        <f>IF(AND(MONTH(E543)='IN-NX'!$J$5,'IN-NX'!$D$7=D543),"x","")</f>
        <v/>
      </c>
      <c r="AB543" s="85" t="str">
        <f>IF(AND(OR(LEFT(TH!N543,2)="15",LEFT(TH!O543,2)="15"),'152-CT'!$J$8=TH!F543),"x","")</f>
        <v/>
      </c>
      <c r="AC543" s="85" t="str">
        <f>IF(AND(OR(LEFT(TH!N543,2)="15",LEFT(TH!O543,2)="15"),TK!$E$7=TH!F543),"x","")</f>
        <v/>
      </c>
      <c r="AD543" s="85" t="str">
        <f>IF(AND(N543="1521",MONTH(C543)='BK-NL'!$M$11),"x","")</f>
        <v/>
      </c>
      <c r="AE543" s="333"/>
    </row>
    <row r="544" spans="1:31" s="358" customFormat="1" ht="15.75" customHeight="1">
      <c r="A544" s="343" t="str">
        <f>IF(B544&lt;&gt;"",IF(AND(B544='IN-TC'!$S$4,OR(TH!N544="1111",TH!O544="1111")),TH!D544,""),"")</f>
        <v/>
      </c>
      <c r="B544" s="63">
        <f t="shared" si="60"/>
        <v>3</v>
      </c>
      <c r="C544" s="320">
        <v>42440</v>
      </c>
      <c r="D544" s="320" t="s">
        <v>900</v>
      </c>
      <c r="E544" s="320">
        <v>42440</v>
      </c>
      <c r="F544" s="321" t="s">
        <v>781</v>
      </c>
      <c r="G544" s="1000" t="s">
        <v>1132</v>
      </c>
      <c r="H544" s="322" t="s">
        <v>1121</v>
      </c>
      <c r="I544" s="447"/>
      <c r="J544" s="447"/>
      <c r="K544" s="438"/>
      <c r="L544" s="447"/>
      <c r="M544" s="65">
        <v>513836</v>
      </c>
      <c r="N544" s="323" t="s">
        <v>101</v>
      </c>
      <c r="O544" s="323" t="s">
        <v>63</v>
      </c>
      <c r="P544" s="85" t="str">
        <f>IF(AND('331-CT'!$E$7=TH!H544,OR(N544="331",O544="331")),"x","")</f>
        <v/>
      </c>
      <c r="Q544" s="85" t="str">
        <f>IF(AND(B544='111'!$L$11,OR($N544=$Q$7,$O544=$Q$7)),"x","")</f>
        <v/>
      </c>
      <c r="R544" s="85" t="str">
        <f>IF(AND($N544=$Q$7,$B544&lt;'111'!$L$11),"x","")</f>
        <v/>
      </c>
      <c r="S544" s="85" t="str">
        <f>IF(AND($O544=$Q$7,$B544&lt;'111'!$L$11),"x","")</f>
        <v/>
      </c>
      <c r="T544" s="85" t="str">
        <f>IF(ISERROR(FIND('112'!$M$9,G544,1)),"",IF((AND(FIND('112'!$M$9,G544,1)&gt;=1,B544='112'!$K$9,OR($N544='112'!$I$6,$O544='112'!$I$6))),"x",""))</f>
        <v/>
      </c>
      <c r="U544" s="85" t="str">
        <f>IF(ISERROR(FIND('112'!$M$9,G544,1)),"",IF((AND(LEFT(G544,2)=LEFT('112'!$M$9,2),B544&lt;'112'!$K$9,$N544='112'!$I$6)),"x",""))</f>
        <v/>
      </c>
      <c r="V544" s="85" t="str">
        <f>IF(ISERROR(FIND('112'!$M$9,G544,1)),"",IF((AND(RIGHT(G544,2)=RIGHT('112'!$M$9,2),B544&lt;'112'!$K$9,$O544='112'!$I$6)),"x",""))</f>
        <v/>
      </c>
      <c r="W544" s="85" t="str">
        <f>IF(AND('341-CT'!$H$9=H544,OR(LEFT(N544,3)=$W$7,LEFT(O544,3)=$W$7)),"x","")</f>
        <v/>
      </c>
      <c r="X544" s="85" t="str">
        <f>IF(OR(TH!N544=TH!$X$7,O544=TH!$X$7),"x","")</f>
        <v/>
      </c>
      <c r="Y544" s="85" t="str">
        <f>IF(AND(OR(N544="131",O544="131"),H544='131-CT'!$H$9),"x","")</f>
        <v/>
      </c>
      <c r="Z544" s="85"/>
      <c r="AA544" s="85" t="str">
        <f>IF(AND(MONTH(E544)='IN-NX'!$J$5,'IN-NX'!$D$7=D544),"x","")</f>
        <v/>
      </c>
      <c r="AB544" s="85" t="str">
        <f>IF(AND(OR(LEFT(TH!N544,2)="15",LEFT(TH!O544,2)="15"),'152-CT'!$J$8=TH!F544),"x","")</f>
        <v/>
      </c>
      <c r="AC544" s="85" t="str">
        <f>IF(AND(OR(LEFT(TH!N544,2)="15",LEFT(TH!O544,2)="15"),TK!$E$7=TH!F544),"x","")</f>
        <v/>
      </c>
      <c r="AD544" s="85" t="str">
        <f>IF(AND(N544="1521",MONTH(C544)='BK-NL'!$M$11),"x","")</f>
        <v/>
      </c>
      <c r="AE544" s="333"/>
    </row>
    <row r="545" spans="1:31" s="358" customFormat="1" ht="15.75" customHeight="1">
      <c r="A545" s="343" t="str">
        <f>IF(B545&lt;&gt;"",IF(AND(B545='IN-TC'!$S$4,OR(TH!N545="1111",TH!O545="1111")),TH!D545,""),"")</f>
        <v/>
      </c>
      <c r="B545" s="63">
        <f t="shared" si="60"/>
        <v>3</v>
      </c>
      <c r="C545" s="320">
        <v>42440</v>
      </c>
      <c r="D545" s="320" t="s">
        <v>900</v>
      </c>
      <c r="E545" s="320">
        <v>42440</v>
      </c>
      <c r="F545" s="321" t="s">
        <v>782</v>
      </c>
      <c r="G545" s="1000" t="s">
        <v>1132</v>
      </c>
      <c r="H545" s="322" t="s">
        <v>1121</v>
      </c>
      <c r="I545" s="447"/>
      <c r="J545" s="447"/>
      <c r="K545" s="438"/>
      <c r="L545" s="447"/>
      <c r="M545" s="65">
        <v>51384</v>
      </c>
      <c r="N545" s="323" t="s">
        <v>9</v>
      </c>
      <c r="O545" s="323" t="s">
        <v>63</v>
      </c>
      <c r="P545" s="85" t="str">
        <f>IF(AND('331-CT'!$E$7=TH!H545,OR(N545="331",O545="331")),"x","")</f>
        <v/>
      </c>
      <c r="Q545" s="85" t="str">
        <f>IF(AND(B545='111'!$L$11,OR($N545=$Q$7,$O545=$Q$7)),"x","")</f>
        <v/>
      </c>
      <c r="R545" s="85" t="str">
        <f>IF(AND($N545=$Q$7,$B545&lt;'111'!$L$11),"x","")</f>
        <v/>
      </c>
      <c r="S545" s="85" t="str">
        <f>IF(AND($O545=$Q$7,$B545&lt;'111'!$L$11),"x","")</f>
        <v/>
      </c>
      <c r="T545" s="85" t="str">
        <f>IF(ISERROR(FIND('112'!$M$9,G545,1)),"",IF((AND(FIND('112'!$M$9,G545,1)&gt;=1,B545='112'!$K$9,OR($N545='112'!$I$6,$O545='112'!$I$6))),"x",""))</f>
        <v/>
      </c>
      <c r="U545" s="85" t="str">
        <f>IF(ISERROR(FIND('112'!$M$9,G545,1)),"",IF((AND(LEFT(G545,2)=LEFT('112'!$M$9,2),B545&lt;'112'!$K$9,$N545='112'!$I$6)),"x",""))</f>
        <v/>
      </c>
      <c r="V545" s="85" t="str">
        <f>IF(ISERROR(FIND('112'!$M$9,G545,1)),"",IF((AND(RIGHT(G545,2)=RIGHT('112'!$M$9,2),B545&lt;'112'!$K$9,$O545='112'!$I$6)),"x",""))</f>
        <v/>
      </c>
      <c r="W545" s="85" t="str">
        <f>IF(AND('341-CT'!$H$9=H545,OR(LEFT(N545,3)=$W$7,LEFT(O545,3)=$W$7)),"x","")</f>
        <v/>
      </c>
      <c r="X545" s="85" t="str">
        <f>IF(OR(TH!N545=TH!$X$7,O545=TH!$X$7),"x","")</f>
        <v/>
      </c>
      <c r="Y545" s="85" t="str">
        <f>IF(AND(OR(N545="131",O545="131"),H545='131-CT'!$H$9),"x","")</f>
        <v/>
      </c>
      <c r="Z545" s="85"/>
      <c r="AA545" s="85" t="str">
        <f>IF(AND(MONTH(E545)='IN-NX'!$J$5,'IN-NX'!$D$7=D545),"x","")</f>
        <v/>
      </c>
      <c r="AB545" s="85" t="str">
        <f>IF(AND(OR(LEFT(TH!N545,2)="15",LEFT(TH!O545,2)="15"),'152-CT'!$J$8=TH!F545),"x","")</f>
        <v/>
      </c>
      <c r="AC545" s="85" t="str">
        <f>IF(AND(OR(LEFT(TH!N545,2)="15",LEFT(TH!O545,2)="15"),TK!$E$7=TH!F545),"x","")</f>
        <v/>
      </c>
      <c r="AD545" s="85" t="str">
        <f>IF(AND(N545="1521",MONTH(C545)='BK-NL'!$M$11),"x","")</f>
        <v/>
      </c>
      <c r="AE545" s="333"/>
    </row>
    <row r="546" spans="1:31" s="358" customFormat="1" ht="15.75" customHeight="1">
      <c r="A546" s="343" t="str">
        <f>IF(B546&lt;&gt;"",IF(AND(B546='IN-TC'!$S$4,OR(TH!N546="1111",TH!O546="1111")),TH!D546,""),"")</f>
        <v/>
      </c>
      <c r="B546" s="63">
        <f t="shared" si="60"/>
        <v>3</v>
      </c>
      <c r="C546" s="320">
        <v>42441</v>
      </c>
      <c r="D546" s="320" t="s">
        <v>901</v>
      </c>
      <c r="E546" s="320">
        <v>42441</v>
      </c>
      <c r="F546" s="321" t="s">
        <v>1133</v>
      </c>
      <c r="G546" s="1000" t="s">
        <v>1135</v>
      </c>
      <c r="H546" s="322" t="s">
        <v>1136</v>
      </c>
      <c r="I546" s="447"/>
      <c r="J546" s="447"/>
      <c r="K546" s="438"/>
      <c r="L546" s="447"/>
      <c r="M546" s="65">
        <v>2000000</v>
      </c>
      <c r="N546" s="323" t="s">
        <v>101</v>
      </c>
      <c r="O546" s="323" t="s">
        <v>63</v>
      </c>
      <c r="P546" s="85" t="str">
        <f>IF(AND('331-CT'!$E$7=TH!H546,OR(N546="331",O546="331")),"x","")</f>
        <v/>
      </c>
      <c r="Q546" s="85" t="str">
        <f>IF(AND(B546='111'!$L$11,OR($N546=$Q$7,$O546=$Q$7)),"x","")</f>
        <v/>
      </c>
      <c r="R546" s="85" t="str">
        <f>IF(AND($N546=$Q$7,$B546&lt;'111'!$L$11),"x","")</f>
        <v/>
      </c>
      <c r="S546" s="85" t="str">
        <f>IF(AND($O546=$Q$7,$B546&lt;'111'!$L$11),"x","")</f>
        <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
      </c>
      <c r="W546" s="85" t="str">
        <f>IF(AND('341-CT'!$H$9=H546,OR(LEFT(N546,3)=$W$7,LEFT(O546,3)=$W$7)),"x","")</f>
        <v/>
      </c>
      <c r="X546" s="85" t="str">
        <f>IF(OR(TH!N546=TH!$X$7,O546=TH!$X$7),"x","")</f>
        <v/>
      </c>
      <c r="Y546" s="85" t="str">
        <f>IF(AND(OR(N546="131",O546="131"),H546='131-CT'!$H$9),"x","")</f>
        <v/>
      </c>
      <c r="Z546" s="85"/>
      <c r="AA546" s="85" t="str">
        <f>IF(AND(MONTH(E546)='IN-NX'!$J$5,'IN-NX'!$D$7=D546),"x","")</f>
        <v/>
      </c>
      <c r="AB546" s="85" t="str">
        <f>IF(AND(OR(LEFT(TH!N546,2)="15",LEFT(TH!O546,2)="15"),'152-CT'!$J$8=TH!F546),"x","")</f>
        <v/>
      </c>
      <c r="AC546" s="85" t="str">
        <f>IF(AND(OR(LEFT(TH!N546,2)="15",LEFT(TH!O546,2)="15"),TK!$E$7=TH!F546),"x","")</f>
        <v/>
      </c>
      <c r="AD546" s="85" t="str">
        <f>IF(AND(N546="1521",MONTH(C546)='BK-NL'!$M$11),"x","")</f>
        <v/>
      </c>
      <c r="AE546" s="333"/>
    </row>
    <row r="547" spans="1:31" s="358" customFormat="1" ht="15.75" customHeight="1">
      <c r="A547" s="343" t="str">
        <f>IF(B547&lt;&gt;"",IF(AND(B547='IN-TC'!$S$4,OR(TH!N547="1111",TH!O547="1111")),TH!D547,""),"")</f>
        <v/>
      </c>
      <c r="B547" s="63">
        <f t="shared" si="60"/>
        <v>3</v>
      </c>
      <c r="C547" s="320">
        <v>42441</v>
      </c>
      <c r="D547" s="320" t="s">
        <v>901</v>
      </c>
      <c r="E547" s="320">
        <v>42441</v>
      </c>
      <c r="F547" s="321" t="s">
        <v>1134</v>
      </c>
      <c r="G547" s="1000" t="s">
        <v>1135</v>
      </c>
      <c r="H547" s="322" t="s">
        <v>1136</v>
      </c>
      <c r="I547" s="447"/>
      <c r="J547" s="447"/>
      <c r="K547" s="438"/>
      <c r="L547" s="447"/>
      <c r="M547" s="65">
        <v>200000</v>
      </c>
      <c r="N547" s="323" t="s">
        <v>9</v>
      </c>
      <c r="O547" s="323" t="s">
        <v>63</v>
      </c>
      <c r="P547" s="85" t="str">
        <f>IF(AND('331-CT'!$E$7=TH!H547,OR(N547="331",O547="331")),"x","")</f>
        <v/>
      </c>
      <c r="Q547" s="85" t="str">
        <f>IF(AND(B547='111'!$L$11,OR($N547=$Q$7,$O547=$Q$7)),"x","")</f>
        <v/>
      </c>
      <c r="R547" s="85" t="str">
        <f>IF(AND($N547=$Q$7,$B547&lt;'111'!$L$11),"x","")</f>
        <v/>
      </c>
      <c r="S547" s="85" t="str">
        <f>IF(AND($O547=$Q$7,$B547&lt;'111'!$L$11),"x","")</f>
        <v/>
      </c>
      <c r="T547" s="85" t="str">
        <f>IF(ISERROR(FIND('112'!$M$9,G547,1)),"",IF((AND(FIND('112'!$M$9,G547,1)&gt;=1,B547='112'!$K$9,OR($N547='112'!$I$6,$O547='112'!$I$6))),"x",""))</f>
        <v/>
      </c>
      <c r="U547" s="85" t="str">
        <f>IF(ISERROR(FIND('112'!$M$9,G547,1)),"",IF((AND(LEFT(G547,2)=LEFT('112'!$M$9,2),B547&lt;'112'!$K$9,$N547='112'!$I$6)),"x",""))</f>
        <v/>
      </c>
      <c r="V547" s="85" t="str">
        <f>IF(ISERROR(FIND('112'!$M$9,G547,1)),"",IF((AND(RIGHT(G547,2)=RIGHT('112'!$M$9,2),B547&lt;'112'!$K$9,$O547='112'!$I$6)),"x",""))</f>
        <v/>
      </c>
      <c r="W547" s="85" t="str">
        <f>IF(AND('341-CT'!$H$9=H547,OR(LEFT(N547,3)=$W$7,LEFT(O547,3)=$W$7)),"x","")</f>
        <v/>
      </c>
      <c r="X547" s="85" t="str">
        <f>IF(OR(TH!N547=TH!$X$7,O547=TH!$X$7),"x","")</f>
        <v/>
      </c>
      <c r="Y547" s="85" t="str">
        <f>IF(AND(OR(N547="131",O547="131"),H547='131-CT'!$H$9),"x","")</f>
        <v/>
      </c>
      <c r="Z547" s="85"/>
      <c r="AA547" s="85" t="str">
        <f>IF(AND(MONTH(E547)='IN-NX'!$J$5,'IN-NX'!$D$7=D547),"x","")</f>
        <v/>
      </c>
      <c r="AB547" s="85" t="str">
        <f>IF(AND(OR(LEFT(TH!N547,2)="15",LEFT(TH!O547,2)="15"),'152-CT'!$J$8=TH!F547),"x","")</f>
        <v/>
      </c>
      <c r="AC547" s="85" t="str">
        <f>IF(AND(OR(LEFT(TH!N547,2)="15",LEFT(TH!O547,2)="15"),TK!$E$7=TH!F547),"x","")</f>
        <v/>
      </c>
      <c r="AD547" s="85" t="str">
        <f>IF(AND(N547="1521",MONTH(C547)='BK-NL'!$M$11),"x","")</f>
        <v/>
      </c>
      <c r="AE547" s="333"/>
    </row>
    <row r="548" spans="1:31" s="358" customFormat="1" ht="15.75" customHeight="1">
      <c r="A548" s="343" t="str">
        <f>IF(B548&lt;&gt;"",IF(AND(B548='IN-TC'!$S$4,OR(TH!N548="1111",TH!O548="1111")),TH!D548,""),"")</f>
        <v/>
      </c>
      <c r="B548" s="63">
        <f t="shared" si="60"/>
        <v>3</v>
      </c>
      <c r="C548" s="320">
        <v>42441</v>
      </c>
      <c r="D548" s="320" t="s">
        <v>902</v>
      </c>
      <c r="E548" s="320">
        <v>42441</v>
      </c>
      <c r="F548" s="321" t="s">
        <v>786</v>
      </c>
      <c r="G548" s="1000" t="s">
        <v>1137</v>
      </c>
      <c r="H548" s="322" t="s">
        <v>1121</v>
      </c>
      <c r="I548" s="447"/>
      <c r="J548" s="447"/>
      <c r="K548" s="438"/>
      <c r="L548" s="447"/>
      <c r="M548" s="65">
        <v>643682</v>
      </c>
      <c r="N548" s="323" t="s">
        <v>101</v>
      </c>
      <c r="O548" s="323" t="s">
        <v>63</v>
      </c>
      <c r="P548" s="85" t="str">
        <f>IF(AND('331-CT'!$E$7=TH!H548,OR(N548="331",O548="331")),"x","")</f>
        <v/>
      </c>
      <c r="Q548" s="85" t="str">
        <f>IF(AND(B548='111'!$L$11,OR($N548=$Q$7,$O548=$Q$7)),"x","")</f>
        <v/>
      </c>
      <c r="R548" s="85" t="str">
        <f>IF(AND($N548=$Q$7,$B548&lt;'111'!$L$11),"x","")</f>
        <v/>
      </c>
      <c r="S548" s="85" t="str">
        <f>IF(AND($O548=$Q$7,$B548&lt;'111'!$L$11),"x","")</f>
        <v/>
      </c>
      <c r="T548" s="85" t="str">
        <f>IF(ISERROR(FIND('112'!$M$9,G548,1)),"",IF((AND(FIND('112'!$M$9,G548,1)&gt;=1,B548='112'!$K$9,OR($N548='112'!$I$6,$O548='112'!$I$6))),"x",""))</f>
        <v/>
      </c>
      <c r="U548" s="85" t="str">
        <f>IF(ISERROR(FIND('112'!$M$9,G548,1)),"",IF((AND(LEFT(G548,2)=LEFT('112'!$M$9,2),B548&lt;'112'!$K$9,$N548='112'!$I$6)),"x",""))</f>
        <v/>
      </c>
      <c r="V548" s="85" t="str">
        <f>IF(ISERROR(FIND('112'!$M$9,G548,1)),"",IF((AND(RIGHT(G548,2)=RIGHT('112'!$M$9,2),B548&lt;'112'!$K$9,$O548='112'!$I$6)),"x",""))</f>
        <v/>
      </c>
      <c r="W548" s="85" t="str">
        <f>IF(AND('341-CT'!$H$9=H548,OR(LEFT(N548,3)=$W$7,LEFT(O548,3)=$W$7)),"x","")</f>
        <v/>
      </c>
      <c r="X548" s="85" t="str">
        <f>IF(OR(TH!N548=TH!$X$7,O548=TH!$X$7),"x","")</f>
        <v/>
      </c>
      <c r="Y548" s="85" t="str">
        <f>IF(AND(OR(N548="131",O548="131"),H548='131-CT'!$H$9),"x","")</f>
        <v/>
      </c>
      <c r="Z548" s="85"/>
      <c r="AA548" s="85" t="str">
        <f>IF(AND(MONTH(E548)='IN-NX'!$J$5,'IN-NX'!$D$7=D548),"x","")</f>
        <v/>
      </c>
      <c r="AB548" s="85" t="str">
        <f>IF(AND(OR(LEFT(TH!N548,2)="15",LEFT(TH!O548,2)="15"),'152-CT'!$J$8=TH!F548),"x","")</f>
        <v/>
      </c>
      <c r="AC548" s="85" t="str">
        <f>IF(AND(OR(LEFT(TH!N548,2)="15",LEFT(TH!O548,2)="15"),TK!$E$7=TH!F548),"x","")</f>
        <v/>
      </c>
      <c r="AD548" s="85" t="str">
        <f>IF(AND(N548="1521",MONTH(C548)='BK-NL'!$M$11),"x","")</f>
        <v/>
      </c>
      <c r="AE548" s="333"/>
    </row>
    <row r="549" spans="1:31" s="358" customFormat="1" ht="15.75" customHeight="1">
      <c r="A549" s="343" t="str">
        <f>IF(B549&lt;&gt;"",IF(AND(B549='IN-TC'!$S$4,OR(TH!N549="1111",TH!O549="1111")),TH!D549,""),"")</f>
        <v/>
      </c>
      <c r="B549" s="63">
        <f t="shared" si="60"/>
        <v>3</v>
      </c>
      <c r="C549" s="320">
        <v>42441</v>
      </c>
      <c r="D549" s="320" t="s">
        <v>902</v>
      </c>
      <c r="E549" s="320">
        <v>42441</v>
      </c>
      <c r="F549" s="321" t="s">
        <v>787</v>
      </c>
      <c r="G549" s="1000" t="s">
        <v>1137</v>
      </c>
      <c r="H549" s="322" t="s">
        <v>1121</v>
      </c>
      <c r="I549" s="447"/>
      <c r="J549" s="447"/>
      <c r="K549" s="438"/>
      <c r="L549" s="447"/>
      <c r="M549" s="65">
        <v>64368</v>
      </c>
      <c r="N549" s="323" t="s">
        <v>9</v>
      </c>
      <c r="O549" s="323" t="s">
        <v>63</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
      </c>
      <c r="W549" s="85" t="str">
        <f>IF(AND('341-CT'!$H$9=H549,OR(LEFT(N549,3)=$W$7,LEFT(O549,3)=$W$7)),"x","")</f>
        <v/>
      </c>
      <c r="X549" s="85" t="str">
        <f>IF(OR(TH!N549=TH!$X$7,O549=TH!$X$7),"x","")</f>
        <v/>
      </c>
      <c r="Y549" s="85" t="str">
        <f>IF(AND(OR(N549="131",O549="131"),H549='131-CT'!$H$9),"x","")</f>
        <v/>
      </c>
      <c r="Z549" s="85"/>
      <c r="AA549" s="85" t="str">
        <f>IF(AND(MONTH(E549)='IN-NX'!$J$5,'IN-NX'!$D$7=D549),"x","")</f>
        <v/>
      </c>
      <c r="AB549" s="85" t="str">
        <f>IF(AND(OR(LEFT(TH!N549,2)="15",LEFT(TH!O549,2)="15"),'152-CT'!$J$8=TH!F549),"x","")</f>
        <v/>
      </c>
      <c r="AC549" s="85" t="str">
        <f>IF(AND(OR(LEFT(TH!N549,2)="15",LEFT(TH!O549,2)="15"),TK!$E$7=TH!F549),"x","")</f>
        <v/>
      </c>
      <c r="AD549" s="85" t="str">
        <f>IF(AND(N549="1521",MONTH(C549)='BK-NL'!$M$11),"x","")</f>
        <v/>
      </c>
      <c r="AE549" s="333"/>
    </row>
    <row r="550" spans="1:31" s="358" customFormat="1" ht="15.75" customHeight="1">
      <c r="A550" s="343" t="str">
        <f>IF(B550&lt;&gt;"",IF(AND(B550='IN-TC'!$S$4,OR(TH!N550="1111",TH!O550="1111")),TH!D550,""),"")</f>
        <v/>
      </c>
      <c r="B550" s="63">
        <f t="shared" si="60"/>
        <v>3</v>
      </c>
      <c r="C550" s="320">
        <v>42443</v>
      </c>
      <c r="D550" s="320" t="s">
        <v>903</v>
      </c>
      <c r="E550" s="320">
        <v>42443</v>
      </c>
      <c r="F550" s="321" t="s">
        <v>1144</v>
      </c>
      <c r="G550" s="1000" t="s">
        <v>1146</v>
      </c>
      <c r="H550" s="322" t="s">
        <v>1147</v>
      </c>
      <c r="I550" s="447"/>
      <c r="J550" s="447"/>
      <c r="K550" s="438"/>
      <c r="L550" s="447"/>
      <c r="M550" s="65">
        <v>1413000</v>
      </c>
      <c r="N550" s="323" t="s">
        <v>101</v>
      </c>
      <c r="O550" s="323" t="s">
        <v>63</v>
      </c>
      <c r="P550" s="85" t="str">
        <f>IF(AND('331-CT'!$E$7=TH!H550,OR(N550="331",O550="331")),"x","")</f>
        <v/>
      </c>
      <c r="Q550" s="85" t="str">
        <f>IF(AND(B550='111'!$L$11,OR($N550=$Q$7,$O550=$Q$7)),"x","")</f>
        <v/>
      </c>
      <c r="R550" s="85" t="str">
        <f>IF(AND($N550=$Q$7,$B550&lt;'111'!$L$11),"x","")</f>
        <v/>
      </c>
      <c r="S550" s="85" t="str">
        <f>IF(AND($O550=$Q$7,$B550&lt;'111'!$L$11),"x","")</f>
        <v/>
      </c>
      <c r="T550" s="85" t="str">
        <f>IF(ISERROR(FIND('112'!$M$9,G550,1)),"",IF((AND(FIND('112'!$M$9,G550,1)&gt;=1,B550='112'!$K$9,OR($N550='112'!$I$6,$O550='112'!$I$6))),"x",""))</f>
        <v/>
      </c>
      <c r="U550" s="85" t="str">
        <f>IF(ISERROR(FIND('112'!$M$9,G550,1)),"",IF((AND(LEFT(G550,2)=LEFT('112'!$M$9,2),B550&lt;'112'!$K$9,$N550='112'!$I$6)),"x",""))</f>
        <v/>
      </c>
      <c r="V550" s="85" t="str">
        <f>IF(ISERROR(FIND('112'!$M$9,G550,1)),"",IF((AND(RIGHT(G550,2)=RIGHT('112'!$M$9,2),B550&lt;'112'!$K$9,$O550='112'!$I$6)),"x",""))</f>
        <v/>
      </c>
      <c r="W550" s="85" t="str">
        <f>IF(AND('341-CT'!$H$9=H550,OR(LEFT(N550,3)=$W$7,LEFT(O550,3)=$W$7)),"x","")</f>
        <v/>
      </c>
      <c r="X550" s="85" t="str">
        <f>IF(OR(TH!N550=TH!$X$7,O550=TH!$X$7),"x","")</f>
        <v/>
      </c>
      <c r="Y550" s="85" t="str">
        <f>IF(AND(OR(N550="131",O550="131"),H550='131-CT'!$H$9),"x","")</f>
        <v/>
      </c>
      <c r="Z550" s="85"/>
      <c r="AA550" s="85" t="str">
        <f>IF(AND(MONTH(E550)='IN-NX'!$J$5,'IN-NX'!$D$7=D550),"x","")</f>
        <v/>
      </c>
      <c r="AB550" s="85" t="str">
        <f>IF(AND(OR(LEFT(TH!N550,2)="15",LEFT(TH!O550,2)="15"),'152-CT'!$J$8=TH!F550),"x","")</f>
        <v/>
      </c>
      <c r="AC550" s="85" t="str">
        <f>IF(AND(OR(LEFT(TH!N550,2)="15",LEFT(TH!O550,2)="15"),TK!$E$7=TH!F550),"x","")</f>
        <v/>
      </c>
      <c r="AD550" s="85" t="str">
        <f>IF(AND(N550="1521",MONTH(C550)='BK-NL'!$M$11),"x","")</f>
        <v/>
      </c>
      <c r="AE550" s="333"/>
    </row>
    <row r="551" spans="1:31" s="354" customFormat="1" ht="15.75" customHeight="1">
      <c r="A551" s="343" t="str">
        <f>IF(B551&lt;&gt;"",IF(AND(B551='IN-TC'!$S$4,OR(TH!N551="1111",TH!O551="1111")),TH!D551,""),"")</f>
        <v/>
      </c>
      <c r="B551" s="63">
        <f t="shared" si="60"/>
        <v>3</v>
      </c>
      <c r="C551" s="64">
        <v>42443</v>
      </c>
      <c r="D551" s="320" t="s">
        <v>903</v>
      </c>
      <c r="E551" s="64">
        <v>42443</v>
      </c>
      <c r="F551" s="67" t="s">
        <v>1145</v>
      </c>
      <c r="G551" s="1000" t="s">
        <v>1146</v>
      </c>
      <c r="H551" s="74" t="s">
        <v>1147</v>
      </c>
      <c r="I551" s="447"/>
      <c r="J551" s="447"/>
      <c r="K551" s="438"/>
      <c r="L551" s="447"/>
      <c r="M551" s="65">
        <v>141300</v>
      </c>
      <c r="N551" s="66" t="s">
        <v>9</v>
      </c>
      <c r="O551" s="66" t="s">
        <v>63</v>
      </c>
      <c r="P551" s="85" t="str">
        <f>IF(AND('331-CT'!$E$7=TH!H551,OR(N551="331",O551="331")),"x","")</f>
        <v/>
      </c>
      <c r="Q551" s="85" t="str">
        <f>IF(AND(B551='111'!$L$11,OR($N551=$Q$7,$O551=$Q$7)),"x","")</f>
        <v/>
      </c>
      <c r="R551" s="85" t="str">
        <f>IF(AND($N551=$Q$7,$B551&lt;'111'!$L$11),"x","")</f>
        <v/>
      </c>
      <c r="S551" s="85" t="str">
        <f>IF(AND($O551=$Q$7,$B551&lt;'111'!$L$11),"x","")</f>
        <v/>
      </c>
      <c r="T551" s="85" t="str">
        <f>IF(ISERROR(FIND('112'!$M$9,G551,1)),"",IF((AND(FIND('112'!$M$9,G551,1)&gt;=1,B551='112'!$K$9,OR($N551='112'!$I$6,$O551='112'!$I$6))),"x",""))</f>
        <v/>
      </c>
      <c r="U551" s="85" t="str">
        <f>IF(ISERROR(FIND('112'!$M$9,G551,1)),"",IF((AND(LEFT(G551,2)=LEFT('112'!$M$9,2),B551&lt;'112'!$K$9,$N551='112'!$I$6)),"x",""))</f>
        <v/>
      </c>
      <c r="V551" s="85" t="str">
        <f>IF(ISERROR(FIND('112'!$M$9,G551,1)),"",IF((AND(RIGHT(G551,2)=RIGHT('112'!$M$9,2),B551&lt;'112'!$K$9,$O551='112'!$I$6)),"x",""))</f>
        <v/>
      </c>
      <c r="W551" s="85" t="str">
        <f>IF(AND('341-CT'!$H$9=H551,OR(LEFT(N551,3)=$W$7,LEFT(O551,3)=$W$7)),"x","")</f>
        <v/>
      </c>
      <c r="X551" s="85" t="str">
        <f>IF(OR(TH!N551=TH!$X$7,O551=TH!$X$7),"x","")</f>
        <v/>
      </c>
      <c r="Y551" s="85" t="str">
        <f>IF(AND(OR(N551="131",O551="131"),H551='131-CT'!$H$9),"x","")</f>
        <v/>
      </c>
      <c r="Z551" s="85"/>
      <c r="AA551" s="85" t="str">
        <f>IF(AND(MONTH(E551)='IN-NX'!$J$5,'IN-NX'!$D$7=D551),"x","")</f>
        <v/>
      </c>
      <c r="AB551" s="85" t="str">
        <f>IF(AND(OR(LEFT(TH!N551,2)="15",LEFT(TH!O551,2)="15"),'152-CT'!$J$8=TH!F551),"x","")</f>
        <v/>
      </c>
      <c r="AC551" s="85" t="str">
        <f>IF(AND(OR(LEFT(TH!N551,2)="15",LEFT(TH!O551,2)="15"),TK!$E$7=TH!F551),"x","")</f>
        <v/>
      </c>
      <c r="AD551" s="85" t="str">
        <f>IF(AND(N551="1521",MONTH(C551)='BK-NL'!$M$11),"x","")</f>
        <v/>
      </c>
      <c r="AE551" s="358"/>
    </row>
    <row r="552" spans="1:31" s="354" customFormat="1" ht="15.75" customHeight="1">
      <c r="A552" s="343" t="str">
        <f>IF(B552&lt;&gt;"",IF(AND(B552='IN-TC'!$S$4,OR(TH!N552="1111",TH!O552="1111")),TH!D552,""),"")</f>
        <v/>
      </c>
      <c r="B552" s="63">
        <f t="shared" si="60"/>
        <v>3</v>
      </c>
      <c r="C552" s="64">
        <v>42443</v>
      </c>
      <c r="D552" s="320" t="s">
        <v>709</v>
      </c>
      <c r="E552" s="64">
        <v>42443</v>
      </c>
      <c r="F552" s="67" t="s">
        <v>1215</v>
      </c>
      <c r="G552" s="1000" t="s">
        <v>929</v>
      </c>
      <c r="H552" s="74"/>
      <c r="I552" s="447"/>
      <c r="J552" s="447"/>
      <c r="K552" s="438"/>
      <c r="L552" s="447"/>
      <c r="M552" s="65">
        <v>25000</v>
      </c>
      <c r="N552" s="66" t="s">
        <v>101</v>
      </c>
      <c r="O552" s="66" t="s">
        <v>26</v>
      </c>
      <c r="P552" s="85" t="str">
        <f>IF(AND('331-CT'!$E$7=TH!H552,OR(N552="331",O552="331")),"x","")</f>
        <v/>
      </c>
      <c r="Q552" s="85" t="str">
        <f>IF(AND(B552='111'!$L$11,OR($N552=$Q$7,$O552=$Q$7)),"x","")</f>
        <v/>
      </c>
      <c r="R552" s="85" t="str">
        <f>IF(AND($N552=$Q$7,$B552&lt;'111'!$L$11),"x","")</f>
        <v/>
      </c>
      <c r="S552" s="85" t="str">
        <f>IF(AND($O552=$Q$7,$B552&lt;'111'!$L$11),"x","")</f>
        <v/>
      </c>
      <c r="T552" s="85" t="str">
        <f>IF(ISERROR(FIND('112'!$M$9,G552,1)),"",IF((AND(FIND('112'!$M$9,G552,1)&gt;=1,B552='112'!$K$9,OR($N552='112'!$I$6,$O552='112'!$I$6))),"x",""))</f>
        <v/>
      </c>
      <c r="U552" s="85" t="str">
        <f>IF(ISERROR(FIND('112'!$M$9,G552,1)),"",IF((AND(LEFT(G552,2)=LEFT('112'!$M$9,2),B552&lt;'112'!$K$9,$N552='112'!$I$6)),"x",""))</f>
        <v/>
      </c>
      <c r="V552" s="85" t="str">
        <f>IF(ISERROR(FIND('112'!$M$9,G552,1)),"",IF((AND(RIGHT(G552,2)=RIGHT('112'!$M$9,2),B552&lt;'112'!$K$9,$O552='112'!$I$6)),"x",""))</f>
        <v/>
      </c>
      <c r="W552" s="85" t="str">
        <f>IF(AND('341-CT'!$H$9=H552,OR(LEFT(N552,3)=$W$7,LEFT(O552,3)=$W$7)),"x","")</f>
        <v/>
      </c>
      <c r="X552" s="85" t="str">
        <f>IF(OR(TH!N552=TH!$X$7,O552=TH!$X$7),"x","")</f>
        <v/>
      </c>
      <c r="Y552" s="85" t="str">
        <f>IF(AND(OR(N552="131",O552="131"),H552='131-CT'!$H$9),"x","")</f>
        <v/>
      </c>
      <c r="Z552" s="85"/>
      <c r="AA552" s="85" t="str">
        <f>IF(AND(MONTH(E552)='IN-NX'!$J$5,'IN-NX'!$D$7=D552),"x","")</f>
        <v/>
      </c>
      <c r="AB552" s="85" t="str">
        <f>IF(AND(OR(LEFT(TH!N552,2)="15",LEFT(TH!O552,2)="15"),'152-CT'!$J$8=TH!F552),"x","")</f>
        <v/>
      </c>
      <c r="AC552" s="85" t="str">
        <f>IF(AND(OR(LEFT(TH!N552,2)="15",LEFT(TH!O552,2)="15"),TK!$E$7=TH!F552),"x","")</f>
        <v/>
      </c>
      <c r="AD552" s="85" t="str">
        <f>IF(AND(N552="1521",MONTH(C552)='BK-NL'!$M$11),"x","")</f>
        <v/>
      </c>
      <c r="AE552" s="358"/>
    </row>
    <row r="553" spans="1:31" s="354" customFormat="1" ht="15.75" customHeight="1">
      <c r="A553" s="343" t="str">
        <f>IF(B553&lt;&gt;"",IF(AND(B553='IN-TC'!$S$4,OR(TH!N553="1111",TH!O553="1111")),TH!D553,""),"")</f>
        <v/>
      </c>
      <c r="B553" s="63">
        <f t="shared" si="60"/>
        <v>3</v>
      </c>
      <c r="C553" s="320">
        <v>42443</v>
      </c>
      <c r="D553" s="320" t="s">
        <v>709</v>
      </c>
      <c r="E553" s="320">
        <v>42443</v>
      </c>
      <c r="F553" s="321" t="s">
        <v>1216</v>
      </c>
      <c r="G553" s="321" t="s">
        <v>929</v>
      </c>
      <c r="H553" s="322"/>
      <c r="I553" s="447"/>
      <c r="J553" s="447"/>
      <c r="K553" s="438"/>
      <c r="L553" s="447"/>
      <c r="M553" s="65">
        <v>2500</v>
      </c>
      <c r="N553" s="323" t="s">
        <v>9</v>
      </c>
      <c r="O553" s="323" t="s">
        <v>26</v>
      </c>
      <c r="P553" s="85" t="str">
        <f>IF(AND('331-CT'!$E$7=TH!H553,OR(N553="331",O553="331")),"x","")</f>
        <v/>
      </c>
      <c r="Q553" s="85" t="str">
        <f>IF(AND(B553='111'!$L$11,OR($N553=$Q$7,$O553=$Q$7)),"x","")</f>
        <v/>
      </c>
      <c r="R553" s="85" t="str">
        <f>IF(AND($N553=$Q$7,$B553&lt;'111'!$L$11),"x","")</f>
        <v/>
      </c>
      <c r="S553" s="85" t="str">
        <f>IF(AND($O553=$Q$7,$B553&lt;'111'!$L$11),"x","")</f>
        <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IF(AND('341-CT'!$H$9=H553,OR(LEFT(N553,3)=$W$7,LEFT(O553,3)=$W$7)),"x","")</f>
        <v/>
      </c>
      <c r="X553" s="85" t="str">
        <f>IF(OR(TH!N553=TH!$X$7,O553=TH!$X$7),"x","")</f>
        <v/>
      </c>
      <c r="Y553" s="85" t="str">
        <f>IF(AND(OR(N553="131",O553="131"),H553='131-CT'!$H$9),"x","")</f>
        <v/>
      </c>
      <c r="Z553" s="85"/>
      <c r="AA553" s="85" t="str">
        <f>IF(AND(MONTH(E553)='IN-NX'!$J$5,'IN-NX'!$D$7=D553),"x","")</f>
        <v/>
      </c>
      <c r="AB553" s="85" t="str">
        <f>IF(AND(OR(LEFT(TH!N553,2)="15",LEFT(TH!O553,2)="15"),'152-CT'!$J$8=TH!F553),"x","")</f>
        <v/>
      </c>
      <c r="AC553" s="85" t="str">
        <f>IF(AND(OR(LEFT(TH!N553,2)="15",LEFT(TH!O553,2)="15"),TK!$E$7=TH!F553),"x","")</f>
        <v/>
      </c>
      <c r="AD553" s="85" t="str">
        <f>IF(AND(N553="1521",MONTH(C553)='BK-NL'!$M$11),"x","")</f>
        <v/>
      </c>
      <c r="AE553" s="333"/>
    </row>
    <row r="554" spans="1:31" s="354" customFormat="1" ht="15.75" customHeight="1">
      <c r="A554" s="343" t="str">
        <f>IF(B554&lt;&gt;"",IF(AND(B554='IN-TC'!$S$4,OR(TH!N554="1111",TH!O554="1111")),TH!D554,""),"")</f>
        <v/>
      </c>
      <c r="B554" s="63">
        <f t="shared" si="60"/>
        <v>3</v>
      </c>
      <c r="C554" s="320">
        <f>E554</f>
        <v>42444</v>
      </c>
      <c r="D554" s="320" t="s">
        <v>904</v>
      </c>
      <c r="E554" s="320">
        <v>42444</v>
      </c>
      <c r="F554" s="82" t="s">
        <v>975</v>
      </c>
      <c r="G554" s="82"/>
      <c r="H554" s="83" t="s">
        <v>974</v>
      </c>
      <c r="I554" s="445"/>
      <c r="J554" s="445"/>
      <c r="K554" s="436"/>
      <c r="L554" s="445"/>
      <c r="M554" s="84">
        <v>300000000</v>
      </c>
      <c r="N554" s="85" t="s">
        <v>273</v>
      </c>
      <c r="O554" s="85" t="s">
        <v>63</v>
      </c>
      <c r="P554" s="85" t="str">
        <f>IF(AND('331-CT'!$E$7=TH!H554,OR(N554="331",O554="331")),"x","")</f>
        <v/>
      </c>
      <c r="Q554" s="85" t="str">
        <f>IF(AND(B554='111'!$L$11,OR($N554=$Q$7,$O554=$Q$7)),"x","")</f>
        <v/>
      </c>
      <c r="R554" s="85" t="str">
        <f>IF(AND($N554=$Q$7,$B554&lt;'111'!$L$11),"x","")</f>
        <v/>
      </c>
      <c r="S554" s="85" t="str">
        <f>IF(AND($O554=$Q$7,$B554&lt;'111'!$L$11),"x","")</f>
        <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IF(AND('341-CT'!$H$9=H554,OR(LEFT(N554,3)=$W$7,LEFT(O554,3)=$W$7)),"x","")</f>
        <v/>
      </c>
      <c r="X554" s="85" t="str">
        <f>IF(OR(TH!N554=TH!$X$7,O554=TH!$X$7),"x","")</f>
        <v/>
      </c>
      <c r="Y554" s="85" t="str">
        <f>IF(AND(OR(N554="131",O554="131"),H554='131-CT'!$H$9),"x","")</f>
        <v/>
      </c>
      <c r="Z554" s="85"/>
      <c r="AA554" s="85" t="str">
        <f>IF(AND(MONTH(E554)='IN-NX'!$J$5,'IN-NX'!$D$7=D554),"x","")</f>
        <v/>
      </c>
      <c r="AB554" s="85" t="str">
        <f>IF(AND(OR(LEFT(TH!N554,2)="15",LEFT(TH!O554,2)="15"),'152-CT'!$J$8=TH!F554),"x","")</f>
        <v/>
      </c>
      <c r="AC554" s="85" t="str">
        <f>IF(AND(OR(LEFT(TH!N554,2)="15",LEFT(TH!O554,2)="15"),TK!$E$7=TH!F554),"x","")</f>
        <v/>
      </c>
      <c r="AD554" s="85" t="str">
        <f>IF(AND(N554="1521",MONTH(C554)='BK-NL'!$M$11),"x","")</f>
        <v/>
      </c>
      <c r="AE554" s="333"/>
    </row>
    <row r="555" spans="1:31" s="358" customFormat="1" ht="15.75" customHeight="1">
      <c r="A555" s="343" t="str">
        <f>IF(B555&lt;&gt;"",IF(AND(B555='IN-TC'!$S$4,OR(TH!N555="1111",TH!O555="1111")),TH!D555,""),"")</f>
        <v/>
      </c>
      <c r="B555" s="63">
        <f t="shared" si="60"/>
        <v>3</v>
      </c>
      <c r="C555" s="320">
        <v>42444</v>
      </c>
      <c r="D555" s="320" t="s">
        <v>706</v>
      </c>
      <c r="E555" s="320">
        <v>42444</v>
      </c>
      <c r="F555" s="67" t="s">
        <v>1206</v>
      </c>
      <c r="G555" s="1000" t="s">
        <v>929</v>
      </c>
      <c r="H555" s="322" t="s">
        <v>602</v>
      </c>
      <c r="I555" s="447"/>
      <c r="J555" s="447"/>
      <c r="K555" s="438">
        <v>100100</v>
      </c>
      <c r="L555" s="447">
        <v>22295</v>
      </c>
      <c r="M555" s="65">
        <v>2231729500</v>
      </c>
      <c r="N555" s="323" t="s">
        <v>267</v>
      </c>
      <c r="O555" s="66" t="s">
        <v>591</v>
      </c>
      <c r="P555" s="85" t="str">
        <f>IF(AND('331-CT'!$E$7=TH!H555,OR(N555="331",O555="331")),"x","")</f>
        <v/>
      </c>
      <c r="Q555" s="85" t="str">
        <f>IF(AND(B555='111'!$L$11,OR($N555=$Q$7,$O555=$Q$7)),"x","")</f>
        <v/>
      </c>
      <c r="R555" s="85" t="str">
        <f>IF(AND($N555=$Q$7,$B555&lt;'111'!$L$11),"x","")</f>
        <v/>
      </c>
      <c r="S555" s="85" t="str">
        <f>IF(AND($O555=$Q$7,$B555&lt;'111'!$L$11),"x","")</f>
        <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IF(AND('341-CT'!$H$9=H555,OR(LEFT(N555,3)=$W$7,LEFT(O555,3)=$W$7)),"x","")</f>
        <v/>
      </c>
      <c r="X555" s="85" t="str">
        <f>IF(OR(TH!N555=TH!$X$7,O555=TH!$X$7),"x","")</f>
        <v/>
      </c>
      <c r="Y555" s="85" t="str">
        <f>IF(AND(OR(N555="131",O555="131"),H555='131-CT'!$H$9),"x","")</f>
        <v>x</v>
      </c>
      <c r="Z555" s="85"/>
      <c r="AA555" s="85" t="str">
        <f>IF(AND(MONTH(E555)='IN-NX'!$J$5,'IN-NX'!$D$7=D555),"x","")</f>
        <v/>
      </c>
      <c r="AB555" s="85" t="str">
        <f>IF(AND(OR(LEFT(TH!N555,2)="15",LEFT(TH!O555,2)="15"),'152-CT'!$J$8=TH!F555),"x","")</f>
        <v/>
      </c>
      <c r="AC555" s="85" t="str">
        <f>IF(AND(OR(LEFT(TH!N555,2)="15",LEFT(TH!O555,2)="15"),TK!$E$7=TH!F555),"x","")</f>
        <v/>
      </c>
      <c r="AD555" s="85" t="str">
        <f>IF(AND(N555="1521",MONTH(C555)='BK-NL'!$M$11),"x","")</f>
        <v/>
      </c>
    </row>
    <row r="556" spans="1:31" s="358" customFormat="1" ht="15.75" customHeight="1">
      <c r="A556" s="343" t="str">
        <f>IF(B556&lt;&gt;"",IF(AND(B556='IN-TC'!$S$4,OR(TH!N556="1111",TH!O556="1111")),TH!D556,""),"")</f>
        <v/>
      </c>
      <c r="B556" s="63">
        <f t="shared" si="60"/>
        <v>3</v>
      </c>
      <c r="C556" s="320">
        <v>42444</v>
      </c>
      <c r="D556" s="320" t="s">
        <v>709</v>
      </c>
      <c r="E556" s="320">
        <v>42444</v>
      </c>
      <c r="F556" s="67" t="s">
        <v>1204</v>
      </c>
      <c r="G556" s="1000" t="s">
        <v>929</v>
      </c>
      <c r="H556" s="322"/>
      <c r="I556" s="447"/>
      <c r="J556" s="447"/>
      <c r="K556" s="438">
        <v>100000</v>
      </c>
      <c r="L556" s="447">
        <v>22295</v>
      </c>
      <c r="M556" s="65">
        <v>2229500000</v>
      </c>
      <c r="N556" s="323" t="s">
        <v>26</v>
      </c>
      <c r="O556" s="66" t="s">
        <v>267</v>
      </c>
      <c r="P556" s="85" t="str">
        <f>IF(AND('331-CT'!$E$7=TH!H556,OR(N556="331",O556="331")),"x","")</f>
        <v/>
      </c>
      <c r="Q556" s="85" t="str">
        <f>IF(AND(B556='111'!$L$11,OR($N556=$Q$7,$O556=$Q$7)),"x","")</f>
        <v/>
      </c>
      <c r="R556" s="85" t="str">
        <f>IF(AND($N556=$Q$7,$B556&lt;'111'!$L$11),"x","")</f>
        <v/>
      </c>
      <c r="S556" s="85" t="str">
        <f>IF(AND($O556=$Q$7,$B556&lt;'111'!$L$11),"x","")</f>
        <v/>
      </c>
      <c r="T556" s="85" t="str">
        <f>IF(ISERROR(FIND('112'!$M$9,G556,1)),"",IF((AND(FIND('112'!$M$9,G556,1)&gt;=1,B556='112'!$K$9,OR($N556='112'!$I$6,$O556='112'!$I$6))),"x",""))</f>
        <v/>
      </c>
      <c r="U556" s="85" t="str">
        <f>IF(ISERROR(FIND('112'!$M$9,G556,1)),"",IF((AND(LEFT(G556,2)=LEFT('112'!$M$9,2),B556&lt;'112'!$K$9,$N556='112'!$I$6)),"x",""))</f>
        <v/>
      </c>
      <c r="V556" s="85" t="str">
        <f>IF(ISERROR(FIND('112'!$M$9,G556,1)),"",IF((AND(RIGHT(G556,2)=RIGHT('112'!$M$9,2),B556&lt;'112'!$K$9,$O556='112'!$I$6)),"x",""))</f>
        <v/>
      </c>
      <c r="W556" s="85" t="str">
        <f>IF(AND('341-CT'!$H$9=H556,OR(LEFT(N556,3)=$W$7,LEFT(O556,3)=$W$7)),"x","")</f>
        <v/>
      </c>
      <c r="X556" s="85" t="str">
        <f>IF(OR(TH!N556=TH!$X$7,O556=TH!$X$7),"x","")</f>
        <v/>
      </c>
      <c r="Y556" s="85" t="str">
        <f>IF(AND(OR(N556="131",O556="131"),H556='131-CT'!$H$9),"x","")</f>
        <v/>
      </c>
      <c r="Z556" s="85"/>
      <c r="AA556" s="85" t="str">
        <f>IF(AND(MONTH(E556)='IN-NX'!$J$5,'IN-NX'!$D$7=D556),"x","")</f>
        <v/>
      </c>
      <c r="AB556" s="85" t="str">
        <f>IF(AND(OR(LEFT(TH!N556,2)="15",LEFT(TH!O556,2)="15"),'152-CT'!$J$8=TH!F556),"x","")</f>
        <v/>
      </c>
      <c r="AC556" s="85" t="str">
        <f>IF(AND(OR(LEFT(TH!N556,2)="15",LEFT(TH!O556,2)="15"),TK!$E$7=TH!F556),"x","")</f>
        <v/>
      </c>
      <c r="AD556" s="85" t="str">
        <f>IF(AND(N556="1521",MONTH(C556)='BK-NL'!$M$11),"x","")</f>
        <v/>
      </c>
    </row>
    <row r="557" spans="1:31" s="358" customFormat="1" ht="15.75" customHeight="1">
      <c r="A557" s="343" t="str">
        <f>IF(B557&lt;&gt;"",IF(AND(B557='IN-TC'!$S$4,OR(TH!N557="1111",TH!O557="1111")),TH!D557,""),"")</f>
        <v/>
      </c>
      <c r="B557" s="63">
        <f t="shared" si="60"/>
        <v>3</v>
      </c>
      <c r="C557" s="320">
        <v>42444</v>
      </c>
      <c r="D557" s="320" t="s">
        <v>709</v>
      </c>
      <c r="E557" s="320">
        <v>42444</v>
      </c>
      <c r="F557" s="67" t="s">
        <v>1207</v>
      </c>
      <c r="G557" s="1000" t="s">
        <v>929</v>
      </c>
      <c r="H557" s="322"/>
      <c r="I557" s="447"/>
      <c r="J557" s="447"/>
      <c r="K557" s="438">
        <v>15</v>
      </c>
      <c r="L557" s="447">
        <v>22295</v>
      </c>
      <c r="M557" s="65">
        <v>334425</v>
      </c>
      <c r="N557" s="323" t="s">
        <v>101</v>
      </c>
      <c r="O557" s="66" t="s">
        <v>267</v>
      </c>
      <c r="P557" s="85" t="str">
        <f>IF(AND('331-CT'!$E$7=TH!H557,OR(N557="331",O557="331")),"x","")</f>
        <v/>
      </c>
      <c r="Q557" s="85" t="str">
        <f>IF(AND(B557='111'!$L$11,OR($N557=$Q$7,$O557=$Q$7)),"x","")</f>
        <v/>
      </c>
      <c r="R557" s="85" t="str">
        <f>IF(AND($N557=$Q$7,$B557&lt;'111'!$L$11),"x","")</f>
        <v/>
      </c>
      <c r="S557" s="85" t="str">
        <f>IF(AND($O557=$Q$7,$B557&lt;'111'!$L$11),"x","")</f>
        <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IF(AND('341-CT'!$H$9=H557,OR(LEFT(N557,3)=$W$7,LEFT(O557,3)=$W$7)),"x","")</f>
        <v/>
      </c>
      <c r="X557" s="85" t="str">
        <f>IF(OR(TH!N557=TH!$X$7,O557=TH!$X$7),"x","")</f>
        <v/>
      </c>
      <c r="Y557" s="85" t="str">
        <f>IF(AND(OR(N557="131",O557="131"),H557='131-CT'!$H$9),"x","")</f>
        <v/>
      </c>
      <c r="Z557" s="85"/>
      <c r="AA557" s="85" t="str">
        <f>IF(AND(MONTH(E557)='IN-NX'!$J$5,'IN-NX'!$D$7=D557),"x","")</f>
        <v/>
      </c>
      <c r="AB557" s="85" t="str">
        <f>IF(AND(OR(LEFT(TH!N557,2)="15",LEFT(TH!O557,2)="15"),'152-CT'!$J$8=TH!F557),"x","")</f>
        <v/>
      </c>
      <c r="AC557" s="85" t="str">
        <f>IF(AND(OR(LEFT(TH!N557,2)="15",LEFT(TH!O557,2)="15"),TK!$E$7=TH!F557),"x","")</f>
        <v/>
      </c>
      <c r="AD557" s="85" t="str">
        <f>IF(AND(N557="1521",MONTH(C557)='BK-NL'!$M$11),"x","")</f>
        <v/>
      </c>
    </row>
    <row r="558" spans="1:31" s="358" customFormat="1" ht="15.75" customHeight="1">
      <c r="A558" s="343" t="str">
        <f>IF(B558&lt;&gt;"",IF(AND(B558='IN-TC'!$S$4,OR(TH!N558="1111",TH!O558="1111")),TH!D558,""),"")</f>
        <v/>
      </c>
      <c r="B558" s="63">
        <f t="shared" si="60"/>
        <v>3</v>
      </c>
      <c r="C558" s="320">
        <v>42444</v>
      </c>
      <c r="D558" s="320" t="s">
        <v>709</v>
      </c>
      <c r="E558" s="320">
        <v>42444</v>
      </c>
      <c r="F558" s="67" t="s">
        <v>1208</v>
      </c>
      <c r="G558" s="1000" t="s">
        <v>929</v>
      </c>
      <c r="H558" s="322"/>
      <c r="I558" s="447"/>
      <c r="J558" s="447"/>
      <c r="K558" s="438">
        <v>1.5</v>
      </c>
      <c r="L558" s="447">
        <v>22295</v>
      </c>
      <c r="M558" s="65">
        <v>33443</v>
      </c>
      <c r="N558" s="323" t="s">
        <v>9</v>
      </c>
      <c r="O558" s="66" t="s">
        <v>267</v>
      </c>
      <c r="P558" s="85" t="str">
        <f>IF(AND('331-CT'!$E$7=TH!H558,OR(N558="331",O558="331")),"x","")</f>
        <v/>
      </c>
      <c r="Q558" s="85" t="str">
        <f>IF(AND(B558='111'!$L$11,OR($N558=$Q$7,$O558=$Q$7)),"x","")</f>
        <v/>
      </c>
      <c r="R558" s="85" t="str">
        <f>IF(AND($N558=$Q$7,$B558&lt;'111'!$L$11),"x","")</f>
        <v/>
      </c>
      <c r="S558" s="85" t="str">
        <f>IF(AND($O558=$Q$7,$B558&lt;'111'!$L$11),"x","")</f>
        <v/>
      </c>
      <c r="T558" s="85" t="str">
        <f>IF(ISERROR(FIND('112'!$M$9,G558,1)),"",IF((AND(FIND('112'!$M$9,G558,1)&gt;=1,B558='112'!$K$9,OR($N558='112'!$I$6,$O558='112'!$I$6))),"x",""))</f>
        <v/>
      </c>
      <c r="U558" s="85" t="str">
        <f>IF(ISERROR(FIND('112'!$M$9,G558,1)),"",IF((AND(LEFT(G558,2)=LEFT('112'!$M$9,2),B558&lt;'112'!$K$9,$N558='112'!$I$6)),"x",""))</f>
        <v/>
      </c>
      <c r="V558" s="85" t="str">
        <f>IF(ISERROR(FIND('112'!$M$9,G558,1)),"",IF((AND(RIGHT(G558,2)=RIGHT('112'!$M$9,2),B558&lt;'112'!$K$9,$O558='112'!$I$6)),"x",""))</f>
        <v/>
      </c>
      <c r="W558" s="85" t="str">
        <f>IF(AND('341-CT'!$H$9=H558,OR(LEFT(N558,3)=$W$7,LEFT(O558,3)=$W$7)),"x","")</f>
        <v/>
      </c>
      <c r="X558" s="85" t="str">
        <f>IF(OR(TH!N558=TH!$X$7,O558=TH!$X$7),"x","")</f>
        <v/>
      </c>
      <c r="Y558" s="85" t="str">
        <f>IF(AND(OR(N558="131",O558="131"),H558='131-CT'!$H$9),"x","")</f>
        <v/>
      </c>
      <c r="Z558" s="85"/>
      <c r="AA558" s="85" t="str">
        <f>IF(AND(MONTH(E558)='IN-NX'!$J$5,'IN-NX'!$D$7=D558),"x","")</f>
        <v/>
      </c>
      <c r="AB558" s="85" t="str">
        <f>IF(AND(OR(LEFT(TH!N558,2)="15",LEFT(TH!O558,2)="15"),'152-CT'!$J$8=TH!F558),"x","")</f>
        <v/>
      </c>
      <c r="AC558" s="85" t="str">
        <f>IF(AND(OR(LEFT(TH!N558,2)="15",LEFT(TH!O558,2)="15"),TK!$E$7=TH!F558),"x","")</f>
        <v/>
      </c>
      <c r="AD558" s="85" t="str">
        <f>IF(AND(N558="1521",MONTH(C558)='BK-NL'!$M$11),"x","")</f>
        <v/>
      </c>
    </row>
    <row r="559" spans="1:31" ht="15.75" customHeight="1">
      <c r="A559" s="343" t="str">
        <f>IF(B559&lt;&gt;"",IF(AND(B559='IN-TC'!$S$4,OR(TH!N559="1111",TH!O559="1111")),TH!D559,""),"")</f>
        <v/>
      </c>
      <c r="B559" s="63">
        <f t="shared" si="60"/>
        <v>3</v>
      </c>
      <c r="C559" s="320">
        <v>42444</v>
      </c>
      <c r="D559" s="320" t="s">
        <v>709</v>
      </c>
      <c r="E559" s="320">
        <v>42444</v>
      </c>
      <c r="F559" s="67" t="s">
        <v>617</v>
      </c>
      <c r="G559" s="1000" t="s">
        <v>929</v>
      </c>
      <c r="H559" s="74"/>
      <c r="I559" s="447"/>
      <c r="J559" s="447"/>
      <c r="K559" s="438">
        <v>10</v>
      </c>
      <c r="L559" s="447">
        <v>22295</v>
      </c>
      <c r="M559" s="65">
        <v>222950</v>
      </c>
      <c r="N559" s="323" t="s">
        <v>101</v>
      </c>
      <c r="O559" s="66" t="s">
        <v>267</v>
      </c>
      <c r="P559" s="85" t="str">
        <f>IF(AND('331-CT'!$E$7=TH!H559,OR(N559="331",O559="331")),"x","")</f>
        <v/>
      </c>
      <c r="Q559" s="85" t="str">
        <f>IF(AND(B559='111'!$L$11,OR($N559=$Q$7,$O559=$Q$7)),"x","")</f>
        <v/>
      </c>
      <c r="R559" s="85" t="str">
        <f>IF(AND($N559=$Q$7,$B559&lt;'111'!$L$11),"x","")</f>
        <v/>
      </c>
      <c r="S559" s="85" t="str">
        <f>IF(AND($O559=$Q$7,$B559&lt;'111'!$L$11),"x","")</f>
        <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IF(AND('341-CT'!$H$9=H559,OR(LEFT(N559,3)=$W$7,LEFT(O559,3)=$W$7)),"x","")</f>
        <v/>
      </c>
      <c r="X559" s="85" t="str">
        <f>IF(OR(TH!N559=TH!$X$7,O559=TH!$X$7),"x","")</f>
        <v/>
      </c>
      <c r="Y559" s="85" t="str">
        <f>IF(AND(OR(N559="131",O559="131"),H559='131-CT'!$H$9),"x","")</f>
        <v/>
      </c>
      <c r="Z559" s="85"/>
      <c r="AA559" s="85" t="str">
        <f>IF(AND(MONTH(E559)='IN-NX'!$J$5,'IN-NX'!$D$7=D559),"x","")</f>
        <v/>
      </c>
      <c r="AB559" s="85" t="str">
        <f>IF(AND(OR(LEFT(TH!N559,2)="15",LEFT(TH!O559,2)="15"),'152-CT'!$J$8=TH!F559),"x","")</f>
        <v/>
      </c>
      <c r="AC559" s="85" t="str">
        <f>IF(AND(OR(LEFT(TH!N559,2)="15",LEFT(TH!O559,2)="15"),TK!$E$7=TH!F559),"x","")</f>
        <v/>
      </c>
      <c r="AD559" s="85" t="str">
        <f>IF(AND(N559="1521",MONTH(C559)='BK-NL'!$M$11),"x","")</f>
        <v/>
      </c>
      <c r="AE559" s="358"/>
    </row>
    <row r="560" spans="1:31" ht="15.75" customHeight="1">
      <c r="A560" s="343" t="str">
        <f>IF(B560&lt;&gt;"",IF(AND(B560='IN-TC'!$S$4,OR(TH!N560="1111",TH!O560="1111")),TH!D560,""),"")</f>
        <v/>
      </c>
      <c r="B560" s="63">
        <f t="shared" si="60"/>
        <v>3</v>
      </c>
      <c r="C560" s="320">
        <v>42444</v>
      </c>
      <c r="D560" s="320" t="s">
        <v>709</v>
      </c>
      <c r="E560" s="320">
        <v>42444</v>
      </c>
      <c r="F560" s="67" t="s">
        <v>1209</v>
      </c>
      <c r="G560" s="1000" t="s">
        <v>929</v>
      </c>
      <c r="H560" s="74"/>
      <c r="I560" s="447"/>
      <c r="J560" s="447"/>
      <c r="K560" s="438">
        <v>1</v>
      </c>
      <c r="L560" s="447">
        <v>22295</v>
      </c>
      <c r="M560" s="65">
        <v>22295</v>
      </c>
      <c r="N560" s="323" t="s">
        <v>9</v>
      </c>
      <c r="O560" s="66" t="s">
        <v>267</v>
      </c>
      <c r="P560" s="85" t="str">
        <f>IF(AND('331-CT'!$E$7=TH!H560,OR(N560="331",O560="331")),"x","")</f>
        <v/>
      </c>
      <c r="Q560" s="85" t="str">
        <f>IF(AND(B560='111'!$L$11,OR($N560=$Q$7,$O560=$Q$7)),"x","")</f>
        <v/>
      </c>
      <c r="R560" s="85" t="str">
        <f>IF(AND($N560=$Q$7,$B560&lt;'111'!$L$11),"x","")</f>
        <v/>
      </c>
      <c r="S560" s="85" t="str">
        <f>IF(AND($O560=$Q$7,$B560&lt;'111'!$L$11),"x","")</f>
        <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IF(AND('341-CT'!$H$9=H560,OR(LEFT(N560,3)=$W$7,LEFT(O560,3)=$W$7)),"x","")</f>
        <v/>
      </c>
      <c r="X560" s="85" t="str">
        <f>IF(OR(TH!N560=TH!$X$7,O560=TH!$X$7),"x","")</f>
        <v/>
      </c>
      <c r="Y560" s="85" t="str">
        <f>IF(AND(OR(N560="131",O560="131"),H560='131-CT'!$H$9),"x","")</f>
        <v/>
      </c>
      <c r="Z560" s="85"/>
      <c r="AA560" s="85" t="str">
        <f>IF(AND(MONTH(E560)='IN-NX'!$J$5,'IN-NX'!$D$7=D560),"x","")</f>
        <v/>
      </c>
      <c r="AB560" s="85" t="str">
        <f>IF(AND(OR(LEFT(TH!N560,2)="15",LEFT(TH!O560,2)="15"),'152-CT'!$J$8=TH!F560),"x","")</f>
        <v/>
      </c>
      <c r="AC560" s="85" t="str">
        <f>IF(AND(OR(LEFT(TH!N560,2)="15",LEFT(TH!O560,2)="15"),TK!$E$7=TH!F560),"x","")</f>
        <v/>
      </c>
      <c r="AD560" s="85" t="str">
        <f>IF(AND(N560="1521",MONTH(C560)='BK-NL'!$M$11),"x","")</f>
        <v/>
      </c>
      <c r="AE560" s="358"/>
    </row>
    <row r="561" spans="1:31" ht="15.75" customHeight="1">
      <c r="A561" s="343" t="str">
        <f>IF(B561&lt;&gt;"",IF(AND(B561='IN-TC'!$S$4,OR(TH!N561="1111",TH!O561="1111")),TH!D561,""),"")</f>
        <v/>
      </c>
      <c r="B561" s="63">
        <f t="shared" si="60"/>
        <v>3</v>
      </c>
      <c r="C561" s="320">
        <v>42444</v>
      </c>
      <c r="D561" s="320" t="s">
        <v>709</v>
      </c>
      <c r="E561" s="320">
        <v>42444</v>
      </c>
      <c r="F561" s="321" t="s">
        <v>1210</v>
      </c>
      <c r="G561" s="1000" t="s">
        <v>929</v>
      </c>
      <c r="H561" s="322"/>
      <c r="I561" s="447"/>
      <c r="J561" s="447"/>
      <c r="K561" s="438">
        <v>31.64</v>
      </c>
      <c r="L561" s="447">
        <v>22295</v>
      </c>
      <c r="M561" s="65">
        <v>705414</v>
      </c>
      <c r="N561" s="323" t="s">
        <v>101</v>
      </c>
      <c r="O561" s="66" t="s">
        <v>267</v>
      </c>
      <c r="P561" s="85" t="str">
        <f>IF(AND('331-CT'!$E$7=TH!H561,OR(N561="331",O561="331")),"x","")</f>
        <v/>
      </c>
      <c r="Q561" s="85" t="str">
        <f>IF(AND(B561='111'!$L$11,OR($N561=$Q$7,$O561=$Q$7)),"x","")</f>
        <v/>
      </c>
      <c r="R561" s="85" t="str">
        <f>IF(AND($N561=$Q$7,$B561&lt;'111'!$L$11),"x","")</f>
        <v/>
      </c>
      <c r="S561" s="85" t="str">
        <f>IF(AND($O561=$Q$7,$B561&lt;'111'!$L$11),"x","")</f>
        <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IF(AND('341-CT'!$H$9=H561,OR(LEFT(N561,3)=$W$7,LEFT(O561,3)=$W$7)),"x","")</f>
        <v/>
      </c>
      <c r="X561" s="85" t="str">
        <f>IF(OR(TH!N561=TH!$X$7,O561=TH!$X$7),"x","")</f>
        <v/>
      </c>
      <c r="Y561" s="85" t="str">
        <f>IF(AND(OR(N561="131",O561="131"),H561='131-CT'!$H$9),"x","")</f>
        <v/>
      </c>
      <c r="Z561" s="85"/>
      <c r="AA561" s="85" t="str">
        <f>IF(AND(MONTH(E561)='IN-NX'!$J$5,'IN-NX'!$D$7=D561),"x","")</f>
        <v/>
      </c>
      <c r="AB561" s="85" t="str">
        <f>IF(AND(OR(LEFT(TH!N561,2)="15",LEFT(TH!O561,2)="15"),'152-CT'!$J$8=TH!F561),"x","")</f>
        <v/>
      </c>
      <c r="AC561" s="85" t="str">
        <f>IF(AND(OR(LEFT(TH!N561,2)="15",LEFT(TH!O561,2)="15"),TK!$E$7=TH!F561),"x","")</f>
        <v/>
      </c>
      <c r="AD561" s="85" t="str">
        <f>IF(AND(N561="1521",MONTH(C561)='BK-NL'!$M$11),"x","")</f>
        <v/>
      </c>
      <c r="AE561" s="358"/>
    </row>
    <row r="562" spans="1:31" ht="15.75" customHeight="1">
      <c r="A562" s="343" t="str">
        <f>IF(B562&lt;&gt;"",IF(AND(B562='IN-TC'!$S$4,OR(TH!N562="1111",TH!O562="1111")),TH!D562,""),"")</f>
        <v/>
      </c>
      <c r="B562" s="63">
        <f t="shared" si="60"/>
        <v>3</v>
      </c>
      <c r="C562" s="64">
        <v>42444</v>
      </c>
      <c r="D562" s="320" t="s">
        <v>709</v>
      </c>
      <c r="E562" s="64">
        <v>42444</v>
      </c>
      <c r="F562" s="67" t="s">
        <v>1211</v>
      </c>
      <c r="G562" s="1000" t="s">
        <v>929</v>
      </c>
      <c r="H562" s="74"/>
      <c r="I562" s="447"/>
      <c r="J562" s="447"/>
      <c r="K562" s="438">
        <v>3.16</v>
      </c>
      <c r="L562" s="447">
        <v>22295</v>
      </c>
      <c r="M562" s="65">
        <v>70452</v>
      </c>
      <c r="N562" s="66" t="s">
        <v>9</v>
      </c>
      <c r="O562" s="66" t="s">
        <v>267</v>
      </c>
      <c r="P562" s="85" t="str">
        <f>IF(AND('331-CT'!$E$7=TH!H562,OR(N562="331",O562="331")),"x","")</f>
        <v/>
      </c>
      <c r="Q562" s="85" t="str">
        <f>IF(AND(B562='111'!$L$11,OR($N562=$Q$7,$O562=$Q$7)),"x","")</f>
        <v/>
      </c>
      <c r="R562" s="85" t="str">
        <f>IF(AND($N562=$Q$7,$B562&lt;'111'!$L$11),"x","")</f>
        <v/>
      </c>
      <c r="S562" s="85" t="str">
        <f>IF(AND($O562=$Q$7,$B562&lt;'111'!$L$11),"x","")</f>
        <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
      </c>
      <c r="W562" s="85" t="str">
        <f>IF(AND('341-CT'!$H$9=H562,OR(LEFT(N562,3)=$W$7,LEFT(O562,3)=$W$7)),"x","")</f>
        <v/>
      </c>
      <c r="X562" s="85" t="str">
        <f>IF(OR(TH!N562=TH!$X$7,O562=TH!$X$7),"x","")</f>
        <v/>
      </c>
      <c r="Y562" s="85" t="str">
        <f>IF(AND(OR(N562="131",O562="131"),H562='131-CT'!$H$9),"x","")</f>
        <v/>
      </c>
      <c r="Z562" s="85"/>
      <c r="AA562" s="85" t="str">
        <f>IF(AND(MONTH(E562)='IN-NX'!$J$5,'IN-NX'!$D$7=D562),"x","")</f>
        <v/>
      </c>
      <c r="AB562" s="85" t="str">
        <f>IF(AND(OR(LEFT(TH!N562,2)="15",LEFT(TH!O562,2)="15"),'152-CT'!$J$8=TH!F562),"x","")</f>
        <v/>
      </c>
      <c r="AC562" s="85" t="str">
        <f>IF(AND(OR(LEFT(TH!N562,2)="15",LEFT(TH!O562,2)="15"),TK!$E$7=TH!F562),"x","")</f>
        <v/>
      </c>
      <c r="AD562" s="85" t="str">
        <f>IF(AND(N562="1521",MONTH(C562)='BK-NL'!$M$11),"x","")</f>
        <v/>
      </c>
    </row>
    <row r="563" spans="1:31" ht="15.75" customHeight="1">
      <c r="A563" s="343" t="str">
        <f>IF(B563&lt;&gt;"",IF(AND(B563='IN-TC'!$S$4,OR(TH!N563="1111",TH!O563="1111")),TH!D563,""),"")</f>
        <v/>
      </c>
      <c r="B563" s="63">
        <f t="shared" si="60"/>
        <v>3</v>
      </c>
      <c r="C563" s="64">
        <v>42444</v>
      </c>
      <c r="D563" s="320" t="s">
        <v>709</v>
      </c>
      <c r="E563" s="64">
        <v>42444</v>
      </c>
      <c r="F563" s="67" t="s">
        <v>1217</v>
      </c>
      <c r="G563" s="1000" t="s">
        <v>931</v>
      </c>
      <c r="H563" s="74"/>
      <c r="I563" s="447"/>
      <c r="J563" s="447"/>
      <c r="K563" s="438"/>
      <c r="L563" s="447"/>
      <c r="M563" s="65">
        <v>310000000</v>
      </c>
      <c r="N563" s="66" t="s">
        <v>26</v>
      </c>
      <c r="O563" s="66" t="s">
        <v>26</v>
      </c>
      <c r="P563" s="85" t="str">
        <f>IF(AND('331-CT'!$E$7=TH!H563,OR(N563="331",O563="331")),"x","")</f>
        <v/>
      </c>
      <c r="Q563" s="85" t="str">
        <f>IF(AND(B563='111'!$L$11,OR($N563=$Q$7,$O563=$Q$7)),"x","")</f>
        <v/>
      </c>
      <c r="R563" s="85" t="str">
        <f>IF(AND($N563=$Q$7,$B563&lt;'111'!$L$11),"x","")</f>
        <v/>
      </c>
      <c r="S563" s="85" t="str">
        <f>IF(AND($O563=$Q$7,$B563&lt;'111'!$L$11),"x","")</f>
        <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IF(AND('341-CT'!$H$9=H563,OR(LEFT(N563,3)=$W$7,LEFT(O563,3)=$W$7)),"x","")</f>
        <v/>
      </c>
      <c r="X563" s="85" t="str">
        <f>IF(OR(TH!N563=TH!$X$7,O563=TH!$X$7),"x","")</f>
        <v/>
      </c>
      <c r="Y563" s="85" t="str">
        <f>IF(AND(OR(N563="131",O563="131"),H563='131-CT'!$H$9),"x","")</f>
        <v/>
      </c>
      <c r="Z563" s="85"/>
      <c r="AA563" s="85" t="str">
        <f>IF(AND(MONTH(E563)='IN-NX'!$J$5,'IN-NX'!$D$7=D563),"x","")</f>
        <v/>
      </c>
      <c r="AB563" s="85" t="str">
        <f>IF(AND(OR(LEFT(TH!N563,2)="15",LEFT(TH!O563,2)="15"),'152-CT'!$J$8=TH!F563),"x","")</f>
        <v/>
      </c>
      <c r="AC563" s="85" t="str">
        <f>IF(AND(OR(LEFT(TH!N563,2)="15",LEFT(TH!O563,2)="15"),TK!$E$7=TH!F563),"x","")</f>
        <v/>
      </c>
      <c r="AD563" s="85" t="str">
        <f>IF(AND(N563="1521",MONTH(C563)='BK-NL'!$M$11),"x","")</f>
        <v/>
      </c>
    </row>
    <row r="564" spans="1:31" ht="15.75" customHeight="1">
      <c r="A564" s="343" t="str">
        <f>IF(B564&lt;&gt;"",IF(AND(B564='IN-TC'!$S$4,OR(TH!N564="1111",TH!O564="1111")),TH!D564,""),"")</f>
        <v/>
      </c>
      <c r="B564" s="63">
        <f t="shared" si="60"/>
        <v>3</v>
      </c>
      <c r="C564" s="64">
        <v>42444</v>
      </c>
      <c r="D564" s="320" t="s">
        <v>709</v>
      </c>
      <c r="E564" s="64">
        <v>42444</v>
      </c>
      <c r="F564" s="67" t="s">
        <v>1212</v>
      </c>
      <c r="G564" s="67" t="s">
        <v>929</v>
      </c>
      <c r="H564" s="7" t="s">
        <v>740</v>
      </c>
      <c r="I564" s="447"/>
      <c r="J564" s="447"/>
      <c r="K564" s="438">
        <v>106.36998207885304</v>
      </c>
      <c r="L564" s="447">
        <v>22320</v>
      </c>
      <c r="M564" s="65">
        <v>2374178</v>
      </c>
      <c r="N564" s="66" t="s">
        <v>99</v>
      </c>
      <c r="O564" s="66" t="s">
        <v>26</v>
      </c>
      <c r="P564" s="85" t="str">
        <f>IF(AND('331-CT'!$E$7=TH!H564,OR(N564="331",O564="331")),"x","")</f>
        <v/>
      </c>
      <c r="Q564" s="85" t="str">
        <f>IF(AND(B564='111'!$L$11,OR($N564=$Q$7,$O564=$Q$7)),"x","")</f>
        <v/>
      </c>
      <c r="R564" s="85" t="str">
        <f>IF(AND($N564=$Q$7,$B564&lt;'111'!$L$11),"x","")</f>
        <v/>
      </c>
      <c r="S564" s="85" t="str">
        <f>IF(AND($O564=$Q$7,$B564&lt;'111'!$L$11),"x","")</f>
        <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IF(AND('341-CT'!$H$9=H564,OR(LEFT(N564,3)=$W$7,LEFT(O564,3)=$W$7)),"x","")</f>
        <v/>
      </c>
      <c r="X564" s="85" t="str">
        <f>IF(OR(TH!N564=TH!$X$7,O564=TH!$X$7),"x","")</f>
        <v/>
      </c>
      <c r="Y564" s="85" t="str">
        <f>IF(AND(OR(N564="131",O564="131"),H564='131-CT'!$H$9),"x","")</f>
        <v/>
      </c>
      <c r="Z564" s="85"/>
      <c r="AA564" s="85" t="str">
        <f>IF(AND(MONTH(E564)='IN-NX'!$J$5,'IN-NX'!$D$7=D564),"x","")</f>
        <v/>
      </c>
      <c r="AB564" s="85" t="str">
        <f>IF(AND(OR(LEFT(TH!N564,2)="15",LEFT(TH!O564,2)="15"),'152-CT'!$J$8=TH!F564),"x","")</f>
        <v/>
      </c>
      <c r="AC564" s="85" t="str">
        <f>IF(AND(OR(LEFT(TH!N564,2)="15",LEFT(TH!O564,2)="15"),TK!$E$7=TH!F564),"x","")</f>
        <v/>
      </c>
      <c r="AD564" s="85" t="str">
        <f>IF(AND(N564="1521",MONTH(C564)='BK-NL'!$M$11),"x","")</f>
        <v/>
      </c>
    </row>
    <row r="565" spans="1:31" ht="15.75" customHeight="1">
      <c r="A565" s="343" t="str">
        <f>IF(B565&lt;&gt;"",IF(AND(B565='IN-TC'!$S$4,OR(TH!N565="1111",TH!O565="1111")),TH!D565,""),"")</f>
        <v/>
      </c>
      <c r="B565" s="63">
        <f t="shared" si="60"/>
        <v>3</v>
      </c>
      <c r="C565" s="64">
        <v>42444</v>
      </c>
      <c r="D565" s="320" t="s">
        <v>709</v>
      </c>
      <c r="E565" s="64">
        <v>42444</v>
      </c>
      <c r="F565" s="67" t="s">
        <v>1226</v>
      </c>
      <c r="G565" s="67" t="s">
        <v>930</v>
      </c>
      <c r="H565" s="74" t="s">
        <v>633</v>
      </c>
      <c r="I565" s="447"/>
      <c r="J565" s="447"/>
      <c r="K565" s="438"/>
      <c r="L565" s="447"/>
      <c r="M565" s="65">
        <v>5737000</v>
      </c>
      <c r="N565" s="66" t="s">
        <v>8</v>
      </c>
      <c r="O565" s="66" t="s">
        <v>26</v>
      </c>
      <c r="P565" s="85" t="str">
        <f>IF(AND('331-CT'!$E$7=TH!H565,OR(N565="331",O565="331")),"x","")</f>
        <v/>
      </c>
      <c r="Q565" s="85" t="str">
        <f>IF(AND(B565='111'!$L$11,OR($N565=$Q$7,$O565=$Q$7)),"x","")</f>
        <v/>
      </c>
      <c r="R565" s="85" t="str">
        <f>IF(AND($N565=$Q$7,$B565&lt;'111'!$L$11),"x","")</f>
        <v/>
      </c>
      <c r="S565" s="85" t="str">
        <f>IF(AND($O565=$Q$7,$B565&lt;'111'!$L$11),"x","")</f>
        <v/>
      </c>
      <c r="T565" s="85" t="str">
        <f>IF(ISERROR(FIND('112'!$M$9,G565,1)),"",IF((AND(FIND('112'!$M$9,G565,1)&gt;=1,B565='112'!$K$9,OR($N565='112'!$I$6,$O565='112'!$I$6))),"x",""))</f>
        <v/>
      </c>
      <c r="U565" s="85" t="str">
        <f>IF(ISERROR(FIND('112'!$M$9,G565,1)),"",IF((AND(LEFT(G565,2)=LEFT('112'!$M$9,2),B565&lt;'112'!$K$9,$N565='112'!$I$6)),"x",""))</f>
        <v/>
      </c>
      <c r="V565" s="85" t="str">
        <f>IF(ISERROR(FIND('112'!$M$9,G565,1)),"",IF((AND(RIGHT(G565,2)=RIGHT('112'!$M$9,2),B565&lt;'112'!$K$9,$O565='112'!$I$6)),"x",""))</f>
        <v/>
      </c>
      <c r="W565" s="85" t="str">
        <f>IF(AND('341-CT'!$H$9=H565,OR(LEFT(N565,3)=$W$7,LEFT(O565,3)=$W$7)),"x","")</f>
        <v/>
      </c>
      <c r="X565" s="85" t="str">
        <f>IF(OR(TH!N565=TH!$X$7,O565=TH!$X$7),"x","")</f>
        <v/>
      </c>
      <c r="Y565" s="85" t="str">
        <f>IF(AND(OR(N565="131",O565="131"),H565='131-CT'!$H$9),"x","")</f>
        <v/>
      </c>
      <c r="Z565" s="85"/>
      <c r="AA565" s="85" t="str">
        <f>IF(AND(MONTH(E565)='IN-NX'!$J$5,'IN-NX'!$D$7=D565),"x","")</f>
        <v/>
      </c>
      <c r="AB565" s="85" t="str">
        <f>IF(AND(OR(LEFT(TH!N565,2)="15",LEFT(TH!O565,2)="15"),'152-CT'!$J$8=TH!F565),"x","")</f>
        <v/>
      </c>
      <c r="AC565" s="85" t="str">
        <f>IF(AND(OR(LEFT(TH!N565,2)="15",LEFT(TH!O565,2)="15"),TK!$E$7=TH!F565),"x","")</f>
        <v/>
      </c>
      <c r="AD565" s="85" t="str">
        <f>IF(AND(N565="1521",MONTH(C565)='BK-NL'!$M$11),"x","")</f>
        <v/>
      </c>
    </row>
    <row r="566" spans="1:31" ht="15.75" customHeight="1">
      <c r="A566" s="343" t="str">
        <f>IF(B566&lt;&gt;"",IF(AND(B566='IN-TC'!$S$4,OR(TH!N566="1111",TH!O566="1111")),TH!D566,""),"")</f>
        <v/>
      </c>
      <c r="B566" s="63">
        <f t="shared" si="60"/>
        <v>3</v>
      </c>
      <c r="C566" s="64">
        <v>42444</v>
      </c>
      <c r="D566" s="320" t="s">
        <v>709</v>
      </c>
      <c r="E566" s="64">
        <v>42444</v>
      </c>
      <c r="F566" s="67" t="s">
        <v>1215</v>
      </c>
      <c r="G566" s="67" t="s">
        <v>930</v>
      </c>
      <c r="H566" s="74"/>
      <c r="I566" s="447"/>
      <c r="J566" s="447"/>
      <c r="K566" s="438"/>
      <c r="L566" s="447"/>
      <c r="M566" s="65">
        <v>20000</v>
      </c>
      <c r="N566" s="66" t="s">
        <v>101</v>
      </c>
      <c r="O566" s="66" t="s">
        <v>26</v>
      </c>
      <c r="P566" s="85" t="str">
        <f>IF(AND('331-CT'!$E$7=TH!H566,OR(N566="331",O566="331")),"x","")</f>
        <v/>
      </c>
      <c r="Q566" s="85" t="str">
        <f>IF(AND(B566='111'!$L$11,OR($N566=$Q$7,$O566=$Q$7)),"x","")</f>
        <v/>
      </c>
      <c r="R566" s="85" t="str">
        <f>IF(AND($N566=$Q$7,$B566&lt;'111'!$L$11),"x","")</f>
        <v/>
      </c>
      <c r="S566" s="85" t="str">
        <f>IF(AND($O566=$Q$7,$B566&lt;'111'!$L$11),"x","")</f>
        <v/>
      </c>
      <c r="T566" s="85" t="str">
        <f>IF(ISERROR(FIND('112'!$M$9,G566,1)),"",IF((AND(FIND('112'!$M$9,G566,1)&gt;=1,B566='112'!$K$9,OR($N566='112'!$I$6,$O566='112'!$I$6))),"x",""))</f>
        <v/>
      </c>
      <c r="U566" s="85" t="str">
        <f>IF(ISERROR(FIND('112'!$M$9,G566,1)),"",IF((AND(LEFT(G566,2)=LEFT('112'!$M$9,2),B566&lt;'112'!$K$9,$N566='112'!$I$6)),"x",""))</f>
        <v/>
      </c>
      <c r="V566" s="85" t="str">
        <f>IF(ISERROR(FIND('112'!$M$9,G566,1)),"",IF((AND(RIGHT(G566,2)=RIGHT('112'!$M$9,2),B566&lt;'112'!$K$9,$O566='112'!$I$6)),"x",""))</f>
        <v/>
      </c>
      <c r="W566" s="85" t="str">
        <f>IF(AND('341-CT'!$H$9=H566,OR(LEFT(N566,3)=$W$7,LEFT(O566,3)=$W$7)),"x","")</f>
        <v/>
      </c>
      <c r="X566" s="85" t="str">
        <f>IF(OR(TH!N566=TH!$X$7,O566=TH!$X$7),"x","")</f>
        <v/>
      </c>
      <c r="Y566" s="85" t="str">
        <f>IF(AND(OR(N566="131",O566="131"),H566='131-CT'!$H$9),"x","")</f>
        <v/>
      </c>
      <c r="Z566" s="85"/>
      <c r="AA566" s="85" t="str">
        <f>IF(AND(MONTH(E566)='IN-NX'!$J$5,'IN-NX'!$D$7=D566),"x","")</f>
        <v/>
      </c>
      <c r="AB566" s="85" t="str">
        <f>IF(AND(OR(LEFT(TH!N566,2)="15",LEFT(TH!O566,2)="15"),'152-CT'!$J$8=TH!F566),"x","")</f>
        <v/>
      </c>
      <c r="AC566" s="85" t="str">
        <f>IF(AND(OR(LEFT(TH!N566,2)="15",LEFT(TH!O566,2)="15"),TK!$E$7=TH!F566),"x","")</f>
        <v/>
      </c>
      <c r="AD566" s="85" t="str">
        <f>IF(AND(N566="1521",MONTH(C566)='BK-NL'!$M$11),"x","")</f>
        <v/>
      </c>
    </row>
    <row r="567" spans="1:31" ht="15.75" customHeight="1">
      <c r="A567" s="343" t="str">
        <f>IF(B567&lt;&gt;"",IF(AND(B567='IN-TC'!$S$4,OR(TH!N567="1111",TH!O567="1111")),TH!D567,""),"")</f>
        <v/>
      </c>
      <c r="B567" s="63">
        <f t="shared" si="60"/>
        <v>3</v>
      </c>
      <c r="C567" s="64">
        <v>42444</v>
      </c>
      <c r="D567" s="320" t="s">
        <v>709</v>
      </c>
      <c r="E567" s="64">
        <v>42444</v>
      </c>
      <c r="F567" s="67" t="s">
        <v>1216</v>
      </c>
      <c r="G567" s="67" t="s">
        <v>930</v>
      </c>
      <c r="H567" s="7"/>
      <c r="I567" s="447"/>
      <c r="J567" s="447"/>
      <c r="K567" s="438"/>
      <c r="L567" s="447"/>
      <c r="M567" s="65">
        <v>2000</v>
      </c>
      <c r="N567" s="66" t="s">
        <v>9</v>
      </c>
      <c r="O567" s="66" t="s">
        <v>26</v>
      </c>
      <c r="P567" s="85" t="str">
        <f>IF(AND('331-CT'!$E$7=TH!H567,OR(N567="331",O567="331")),"x","")</f>
        <v/>
      </c>
      <c r="Q567" s="85" t="str">
        <f>IF(AND(B567='111'!$L$11,OR($N567=$Q$7,$O567=$Q$7)),"x","")</f>
        <v/>
      </c>
      <c r="R567" s="85" t="str">
        <f>IF(AND($N567=$Q$7,$B567&lt;'111'!$L$11),"x","")</f>
        <v/>
      </c>
      <c r="S567" s="85" t="str">
        <f>IF(AND($O567=$Q$7,$B567&lt;'111'!$L$11),"x","")</f>
        <v/>
      </c>
      <c r="T567" s="85" t="str">
        <f>IF(ISERROR(FIND('112'!$M$9,G567,1)),"",IF((AND(FIND('112'!$M$9,G567,1)&gt;=1,B567='112'!$K$9,OR($N567='112'!$I$6,$O567='112'!$I$6))),"x",""))</f>
        <v/>
      </c>
      <c r="U567" s="85" t="str">
        <f>IF(ISERROR(FIND('112'!$M$9,G567,1)),"",IF((AND(LEFT(G567,2)=LEFT('112'!$M$9,2),B567&lt;'112'!$K$9,$N567='112'!$I$6)),"x",""))</f>
        <v/>
      </c>
      <c r="V567" s="85" t="str">
        <f>IF(ISERROR(FIND('112'!$M$9,G567,1)),"",IF((AND(RIGHT(G567,2)=RIGHT('112'!$M$9,2),B567&lt;'112'!$K$9,$O567='112'!$I$6)),"x",""))</f>
        <v/>
      </c>
      <c r="W567" s="85" t="str">
        <f>IF(AND('341-CT'!$H$9=H567,OR(LEFT(N567,3)=$W$7,LEFT(O567,3)=$W$7)),"x","")</f>
        <v/>
      </c>
      <c r="X567" s="85" t="str">
        <f>IF(OR(TH!N567=TH!$X$7,O567=TH!$X$7),"x","")</f>
        <v/>
      </c>
      <c r="Y567" s="85" t="str">
        <f>IF(AND(OR(N567="131",O567="131"),H567='131-CT'!$H$9),"x","")</f>
        <v/>
      </c>
      <c r="Z567" s="85"/>
      <c r="AA567" s="85" t="str">
        <f>IF(AND(MONTH(E567)='IN-NX'!$J$5,'IN-NX'!$D$7=D567),"x","")</f>
        <v/>
      </c>
      <c r="AB567" s="85" t="str">
        <f>IF(AND(OR(LEFT(TH!N567,2)="15",LEFT(TH!O567,2)="15"),'152-CT'!$J$8=TH!F567),"x","")</f>
        <v/>
      </c>
      <c r="AC567" s="85" t="str">
        <f>IF(AND(OR(LEFT(TH!N567,2)="15",LEFT(TH!O567,2)="15"),TK!$E$7=TH!F567),"x","")</f>
        <v/>
      </c>
      <c r="AD567" s="85" t="str">
        <f>IF(AND(N567="1521",MONTH(C567)='BK-NL'!$M$11),"x","")</f>
        <v/>
      </c>
    </row>
    <row r="568" spans="1:31" ht="15.75" customHeight="1">
      <c r="A568" s="343" t="str">
        <f>IF(B568&lt;&gt;"",IF(AND(B568='IN-TC'!$S$4,OR(TH!N568="1111",TH!O568="1111")),TH!D568,""),"")</f>
        <v/>
      </c>
      <c r="B568" s="63">
        <f t="shared" si="60"/>
        <v>3</v>
      </c>
      <c r="C568" s="64">
        <v>42444</v>
      </c>
      <c r="D568" s="320" t="s">
        <v>709</v>
      </c>
      <c r="E568" s="64">
        <v>42444</v>
      </c>
      <c r="F568" s="67" t="s">
        <v>1226</v>
      </c>
      <c r="G568" s="67" t="s">
        <v>930</v>
      </c>
      <c r="H568" s="74" t="s">
        <v>633</v>
      </c>
      <c r="I568" s="447"/>
      <c r="J568" s="447"/>
      <c r="K568" s="438"/>
      <c r="L568" s="447"/>
      <c r="M568" s="65">
        <v>480000</v>
      </c>
      <c r="N568" s="66" t="s">
        <v>8</v>
      </c>
      <c r="O568" s="66" t="s">
        <v>26</v>
      </c>
      <c r="P568" s="85" t="str">
        <f>IF(AND('331-CT'!$E$7=TH!H568,OR(N568="331",O568="331")),"x","")</f>
        <v/>
      </c>
      <c r="Q568" s="85" t="str">
        <f>IF(AND(B568='111'!$L$11,OR($N568=$Q$7,$O568=$Q$7)),"x","")</f>
        <v/>
      </c>
      <c r="R568" s="85" t="str">
        <f>IF(AND($N568=$Q$7,$B568&lt;'111'!$L$11),"x","")</f>
        <v/>
      </c>
      <c r="S568" s="85" t="str">
        <f>IF(AND($O568=$Q$7,$B568&lt;'111'!$L$11),"x","")</f>
        <v/>
      </c>
      <c r="T568" s="85" t="str">
        <f>IF(ISERROR(FIND('112'!$M$9,G568,1)),"",IF((AND(FIND('112'!$M$9,G568,1)&gt;=1,B568='112'!$K$9,OR($N568='112'!$I$6,$O568='112'!$I$6))),"x",""))</f>
        <v/>
      </c>
      <c r="U568" s="85" t="str">
        <f>IF(ISERROR(FIND('112'!$M$9,G568,1)),"",IF((AND(LEFT(G568,2)=LEFT('112'!$M$9,2),B568&lt;'112'!$K$9,$N568='112'!$I$6)),"x",""))</f>
        <v/>
      </c>
      <c r="V568" s="85" t="str">
        <f>IF(ISERROR(FIND('112'!$M$9,G568,1)),"",IF((AND(RIGHT(G568,2)=RIGHT('112'!$M$9,2),B568&lt;'112'!$K$9,$O568='112'!$I$6)),"x",""))</f>
        <v/>
      </c>
      <c r="W568" s="85" t="str">
        <f>IF(AND('341-CT'!$H$9=H568,OR(LEFT(N568,3)=$W$7,LEFT(O568,3)=$W$7)),"x","")</f>
        <v/>
      </c>
      <c r="X568" s="85" t="str">
        <f>IF(OR(TH!N568=TH!$X$7,O568=TH!$X$7),"x","")</f>
        <v/>
      </c>
      <c r="Y568" s="85" t="str">
        <f>IF(AND(OR(N568="131",O568="131"),H568='131-CT'!$H$9),"x","")</f>
        <v/>
      </c>
      <c r="Z568" s="85"/>
      <c r="AA568" s="85" t="str">
        <f>IF(AND(MONTH(E568)='IN-NX'!$J$5,'IN-NX'!$D$7=D568),"x","")</f>
        <v/>
      </c>
      <c r="AB568" s="85" t="str">
        <f>IF(AND(OR(LEFT(TH!N568,2)="15",LEFT(TH!O568,2)="15"),'152-CT'!$J$8=TH!F568),"x","")</f>
        <v/>
      </c>
      <c r="AC568" s="85" t="str">
        <f>IF(AND(OR(LEFT(TH!N568,2)="15",LEFT(TH!O568,2)="15"),TK!$E$7=TH!F568),"x","")</f>
        <v/>
      </c>
      <c r="AD568" s="85" t="str">
        <f>IF(AND(N568="1521",MONTH(C568)='BK-NL'!$M$11),"x","")</f>
        <v/>
      </c>
    </row>
    <row r="569" spans="1:31" ht="15.75" customHeight="1">
      <c r="A569" s="343" t="str">
        <f>IF(B569&lt;&gt;"",IF(AND(B569='IN-TC'!$S$4,OR(TH!N569="1111",TH!O569="1111")),TH!D569,""),"")</f>
        <v/>
      </c>
      <c r="B569" s="63">
        <f t="shared" si="60"/>
        <v>3</v>
      </c>
      <c r="C569" s="64">
        <v>42444</v>
      </c>
      <c r="D569" s="320" t="s">
        <v>709</v>
      </c>
      <c r="E569" s="64">
        <v>42444</v>
      </c>
      <c r="F569" s="67" t="s">
        <v>1215</v>
      </c>
      <c r="G569" s="67" t="s">
        <v>930</v>
      </c>
      <c r="H569" s="74"/>
      <c r="I569" s="447"/>
      <c r="J569" s="447"/>
      <c r="K569" s="438"/>
      <c r="L569" s="447"/>
      <c r="M569" s="65">
        <v>20000</v>
      </c>
      <c r="N569" s="66" t="s">
        <v>101</v>
      </c>
      <c r="O569" s="66" t="s">
        <v>26</v>
      </c>
      <c r="P569" s="85" t="str">
        <f>IF(AND('331-CT'!$E$7=TH!H569,OR(N569="331",O569="331")),"x","")</f>
        <v/>
      </c>
      <c r="Q569" s="85" t="str">
        <f>IF(AND(B569='111'!$L$11,OR($N569=$Q$7,$O569=$Q$7)),"x","")</f>
        <v/>
      </c>
      <c r="R569" s="85" t="str">
        <f>IF(AND($N569=$Q$7,$B569&lt;'111'!$L$11),"x","")</f>
        <v/>
      </c>
      <c r="S569" s="85" t="str">
        <f>IF(AND($O569=$Q$7,$B569&lt;'111'!$L$11),"x","")</f>
        <v/>
      </c>
      <c r="T569" s="85" t="str">
        <f>IF(ISERROR(FIND('112'!$M$9,G569,1)),"",IF((AND(FIND('112'!$M$9,G569,1)&gt;=1,B569='112'!$K$9,OR($N569='112'!$I$6,$O569='112'!$I$6))),"x",""))</f>
        <v/>
      </c>
      <c r="U569" s="85" t="str">
        <f>IF(ISERROR(FIND('112'!$M$9,G569,1)),"",IF((AND(LEFT(G569,2)=LEFT('112'!$M$9,2),B569&lt;'112'!$K$9,$N569='112'!$I$6)),"x",""))</f>
        <v/>
      </c>
      <c r="V569" s="85" t="str">
        <f>IF(ISERROR(FIND('112'!$M$9,G569,1)),"",IF((AND(RIGHT(G569,2)=RIGHT('112'!$M$9,2),B569&lt;'112'!$K$9,$O569='112'!$I$6)),"x",""))</f>
        <v/>
      </c>
      <c r="W569" s="85" t="str">
        <f>IF(AND('341-CT'!$H$9=H569,OR(LEFT(N569,3)=$W$7,LEFT(O569,3)=$W$7)),"x","")</f>
        <v/>
      </c>
      <c r="X569" s="85" t="str">
        <f>IF(OR(TH!N569=TH!$X$7,O569=TH!$X$7),"x","")</f>
        <v/>
      </c>
      <c r="Y569" s="85" t="str">
        <f>IF(AND(OR(N569="131",O569="131"),H569='131-CT'!$H$9),"x","")</f>
        <v/>
      </c>
      <c r="Z569" s="85"/>
      <c r="AA569" s="85" t="str">
        <f>IF(AND(MONTH(E569)='IN-NX'!$J$5,'IN-NX'!$D$7=D569),"x","")</f>
        <v/>
      </c>
      <c r="AB569" s="85" t="str">
        <f>IF(AND(OR(LEFT(TH!N569,2)="15",LEFT(TH!O569,2)="15"),'152-CT'!$J$8=TH!F569),"x","")</f>
        <v/>
      </c>
      <c r="AC569" s="85" t="str">
        <f>IF(AND(OR(LEFT(TH!N569,2)="15",LEFT(TH!O569,2)="15"),TK!$E$7=TH!F569),"x","")</f>
        <v/>
      </c>
      <c r="AD569" s="85" t="str">
        <f>IF(AND(N569="1521",MONTH(C569)='BK-NL'!$M$11),"x","")</f>
        <v/>
      </c>
    </row>
    <row r="570" spans="1:31" ht="15.75" customHeight="1">
      <c r="A570" s="343" t="str">
        <f>IF(B570&lt;&gt;"",IF(AND(B570='IN-TC'!$S$4,OR(TH!N570="1111",TH!O570="1111")),TH!D570,""),"")</f>
        <v/>
      </c>
      <c r="B570" s="63">
        <f t="shared" si="60"/>
        <v>3</v>
      </c>
      <c r="C570" s="64">
        <v>42444</v>
      </c>
      <c r="D570" s="320" t="s">
        <v>709</v>
      </c>
      <c r="E570" s="64">
        <v>42444</v>
      </c>
      <c r="F570" s="67" t="s">
        <v>1216</v>
      </c>
      <c r="G570" s="67" t="s">
        <v>930</v>
      </c>
      <c r="H570" s="7"/>
      <c r="I570" s="447"/>
      <c r="J570" s="447"/>
      <c r="K570" s="438"/>
      <c r="L570" s="447"/>
      <c r="M570" s="65">
        <v>2000</v>
      </c>
      <c r="N570" s="66" t="s">
        <v>9</v>
      </c>
      <c r="O570" s="66" t="s">
        <v>26</v>
      </c>
      <c r="P570" s="85" t="str">
        <f>IF(AND('331-CT'!$E$7=TH!H570,OR(N570="331",O570="331")),"x","")</f>
        <v/>
      </c>
      <c r="Q570" s="85" t="str">
        <f>IF(AND(B570='111'!$L$11,OR($N570=$Q$7,$O570=$Q$7)),"x","")</f>
        <v/>
      </c>
      <c r="R570" s="85" t="str">
        <f>IF(AND($N570=$Q$7,$B570&lt;'111'!$L$11),"x","")</f>
        <v/>
      </c>
      <c r="S570" s="85" t="str">
        <f>IF(AND($O570=$Q$7,$B570&lt;'111'!$L$11),"x","")</f>
        <v/>
      </c>
      <c r="T570" s="85" t="str">
        <f>IF(ISERROR(FIND('112'!$M$9,G570,1)),"",IF((AND(FIND('112'!$M$9,G570,1)&gt;=1,B570='112'!$K$9,OR($N570='112'!$I$6,$O570='112'!$I$6))),"x",""))</f>
        <v/>
      </c>
      <c r="U570" s="85" t="str">
        <f>IF(ISERROR(FIND('112'!$M$9,G570,1)),"",IF((AND(LEFT(G570,2)=LEFT('112'!$M$9,2),B570&lt;'112'!$K$9,$N570='112'!$I$6)),"x",""))</f>
        <v/>
      </c>
      <c r="V570" s="85" t="str">
        <f>IF(ISERROR(FIND('112'!$M$9,G570,1)),"",IF((AND(RIGHT(G570,2)=RIGHT('112'!$M$9,2),B570&lt;'112'!$K$9,$O570='112'!$I$6)),"x",""))</f>
        <v/>
      </c>
      <c r="W570" s="85" t="str">
        <f>IF(AND('341-CT'!$H$9=H570,OR(LEFT(N570,3)=$W$7,LEFT(O570,3)=$W$7)),"x","")</f>
        <v/>
      </c>
      <c r="X570" s="85" t="str">
        <f>IF(OR(TH!N570=TH!$X$7,O570=TH!$X$7),"x","")</f>
        <v/>
      </c>
      <c r="Y570" s="85" t="str">
        <f>IF(AND(OR(N570="131",O570="131"),H570='131-CT'!$H$9),"x","")</f>
        <v/>
      </c>
      <c r="Z570" s="85"/>
      <c r="AA570" s="85" t="str">
        <f>IF(AND(MONTH(E570)='IN-NX'!$J$5,'IN-NX'!$D$7=D570),"x","")</f>
        <v/>
      </c>
      <c r="AB570" s="85" t="str">
        <f>IF(AND(OR(LEFT(TH!N570,2)="15",LEFT(TH!O570,2)="15"),'152-CT'!$J$8=TH!F570),"x","")</f>
        <v/>
      </c>
      <c r="AC570" s="85" t="str">
        <f>IF(AND(OR(LEFT(TH!N570,2)="15",LEFT(TH!O570,2)="15"),TK!$E$7=TH!F570),"x","")</f>
        <v/>
      </c>
      <c r="AD570" s="85" t="str">
        <f>IF(AND(N570="1521",MONTH(C570)='BK-NL'!$M$11),"x","")</f>
        <v/>
      </c>
    </row>
    <row r="571" spans="1:31" ht="15.75" customHeight="1">
      <c r="A571" s="343" t="str">
        <f>IF(B571&lt;&gt;"",IF(AND(B571='IN-TC'!$S$4,OR(TH!N571="1111",TH!O571="1111")),TH!D571,""),"")</f>
        <v/>
      </c>
      <c r="B571" s="63">
        <f t="shared" si="60"/>
        <v>3</v>
      </c>
      <c r="C571" s="64">
        <v>42444</v>
      </c>
      <c r="D571" s="320" t="s">
        <v>709</v>
      </c>
      <c r="E571" s="64">
        <v>42444</v>
      </c>
      <c r="F571" s="67" t="s">
        <v>1227</v>
      </c>
      <c r="G571" s="67" t="s">
        <v>930</v>
      </c>
      <c r="H571" s="74" t="s">
        <v>636</v>
      </c>
      <c r="I571" s="447"/>
      <c r="J571" s="447"/>
      <c r="K571" s="438"/>
      <c r="L571" s="447"/>
      <c r="M571" s="65">
        <v>22749430</v>
      </c>
      <c r="N571" s="66" t="s">
        <v>8</v>
      </c>
      <c r="O571" s="66" t="s">
        <v>26</v>
      </c>
      <c r="P571" s="85" t="str">
        <f>IF(AND('331-CT'!$E$7=TH!H571,OR(N571="331",O571="331")),"x","")</f>
        <v/>
      </c>
      <c r="Q571" s="85" t="str">
        <f>IF(AND(B571='111'!$L$11,OR($N571=$Q$7,$O571=$Q$7)),"x","")</f>
        <v/>
      </c>
      <c r="R571" s="85" t="str">
        <f>IF(AND($N571=$Q$7,$B571&lt;'111'!$L$11),"x","")</f>
        <v/>
      </c>
      <c r="S571" s="85" t="str">
        <f>IF(AND($O571=$Q$7,$B571&lt;'111'!$L$11),"x","")</f>
        <v/>
      </c>
      <c r="T571" s="85" t="str">
        <f>IF(ISERROR(FIND('112'!$M$9,G571,1)),"",IF((AND(FIND('112'!$M$9,G571,1)&gt;=1,B571='112'!$K$9,OR($N571='112'!$I$6,$O571='112'!$I$6))),"x",""))</f>
        <v/>
      </c>
      <c r="U571" s="85" t="str">
        <f>IF(ISERROR(FIND('112'!$M$9,G571,1)),"",IF((AND(LEFT(G571,2)=LEFT('112'!$M$9,2),B571&lt;'112'!$K$9,$N571='112'!$I$6)),"x",""))</f>
        <v/>
      </c>
      <c r="V571" s="85" t="str">
        <f>IF(ISERROR(FIND('112'!$M$9,G571,1)),"",IF((AND(RIGHT(G571,2)=RIGHT('112'!$M$9,2),B571&lt;'112'!$K$9,$O571='112'!$I$6)),"x",""))</f>
        <v/>
      </c>
      <c r="W571" s="85" t="str">
        <f>IF(AND('341-CT'!$H$9=H571,OR(LEFT(N571,3)=$W$7,LEFT(O571,3)=$W$7)),"x","")</f>
        <v/>
      </c>
      <c r="X571" s="85" t="str">
        <f>IF(OR(TH!N571=TH!$X$7,O571=TH!$X$7),"x","")</f>
        <v/>
      </c>
      <c r="Y571" s="85" t="str">
        <f>IF(AND(OR(N571="131",O571="131"),H571='131-CT'!$H$9),"x","")</f>
        <v/>
      </c>
      <c r="Z571" s="85"/>
      <c r="AA571" s="85" t="str">
        <f>IF(AND(MONTH(E571)='IN-NX'!$J$5,'IN-NX'!$D$7=D571),"x","")</f>
        <v/>
      </c>
      <c r="AB571" s="85" t="str">
        <f>IF(AND(OR(LEFT(TH!N571,2)="15",LEFT(TH!O571,2)="15"),'152-CT'!$J$8=TH!F571),"x","")</f>
        <v/>
      </c>
      <c r="AC571" s="85" t="str">
        <f>IF(AND(OR(LEFT(TH!N571,2)="15",LEFT(TH!O571,2)="15"),TK!$E$7=TH!F571),"x","")</f>
        <v/>
      </c>
      <c r="AD571" s="85" t="str">
        <f>IF(AND(N571="1521",MONTH(C571)='BK-NL'!$M$11),"x","")</f>
        <v/>
      </c>
    </row>
    <row r="572" spans="1:31" ht="15.75" customHeight="1">
      <c r="A572" s="343" t="str">
        <f>IF(B572&lt;&gt;"",IF(AND(B572='IN-TC'!$S$4,OR(TH!N572="1111",TH!O572="1111")),TH!D572,""),"")</f>
        <v/>
      </c>
      <c r="B572" s="63">
        <f t="shared" si="60"/>
        <v>3</v>
      </c>
      <c r="C572" s="64">
        <v>42444</v>
      </c>
      <c r="D572" s="320" t="s">
        <v>709</v>
      </c>
      <c r="E572" s="64">
        <v>42444</v>
      </c>
      <c r="F572" s="67" t="s">
        <v>1215</v>
      </c>
      <c r="G572" s="67" t="s">
        <v>930</v>
      </c>
      <c r="H572" s="74"/>
      <c r="I572" s="447"/>
      <c r="J572" s="447"/>
      <c r="K572" s="438"/>
      <c r="L572" s="447"/>
      <c r="M572" s="65">
        <v>25000</v>
      </c>
      <c r="N572" s="66" t="s">
        <v>101</v>
      </c>
      <c r="O572" s="66" t="s">
        <v>26</v>
      </c>
      <c r="P572" s="85" t="str">
        <f>IF(AND('331-CT'!$E$7=TH!H572,OR(N572="331",O572="331")),"x","")</f>
        <v/>
      </c>
      <c r="Q572" s="85" t="str">
        <f>IF(AND(B572='111'!$L$11,OR($N572=$Q$7,$O572=$Q$7)),"x","")</f>
        <v/>
      </c>
      <c r="R572" s="85" t="str">
        <f>IF(AND($N572=$Q$7,$B572&lt;'111'!$L$11),"x","")</f>
        <v/>
      </c>
      <c r="S572" s="85" t="str">
        <f>IF(AND($O572=$Q$7,$B572&lt;'111'!$L$11),"x","")</f>
        <v/>
      </c>
      <c r="T572" s="85" t="str">
        <f>IF(ISERROR(FIND('112'!$M$9,G572,1)),"",IF((AND(FIND('112'!$M$9,G572,1)&gt;=1,B572='112'!$K$9,OR($N572='112'!$I$6,$O572='112'!$I$6))),"x",""))</f>
        <v/>
      </c>
      <c r="U572" s="85" t="str">
        <f>IF(ISERROR(FIND('112'!$M$9,G572,1)),"",IF((AND(LEFT(G572,2)=LEFT('112'!$M$9,2),B572&lt;'112'!$K$9,$N572='112'!$I$6)),"x",""))</f>
        <v/>
      </c>
      <c r="V572" s="85" t="str">
        <f>IF(ISERROR(FIND('112'!$M$9,G572,1)),"",IF((AND(RIGHT(G572,2)=RIGHT('112'!$M$9,2),B572&lt;'112'!$K$9,$O572='112'!$I$6)),"x",""))</f>
        <v/>
      </c>
      <c r="W572" s="85" t="str">
        <f>IF(AND('341-CT'!$H$9=H572,OR(LEFT(N572,3)=$W$7,LEFT(O572,3)=$W$7)),"x","")</f>
        <v/>
      </c>
      <c r="X572" s="85" t="str">
        <f>IF(OR(TH!N572=TH!$X$7,O572=TH!$X$7),"x","")</f>
        <v/>
      </c>
      <c r="Y572" s="85" t="str">
        <f>IF(AND(OR(N572="131",O572="131"),H572='131-CT'!$H$9),"x","")</f>
        <v/>
      </c>
      <c r="Z572" s="85"/>
      <c r="AA572" s="85" t="str">
        <f>IF(AND(MONTH(E572)='IN-NX'!$J$5,'IN-NX'!$D$7=D572),"x","")</f>
        <v/>
      </c>
      <c r="AB572" s="85" t="str">
        <f>IF(AND(OR(LEFT(TH!N572,2)="15",LEFT(TH!O572,2)="15"),'152-CT'!$J$8=TH!F572),"x","")</f>
        <v/>
      </c>
      <c r="AC572" s="85" t="str">
        <f>IF(AND(OR(LEFT(TH!N572,2)="15",LEFT(TH!O572,2)="15"),TK!$E$7=TH!F572),"x","")</f>
        <v/>
      </c>
      <c r="AD572" s="85" t="str">
        <f>IF(AND(N572="1521",MONTH(C572)='BK-NL'!$M$11),"x","")</f>
        <v/>
      </c>
    </row>
    <row r="573" spans="1:31" ht="15.75" customHeight="1">
      <c r="A573" s="343" t="str">
        <f>IF(B573&lt;&gt;"",IF(AND(B573='IN-TC'!$S$4,OR(TH!N573="1111",TH!O573="1111")),TH!D573,""),"")</f>
        <v/>
      </c>
      <c r="B573" s="63">
        <f t="shared" si="60"/>
        <v>3</v>
      </c>
      <c r="C573" s="64">
        <v>42444</v>
      </c>
      <c r="D573" s="320" t="s">
        <v>709</v>
      </c>
      <c r="E573" s="64">
        <v>42444</v>
      </c>
      <c r="F573" s="67" t="s">
        <v>1216</v>
      </c>
      <c r="G573" s="67" t="s">
        <v>930</v>
      </c>
      <c r="H573" s="7"/>
      <c r="I573" s="447"/>
      <c r="J573" s="447"/>
      <c r="K573" s="438"/>
      <c r="L573" s="447"/>
      <c r="M573" s="65">
        <v>2500</v>
      </c>
      <c r="N573" s="66" t="s">
        <v>9</v>
      </c>
      <c r="O573" s="66" t="s">
        <v>26</v>
      </c>
      <c r="P573" s="85" t="str">
        <f>IF(AND('331-CT'!$E$7=TH!H573,OR(N573="331",O573="331")),"x","")</f>
        <v/>
      </c>
      <c r="Q573" s="85" t="str">
        <f>IF(AND(B573='111'!$L$11,OR($N573=$Q$7,$O573=$Q$7)),"x","")</f>
        <v/>
      </c>
      <c r="R573" s="85" t="str">
        <f>IF(AND($N573=$Q$7,$B573&lt;'111'!$L$11),"x","")</f>
        <v/>
      </c>
      <c r="S573" s="85" t="str">
        <f>IF(AND($O573=$Q$7,$B573&lt;'111'!$L$11),"x","")</f>
        <v/>
      </c>
      <c r="T573" s="85" t="str">
        <f>IF(ISERROR(FIND('112'!$M$9,G573,1)),"",IF((AND(FIND('112'!$M$9,G573,1)&gt;=1,B573='112'!$K$9,OR($N573='112'!$I$6,$O573='112'!$I$6))),"x",""))</f>
        <v/>
      </c>
      <c r="U573" s="85" t="str">
        <f>IF(ISERROR(FIND('112'!$M$9,G573,1)),"",IF((AND(LEFT(G573,2)=LEFT('112'!$M$9,2),B573&lt;'112'!$K$9,$N573='112'!$I$6)),"x",""))</f>
        <v/>
      </c>
      <c r="V573" s="85" t="str">
        <f>IF(ISERROR(FIND('112'!$M$9,G573,1)),"",IF((AND(RIGHT(G573,2)=RIGHT('112'!$M$9,2),B573&lt;'112'!$K$9,$O573='112'!$I$6)),"x",""))</f>
        <v/>
      </c>
      <c r="W573" s="85" t="str">
        <f>IF(AND('341-CT'!$H$9=H573,OR(LEFT(N573,3)=$W$7,LEFT(O573,3)=$W$7)),"x","")</f>
        <v/>
      </c>
      <c r="X573" s="85" t="str">
        <f>IF(OR(TH!N573=TH!$X$7,O573=TH!$X$7),"x","")</f>
        <v/>
      </c>
      <c r="Y573" s="85" t="str">
        <f>IF(AND(OR(N573="131",O573="131"),H573='131-CT'!$H$9),"x","")</f>
        <v/>
      </c>
      <c r="Z573" s="85"/>
      <c r="AA573" s="85" t="str">
        <f>IF(AND(MONTH(E573)='IN-NX'!$J$5,'IN-NX'!$D$7=D573),"x","")</f>
        <v/>
      </c>
      <c r="AB573" s="85" t="str">
        <f>IF(AND(OR(LEFT(TH!N573,2)="15",LEFT(TH!O573,2)="15"),'152-CT'!$J$8=TH!F573),"x","")</f>
        <v/>
      </c>
      <c r="AC573" s="85" t="str">
        <f>IF(AND(OR(LEFT(TH!N573,2)="15",LEFT(TH!O573,2)="15"),TK!$E$7=TH!F573),"x","")</f>
        <v/>
      </c>
      <c r="AD573" s="85" t="str">
        <f>IF(AND(N573="1521",MONTH(C573)='BK-NL'!$M$11),"x","")</f>
        <v/>
      </c>
    </row>
    <row r="574" spans="1:31" ht="15.75" customHeight="1">
      <c r="A574" s="343" t="str">
        <f>IF(B574&lt;&gt;"",IF(AND(B574='IN-TC'!$S$4,OR(TH!N574="1111",TH!O574="1111")),TH!D574,""),"")</f>
        <v/>
      </c>
      <c r="B574" s="63">
        <f t="shared" si="60"/>
        <v>3</v>
      </c>
      <c r="C574" s="64">
        <v>42444</v>
      </c>
      <c r="D574" s="320" t="s">
        <v>709</v>
      </c>
      <c r="E574" s="64">
        <v>42444</v>
      </c>
      <c r="F574" s="67" t="s">
        <v>1228</v>
      </c>
      <c r="G574" s="67" t="s">
        <v>930</v>
      </c>
      <c r="H574" s="74" t="s">
        <v>680</v>
      </c>
      <c r="I574" s="447"/>
      <c r="J574" s="447"/>
      <c r="K574" s="438"/>
      <c r="L574" s="447"/>
      <c r="M574" s="65">
        <v>36300000</v>
      </c>
      <c r="N574" s="66" t="s">
        <v>8</v>
      </c>
      <c r="O574" s="66" t="s">
        <v>26</v>
      </c>
      <c r="P574" s="85" t="str">
        <f>IF(AND('331-CT'!$E$7=TH!H574,OR(N574="331",O574="331")),"x","")</f>
        <v/>
      </c>
      <c r="Q574" s="85" t="str">
        <f>IF(AND(B574='111'!$L$11,OR($N574=$Q$7,$O574=$Q$7)),"x","")</f>
        <v/>
      </c>
      <c r="R574" s="85" t="str">
        <f>IF(AND($N574=$Q$7,$B574&lt;'111'!$L$11),"x","")</f>
        <v/>
      </c>
      <c r="S574" s="85" t="str">
        <f>IF(AND($O574=$Q$7,$B574&lt;'111'!$L$11),"x","")</f>
        <v/>
      </c>
      <c r="T574" s="85" t="str">
        <f>IF(ISERROR(FIND('112'!$M$9,G574,1)),"",IF((AND(FIND('112'!$M$9,G574,1)&gt;=1,B574='112'!$K$9,OR($N574='112'!$I$6,$O574='112'!$I$6))),"x",""))</f>
        <v/>
      </c>
      <c r="U574" s="85" t="str">
        <f>IF(ISERROR(FIND('112'!$M$9,G574,1)),"",IF((AND(LEFT(G574,2)=LEFT('112'!$M$9,2),B574&lt;'112'!$K$9,$N574='112'!$I$6)),"x",""))</f>
        <v/>
      </c>
      <c r="V574" s="85" t="str">
        <f>IF(ISERROR(FIND('112'!$M$9,G574,1)),"",IF((AND(RIGHT(G574,2)=RIGHT('112'!$M$9,2),B574&lt;'112'!$K$9,$O574='112'!$I$6)),"x",""))</f>
        <v/>
      </c>
      <c r="W574" s="85" t="str">
        <f>IF(AND('341-CT'!$H$9=H574,OR(LEFT(N574,3)=$W$7,LEFT(O574,3)=$W$7)),"x","")</f>
        <v/>
      </c>
      <c r="X574" s="85" t="str">
        <f>IF(OR(TH!N574=TH!$X$7,O574=TH!$X$7),"x","")</f>
        <v/>
      </c>
      <c r="Y574" s="85" t="str">
        <f>IF(AND(OR(N574="131",O574="131"),H574='131-CT'!$H$9),"x","")</f>
        <v/>
      </c>
      <c r="Z574" s="85"/>
      <c r="AA574" s="85" t="str">
        <f>IF(AND(MONTH(E574)='IN-NX'!$J$5,'IN-NX'!$D$7=D574),"x","")</f>
        <v/>
      </c>
      <c r="AB574" s="85" t="str">
        <f>IF(AND(OR(LEFT(TH!N574,2)="15",LEFT(TH!O574,2)="15"),'152-CT'!$J$8=TH!F574),"x","")</f>
        <v/>
      </c>
      <c r="AC574" s="85" t="str">
        <f>IF(AND(OR(LEFT(TH!N574,2)="15",LEFT(TH!O574,2)="15"),TK!$E$7=TH!F574),"x","")</f>
        <v/>
      </c>
      <c r="AD574" s="85" t="str">
        <f>IF(AND(N574="1521",MONTH(C574)='BK-NL'!$M$11),"x","")</f>
        <v/>
      </c>
    </row>
    <row r="575" spans="1:31" ht="15.75" customHeight="1">
      <c r="A575" s="343" t="str">
        <f>IF(B575&lt;&gt;"",IF(AND(B575='IN-TC'!$S$4,OR(TH!N575="1111",TH!O575="1111")),TH!D575,""),"")</f>
        <v/>
      </c>
      <c r="B575" s="63">
        <f t="shared" si="60"/>
        <v>3</v>
      </c>
      <c r="C575" s="64">
        <v>42444</v>
      </c>
      <c r="D575" s="320" t="s">
        <v>709</v>
      </c>
      <c r="E575" s="64">
        <v>42444</v>
      </c>
      <c r="F575" s="67" t="s">
        <v>1215</v>
      </c>
      <c r="G575" s="67" t="s">
        <v>930</v>
      </c>
      <c r="H575" s="74"/>
      <c r="I575" s="447"/>
      <c r="J575" s="447"/>
      <c r="K575" s="438"/>
      <c r="L575" s="447"/>
      <c r="M575" s="65">
        <v>25000</v>
      </c>
      <c r="N575" s="66" t="s">
        <v>101</v>
      </c>
      <c r="O575" s="66" t="s">
        <v>26</v>
      </c>
      <c r="P575" s="85" t="str">
        <f>IF(AND('331-CT'!$E$7=TH!H575,OR(N575="331",O575="331")),"x","")</f>
        <v/>
      </c>
      <c r="Q575" s="85" t="str">
        <f>IF(AND(B575='111'!$L$11,OR($N575=$Q$7,$O575=$Q$7)),"x","")</f>
        <v/>
      </c>
      <c r="R575" s="85" t="str">
        <f>IF(AND($N575=$Q$7,$B575&lt;'111'!$L$11),"x","")</f>
        <v/>
      </c>
      <c r="S575" s="85" t="str">
        <f>IF(AND($O575=$Q$7,$B575&lt;'111'!$L$11),"x","")</f>
        <v/>
      </c>
      <c r="T575" s="85" t="str">
        <f>IF(ISERROR(FIND('112'!$M$9,G575,1)),"",IF((AND(FIND('112'!$M$9,G575,1)&gt;=1,B575='112'!$K$9,OR($N575='112'!$I$6,$O575='112'!$I$6))),"x",""))</f>
        <v/>
      </c>
      <c r="U575" s="85" t="str">
        <f>IF(ISERROR(FIND('112'!$M$9,G575,1)),"",IF((AND(LEFT(G575,2)=LEFT('112'!$M$9,2),B575&lt;'112'!$K$9,$N575='112'!$I$6)),"x",""))</f>
        <v/>
      </c>
      <c r="V575" s="85" t="str">
        <f>IF(ISERROR(FIND('112'!$M$9,G575,1)),"",IF((AND(RIGHT(G575,2)=RIGHT('112'!$M$9,2),B575&lt;'112'!$K$9,$O575='112'!$I$6)),"x",""))</f>
        <v/>
      </c>
      <c r="W575" s="85" t="str">
        <f>IF(AND('341-CT'!$H$9=H575,OR(LEFT(N575,3)=$W$7,LEFT(O575,3)=$W$7)),"x","")</f>
        <v/>
      </c>
      <c r="X575" s="85" t="str">
        <f>IF(OR(TH!N575=TH!$X$7,O575=TH!$X$7),"x","")</f>
        <v/>
      </c>
      <c r="Y575" s="85" t="str">
        <f>IF(AND(OR(N575="131",O575="131"),H575='131-CT'!$H$9),"x","")</f>
        <v/>
      </c>
      <c r="Z575" s="85"/>
      <c r="AA575" s="85" t="str">
        <f>IF(AND(MONTH(E575)='IN-NX'!$J$5,'IN-NX'!$D$7=D575),"x","")</f>
        <v/>
      </c>
      <c r="AB575" s="85" t="str">
        <f>IF(AND(OR(LEFT(TH!N575,2)="15",LEFT(TH!O575,2)="15"),'152-CT'!$J$8=TH!F575),"x","")</f>
        <v/>
      </c>
      <c r="AC575" s="85" t="str">
        <f>IF(AND(OR(LEFT(TH!N575,2)="15",LEFT(TH!O575,2)="15"),TK!$E$7=TH!F575),"x","")</f>
        <v/>
      </c>
      <c r="AD575" s="85" t="str">
        <f>IF(AND(N575="1521",MONTH(C575)='BK-NL'!$M$11),"x","")</f>
        <v/>
      </c>
    </row>
    <row r="576" spans="1:31" ht="15.75" customHeight="1">
      <c r="A576" s="343" t="str">
        <f>IF(B576&lt;&gt;"",IF(AND(B576='IN-TC'!$S$4,OR(TH!N576="1111",TH!O576="1111")),TH!D576,""),"")</f>
        <v/>
      </c>
      <c r="B576" s="63">
        <f t="shared" si="60"/>
        <v>3</v>
      </c>
      <c r="C576" s="64">
        <v>42444</v>
      </c>
      <c r="D576" s="320" t="s">
        <v>709</v>
      </c>
      <c r="E576" s="64">
        <v>42444</v>
      </c>
      <c r="F576" s="67" t="s">
        <v>1216</v>
      </c>
      <c r="G576" s="67" t="s">
        <v>930</v>
      </c>
      <c r="H576" s="7"/>
      <c r="I576" s="447"/>
      <c r="J576" s="447"/>
      <c r="K576" s="438"/>
      <c r="L576" s="447"/>
      <c r="M576" s="65">
        <v>2500</v>
      </c>
      <c r="N576" s="66" t="s">
        <v>9</v>
      </c>
      <c r="O576" s="66" t="s">
        <v>26</v>
      </c>
      <c r="P576" s="85" t="str">
        <f>IF(AND('331-CT'!$E$7=TH!H576,OR(N576="331",O576="331")),"x","")</f>
        <v/>
      </c>
      <c r="Q576" s="85" t="str">
        <f>IF(AND(B576='111'!$L$11,OR($N576=$Q$7,$O576=$Q$7)),"x","")</f>
        <v/>
      </c>
      <c r="R576" s="85" t="str">
        <f>IF(AND($N576=$Q$7,$B576&lt;'111'!$L$11),"x","")</f>
        <v/>
      </c>
      <c r="S576" s="85" t="str">
        <f>IF(AND($O576=$Q$7,$B576&lt;'111'!$L$11),"x","")</f>
        <v/>
      </c>
      <c r="T576" s="85" t="str">
        <f>IF(ISERROR(FIND('112'!$M$9,G576,1)),"",IF((AND(FIND('112'!$M$9,G576,1)&gt;=1,B576='112'!$K$9,OR($N576='112'!$I$6,$O576='112'!$I$6))),"x",""))</f>
        <v/>
      </c>
      <c r="U576" s="85" t="str">
        <f>IF(ISERROR(FIND('112'!$M$9,G576,1)),"",IF((AND(LEFT(G576,2)=LEFT('112'!$M$9,2),B576&lt;'112'!$K$9,$N576='112'!$I$6)),"x",""))</f>
        <v/>
      </c>
      <c r="V576" s="85" t="str">
        <f>IF(ISERROR(FIND('112'!$M$9,G576,1)),"",IF((AND(RIGHT(G576,2)=RIGHT('112'!$M$9,2),B576&lt;'112'!$K$9,$O576='112'!$I$6)),"x",""))</f>
        <v/>
      </c>
      <c r="W576" s="85" t="str">
        <f>IF(AND('341-CT'!$H$9=H576,OR(LEFT(N576,3)=$W$7,LEFT(O576,3)=$W$7)),"x","")</f>
        <v/>
      </c>
      <c r="X576" s="85" t="str">
        <f>IF(OR(TH!N576=TH!$X$7,O576=TH!$X$7),"x","")</f>
        <v/>
      </c>
      <c r="Y576" s="85" t="str">
        <f>IF(AND(OR(N576="131",O576="131"),H576='131-CT'!$H$9),"x","")</f>
        <v/>
      </c>
      <c r="Z576" s="85"/>
      <c r="AA576" s="85" t="str">
        <f>IF(AND(MONTH(E576)='IN-NX'!$J$5,'IN-NX'!$D$7=D576),"x","")</f>
        <v/>
      </c>
      <c r="AB576" s="85" t="str">
        <f>IF(AND(OR(LEFT(TH!N576,2)="15",LEFT(TH!O576,2)="15"),'152-CT'!$J$8=TH!F576),"x","")</f>
        <v/>
      </c>
      <c r="AC576" s="85" t="str">
        <f>IF(AND(OR(LEFT(TH!N576,2)="15",LEFT(TH!O576,2)="15"),TK!$E$7=TH!F576),"x","")</f>
        <v/>
      </c>
      <c r="AD576" s="85" t="str">
        <f>IF(AND(N576="1521",MONTH(C576)='BK-NL'!$M$11),"x","")</f>
        <v/>
      </c>
    </row>
    <row r="577" spans="1:31" ht="15.75" customHeight="1">
      <c r="A577" s="343" t="str">
        <f>IF(B577&lt;&gt;"",IF(AND(B577='IN-TC'!$S$4,OR(TH!N577="1111",TH!O577="1111")),TH!D577,""),"")</f>
        <v/>
      </c>
      <c r="B577" s="1026">
        <f t="shared" si="60"/>
        <v>3</v>
      </c>
      <c r="C577" s="81">
        <v>42444</v>
      </c>
      <c r="D577" s="1158" t="s">
        <v>709</v>
      </c>
      <c r="E577" s="81">
        <v>42444</v>
      </c>
      <c r="F577" s="82" t="s">
        <v>1229</v>
      </c>
      <c r="G577" s="82" t="s">
        <v>930</v>
      </c>
      <c r="H577" s="976"/>
      <c r="I577" s="445"/>
      <c r="J577" s="445"/>
      <c r="K577" s="436"/>
      <c r="L577" s="445"/>
      <c r="M577" s="84">
        <v>72666115</v>
      </c>
      <c r="N577" s="85" t="s">
        <v>596</v>
      </c>
      <c r="O577" s="85" t="s">
        <v>26</v>
      </c>
      <c r="P577" s="85" t="str">
        <f>IF(AND('331-CT'!$E$7=TH!H577,OR(N577="331",O577="331")),"x","")</f>
        <v/>
      </c>
      <c r="Q577" s="85" t="str">
        <f>IF(AND(B577='111'!$L$11,OR($N577=$Q$7,$O577=$Q$7)),"x","")</f>
        <v/>
      </c>
      <c r="R577" s="85" t="str">
        <f>IF(AND($N577=$Q$7,$B577&lt;'111'!$L$11),"x","")</f>
        <v/>
      </c>
      <c r="S577" s="85" t="str">
        <f>IF(AND($O577=$Q$7,$B577&lt;'111'!$L$11),"x","")</f>
        <v/>
      </c>
      <c r="T577" s="85" t="str">
        <f>IF(ISERROR(FIND('112'!$M$9,G577,1)),"",IF((AND(FIND('112'!$M$9,G577,1)&gt;=1,B577='112'!$K$9,OR($N577='112'!$I$6,$O577='112'!$I$6))),"x",""))</f>
        <v/>
      </c>
      <c r="U577" s="85" t="str">
        <f>IF(ISERROR(FIND('112'!$M$9,G577,1)),"",IF((AND(LEFT(G577,2)=LEFT('112'!$M$9,2),B577&lt;'112'!$K$9,$N577='112'!$I$6)),"x",""))</f>
        <v/>
      </c>
      <c r="V577" s="85" t="str">
        <f>IF(ISERROR(FIND('112'!$M$9,G577,1)),"",IF((AND(RIGHT(G577,2)=RIGHT('112'!$M$9,2),B577&lt;'112'!$K$9,$O577='112'!$I$6)),"x",""))</f>
        <v/>
      </c>
      <c r="W577" s="85" t="str">
        <f>IF(AND('341-CT'!$H$9=H577,OR(LEFT(N577,3)=$W$7,LEFT(O577,3)=$W$7)),"x","")</f>
        <v/>
      </c>
      <c r="X577" s="85" t="str">
        <f>IF(OR(TH!N577=TH!$X$7,O577=TH!$X$7),"x","")</f>
        <v/>
      </c>
      <c r="Y577" s="85" t="str">
        <f>IF(AND(OR(N577="131",O577="131"),H577='131-CT'!$H$9),"x","")</f>
        <v/>
      </c>
      <c r="Z577" s="85"/>
      <c r="AA577" s="85" t="str">
        <f>IF(AND(MONTH(E577)='IN-NX'!$J$5,'IN-NX'!$D$7=D577),"x","")</f>
        <v/>
      </c>
      <c r="AB577" s="85" t="str">
        <f>IF(AND(OR(LEFT(TH!N577,2)="15",LEFT(TH!O577,2)="15"),'152-CT'!$J$8=TH!F577),"x","")</f>
        <v/>
      </c>
      <c r="AC577" s="85" t="str">
        <f>IF(AND(OR(LEFT(TH!N577,2)="15",LEFT(TH!O577,2)="15"),TK!$E$7=TH!F577),"x","")</f>
        <v/>
      </c>
      <c r="AD577" s="85" t="str">
        <f>IF(AND(N577="1521",MONTH(C577)='BK-NL'!$M$11),"x","")</f>
        <v/>
      </c>
      <c r="AE577" s="354"/>
    </row>
    <row r="578" spans="1:31" s="354" customFormat="1" ht="15.75" customHeight="1">
      <c r="A578" s="343" t="str">
        <f>IF(B578&lt;&gt;"",IF(AND(B578='IN-TC'!$S$4,OR(TH!N578="1111",TH!O578="1111")),TH!D578,""),"")</f>
        <v/>
      </c>
      <c r="B578" s="1026">
        <f t="shared" si="60"/>
        <v>3</v>
      </c>
      <c r="C578" s="81">
        <v>42444</v>
      </c>
      <c r="D578" s="1158" t="s">
        <v>709</v>
      </c>
      <c r="E578" s="81">
        <v>42444</v>
      </c>
      <c r="F578" s="82" t="s">
        <v>1230</v>
      </c>
      <c r="G578" s="82" t="s">
        <v>930</v>
      </c>
      <c r="H578" s="976"/>
      <c r="I578" s="445"/>
      <c r="J578" s="445"/>
      <c r="K578" s="436"/>
      <c r="L578" s="445"/>
      <c r="M578" s="84">
        <v>19101465</v>
      </c>
      <c r="N578" s="85" t="s">
        <v>597</v>
      </c>
      <c r="O578" s="85" t="s">
        <v>26</v>
      </c>
      <c r="P578" s="85" t="str">
        <f>IF(AND('331-CT'!$E$7=TH!H578,OR(N578="331",O578="331")),"x","")</f>
        <v/>
      </c>
      <c r="Q578" s="85" t="str">
        <f>IF(AND(B578='111'!$L$11,OR($N578=$Q$7,$O578=$Q$7)),"x","")</f>
        <v/>
      </c>
      <c r="R578" s="85" t="str">
        <f>IF(AND($N578=$Q$7,$B578&lt;'111'!$L$11),"x","")</f>
        <v/>
      </c>
      <c r="S578" s="85" t="str">
        <f>IF(AND($O578=$Q$7,$B578&lt;'111'!$L$11),"x","")</f>
        <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
      </c>
      <c r="W578" s="85" t="str">
        <f>IF(AND('341-CT'!$H$9=H578,OR(LEFT(N578,3)=$W$7,LEFT(O578,3)=$W$7)),"x","")</f>
        <v/>
      </c>
      <c r="X578" s="85" t="str">
        <f>IF(OR(TH!N578=TH!$X$7,O578=TH!$X$7),"x","")</f>
        <v/>
      </c>
      <c r="Y578" s="85" t="str">
        <f>IF(AND(OR(N578="131",O578="131"),H578='131-CT'!$H$9),"x","")</f>
        <v/>
      </c>
      <c r="Z578" s="85"/>
      <c r="AA578" s="85" t="str">
        <f>IF(AND(MONTH(E578)='IN-NX'!$J$5,'IN-NX'!$D$7=D578),"x","")</f>
        <v/>
      </c>
      <c r="AB578" s="85" t="str">
        <f>IF(AND(OR(LEFT(TH!N578,2)="15",LEFT(TH!O578,2)="15"),'152-CT'!$J$8=TH!F578),"x","")</f>
        <v/>
      </c>
      <c r="AC578" s="85" t="str">
        <f>IF(AND(OR(LEFT(TH!N578,2)="15",LEFT(TH!O578,2)="15"),TK!$E$7=TH!F578),"x","")</f>
        <v/>
      </c>
      <c r="AD578" s="85" t="str">
        <f>IF(AND(N578="1521",MONTH(C578)='BK-NL'!$M$11),"x","")</f>
        <v/>
      </c>
    </row>
    <row r="579" spans="1:31" s="354" customFormat="1" ht="15.75" customHeight="1">
      <c r="A579" s="343" t="str">
        <f>IF(B579&lt;&gt;"",IF(AND(B579='IN-TC'!$S$4,OR(TH!N579="1111",TH!O579="1111")),TH!D579,""),"")</f>
        <v/>
      </c>
      <c r="B579" s="1026">
        <f t="shared" si="60"/>
        <v>3</v>
      </c>
      <c r="C579" s="81">
        <v>42444</v>
      </c>
      <c r="D579" s="1158" t="s">
        <v>709</v>
      </c>
      <c r="E579" s="81">
        <v>42444</v>
      </c>
      <c r="F579" s="82" t="s">
        <v>1231</v>
      </c>
      <c r="G579" s="82" t="s">
        <v>930</v>
      </c>
      <c r="H579" s="83"/>
      <c r="I579" s="445"/>
      <c r="J579" s="445"/>
      <c r="K579" s="436"/>
      <c r="L579" s="445"/>
      <c r="M579" s="84">
        <v>8232420</v>
      </c>
      <c r="N579" s="85" t="s">
        <v>598</v>
      </c>
      <c r="O579" s="85" t="s">
        <v>26</v>
      </c>
      <c r="P579" s="85" t="str">
        <f>IF(AND('331-CT'!$E$7=TH!H579,OR(N579="331",O579="331")),"x","")</f>
        <v/>
      </c>
      <c r="Q579" s="85" t="str">
        <f>IF(AND(B579='111'!$L$11,OR($N579=$Q$7,$O579=$Q$7)),"x","")</f>
        <v/>
      </c>
      <c r="R579" s="85" t="str">
        <f>IF(AND($N579=$Q$7,$B579&lt;'111'!$L$11),"x","")</f>
        <v/>
      </c>
      <c r="S579" s="85" t="str">
        <f>IF(AND($O579=$Q$7,$B579&lt;'111'!$L$11),"x","")</f>
        <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
      </c>
      <c r="W579" s="85" t="str">
        <f>IF(AND('341-CT'!$H$9=H579,OR(LEFT(N579,3)=$W$7,LEFT(O579,3)=$W$7)),"x","")</f>
        <v/>
      </c>
      <c r="X579" s="85" t="str">
        <f>IF(OR(TH!N579=TH!$X$7,O579=TH!$X$7),"x","")</f>
        <v/>
      </c>
      <c r="Y579" s="85" t="str">
        <f>IF(AND(OR(N579="131",O579="131"),H579='131-CT'!$H$9),"x","")</f>
        <v/>
      </c>
      <c r="Z579" s="85"/>
      <c r="AA579" s="85" t="str">
        <f>IF(AND(MONTH(E579)='IN-NX'!$J$5,'IN-NX'!$D$7=D579),"x","")</f>
        <v/>
      </c>
      <c r="AB579" s="85" t="str">
        <f>IF(AND(OR(LEFT(TH!N579,2)="15",LEFT(TH!O579,2)="15"),'152-CT'!$J$8=TH!F579),"x","")</f>
        <v/>
      </c>
      <c r="AC579" s="85" t="str">
        <f>IF(AND(OR(LEFT(TH!N579,2)="15",LEFT(TH!O579,2)="15"),TK!$E$7=TH!F579),"x","")</f>
        <v/>
      </c>
      <c r="AD579" s="85" t="str">
        <f>IF(AND(N579="1521",MONTH(C579)='BK-NL'!$M$11),"x","")</f>
        <v/>
      </c>
    </row>
    <row r="580" spans="1:31" s="354" customFormat="1" ht="15.75" customHeight="1">
      <c r="A580" s="343" t="str">
        <f>IF(B580&lt;&gt;"",IF(AND(B580='IN-TC'!$S$4,OR(TH!N580="1111",TH!O580="1111")),TH!D580,""),"")</f>
        <v/>
      </c>
      <c r="B580" s="63">
        <f t="shared" si="60"/>
        <v>3</v>
      </c>
      <c r="C580" s="64">
        <v>42444</v>
      </c>
      <c r="D580" s="320" t="s">
        <v>709</v>
      </c>
      <c r="E580" s="64">
        <v>42444</v>
      </c>
      <c r="F580" s="67" t="s">
        <v>1215</v>
      </c>
      <c r="G580" s="67" t="s">
        <v>930</v>
      </c>
      <c r="H580" s="74"/>
      <c r="I580" s="447"/>
      <c r="J580" s="447"/>
      <c r="K580" s="438"/>
      <c r="L580" s="447"/>
      <c r="M580" s="65">
        <v>50000</v>
      </c>
      <c r="N580" s="66" t="s">
        <v>101</v>
      </c>
      <c r="O580" s="66" t="s">
        <v>26</v>
      </c>
      <c r="P580" s="85" t="str">
        <f>IF(AND('331-CT'!$E$7=TH!H580,OR(N580="331",O580="331")),"x","")</f>
        <v/>
      </c>
      <c r="Q580" s="85" t="str">
        <f>IF(AND(B580='111'!$L$11,OR($N580=$Q$7,$O580=$Q$7)),"x","")</f>
        <v/>
      </c>
      <c r="R580" s="85" t="str">
        <f>IF(AND($N580=$Q$7,$B580&lt;'111'!$L$11),"x","")</f>
        <v/>
      </c>
      <c r="S580" s="85" t="str">
        <f>IF(AND($O580=$Q$7,$B580&lt;'111'!$L$11),"x","")</f>
        <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
      </c>
      <c r="W580" s="85" t="str">
        <f>IF(AND('341-CT'!$H$9=H580,OR(LEFT(N580,3)=$W$7,LEFT(O580,3)=$W$7)),"x","")</f>
        <v/>
      </c>
      <c r="X580" s="85" t="str">
        <f>IF(OR(TH!N580=TH!$X$7,O580=TH!$X$7),"x","")</f>
        <v/>
      </c>
      <c r="Y580" s="85" t="str">
        <f>IF(AND(OR(N580="131",O580="131"),H580='131-CT'!$H$9),"x","")</f>
        <v/>
      </c>
      <c r="Z580" s="85"/>
      <c r="AA580" s="85" t="str">
        <f>IF(AND(MONTH(E580)='IN-NX'!$J$5,'IN-NX'!$D$7=D580),"x","")</f>
        <v/>
      </c>
      <c r="AB580" s="85" t="str">
        <f>IF(AND(OR(LEFT(TH!N580,2)="15",LEFT(TH!O580,2)="15"),'152-CT'!$J$8=TH!F580),"x","")</f>
        <v/>
      </c>
      <c r="AC580" s="85" t="str">
        <f>IF(AND(OR(LEFT(TH!N580,2)="15",LEFT(TH!O580,2)="15"),TK!$E$7=TH!F580),"x","")</f>
        <v/>
      </c>
      <c r="AD580" s="85" t="str">
        <f>IF(AND(N580="1521",MONTH(C580)='BK-NL'!$M$11),"x","")</f>
        <v/>
      </c>
      <c r="AE580" s="333"/>
    </row>
    <row r="581" spans="1:31" s="358" customFormat="1" ht="15.75" customHeight="1">
      <c r="A581" s="343" t="str">
        <f>IF(B581&lt;&gt;"",IF(AND(B581='IN-TC'!$S$4,OR(TH!N581="1111",TH!O581="1111")),TH!D581,""),"")</f>
        <v/>
      </c>
      <c r="B581" s="63">
        <f t="shared" si="60"/>
        <v>3</v>
      </c>
      <c r="C581" s="64">
        <v>42444</v>
      </c>
      <c r="D581" s="320" t="s">
        <v>709</v>
      </c>
      <c r="E581" s="64">
        <v>42444</v>
      </c>
      <c r="F581" s="67" t="s">
        <v>1216</v>
      </c>
      <c r="G581" s="67" t="s">
        <v>930</v>
      </c>
      <c r="H581" s="7"/>
      <c r="I581" s="447"/>
      <c r="J581" s="447"/>
      <c r="K581" s="438"/>
      <c r="L581" s="447"/>
      <c r="M581" s="65">
        <v>5000</v>
      </c>
      <c r="N581" s="66" t="s">
        <v>9</v>
      </c>
      <c r="O581" s="66" t="s">
        <v>26</v>
      </c>
      <c r="P581" s="85" t="str">
        <f>IF(AND('331-CT'!$E$7=TH!H581,OR(N581="331",O581="331")),"x","")</f>
        <v/>
      </c>
      <c r="Q581" s="85" t="str">
        <f>IF(AND(B581='111'!$L$11,OR($N581=$Q$7,$O581=$Q$7)),"x","")</f>
        <v/>
      </c>
      <c r="R581" s="85" t="str">
        <f>IF(AND($N581=$Q$7,$B581&lt;'111'!$L$11),"x","")</f>
        <v/>
      </c>
      <c r="S581" s="85" t="str">
        <f>IF(AND($O581=$Q$7,$B581&lt;'111'!$L$11),"x","")</f>
        <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
      </c>
      <c r="W581" s="85" t="str">
        <f>IF(AND('341-CT'!$H$9=H581,OR(LEFT(N581,3)=$W$7,LEFT(O581,3)=$W$7)),"x","")</f>
        <v/>
      </c>
      <c r="X581" s="85" t="str">
        <f>IF(OR(TH!N581=TH!$X$7,O581=TH!$X$7),"x","")</f>
        <v/>
      </c>
      <c r="Y581" s="85" t="str">
        <f>IF(AND(OR(N581="131",O581="131"),H581='131-CT'!$H$9),"x","")</f>
        <v/>
      </c>
      <c r="Z581" s="85"/>
      <c r="AA581" s="85" t="str">
        <f>IF(AND(MONTH(E581)='IN-NX'!$J$5,'IN-NX'!$D$7=D581),"x","")</f>
        <v/>
      </c>
      <c r="AB581" s="85" t="str">
        <f>IF(AND(OR(LEFT(TH!N581,2)="15",LEFT(TH!O581,2)="15"),'152-CT'!$J$8=TH!F581),"x","")</f>
        <v/>
      </c>
      <c r="AC581" s="85" t="str">
        <f>IF(AND(OR(LEFT(TH!N581,2)="15",LEFT(TH!O581,2)="15"),TK!$E$7=TH!F581),"x","")</f>
        <v/>
      </c>
      <c r="AD581" s="85" t="str">
        <f>IF(AND(N581="1521",MONTH(C581)='BK-NL'!$M$11),"x","")</f>
        <v/>
      </c>
      <c r="AE581" s="333"/>
    </row>
    <row r="582" spans="1:31" ht="15.75" customHeight="1">
      <c r="A582" s="343" t="str">
        <f>IF(B582&lt;&gt;"",IF(AND(B582='IN-TC'!$S$4,OR(TH!N582="1111",TH!O582="1111")),TH!D582,""),"")</f>
        <v/>
      </c>
      <c r="B582" s="63">
        <f t="shared" si="60"/>
        <v>3</v>
      </c>
      <c r="C582" s="64">
        <v>42444</v>
      </c>
      <c r="D582" s="320" t="s">
        <v>709</v>
      </c>
      <c r="E582" s="64">
        <v>42444</v>
      </c>
      <c r="F582" s="67" t="s">
        <v>1228</v>
      </c>
      <c r="G582" s="67" t="s">
        <v>930</v>
      </c>
      <c r="H582" s="74" t="s">
        <v>626</v>
      </c>
      <c r="I582" s="447"/>
      <c r="J582" s="447"/>
      <c r="K582" s="438"/>
      <c r="L582" s="447"/>
      <c r="M582" s="65">
        <v>38500000</v>
      </c>
      <c r="N582" s="66" t="s">
        <v>8</v>
      </c>
      <c r="O582" s="66" t="s">
        <v>26</v>
      </c>
      <c r="P582" s="85" t="str">
        <f>IF(AND('331-CT'!$E$7=TH!H582,OR(N582="331",O582="331")),"x","")</f>
        <v/>
      </c>
      <c r="Q582" s="85" t="str">
        <f>IF(AND(B582='111'!$L$11,OR($N582=$Q$7,$O582=$Q$7)),"x","")</f>
        <v/>
      </c>
      <c r="R582" s="85" t="str">
        <f>IF(AND($N582=$Q$7,$B582&lt;'111'!$L$11),"x","")</f>
        <v/>
      </c>
      <c r="S582" s="85" t="str">
        <f>IF(AND($O582=$Q$7,$B582&lt;'111'!$L$11),"x","")</f>
        <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
      </c>
      <c r="W582" s="85" t="str">
        <f>IF(AND('341-CT'!$H$9=H582,OR(LEFT(N582,3)=$W$7,LEFT(O582,3)=$W$7)),"x","")</f>
        <v/>
      </c>
      <c r="X582" s="85" t="str">
        <f>IF(OR(TH!N582=TH!$X$7,O582=TH!$X$7),"x","")</f>
        <v/>
      </c>
      <c r="Y582" s="85" t="str">
        <f>IF(AND(OR(N582="131",O582="131"),H582='131-CT'!$H$9),"x","")</f>
        <v/>
      </c>
      <c r="Z582" s="85"/>
      <c r="AA582" s="85" t="str">
        <f>IF(AND(MONTH(E582)='IN-NX'!$J$5,'IN-NX'!$D$7=D582),"x","")</f>
        <v/>
      </c>
      <c r="AB582" s="85" t="str">
        <f>IF(AND(OR(LEFT(TH!N582,2)="15",LEFT(TH!O582,2)="15"),'152-CT'!$J$8=TH!F582),"x","")</f>
        <v/>
      </c>
      <c r="AC582" s="85" t="str">
        <f>IF(AND(OR(LEFT(TH!N582,2)="15",LEFT(TH!O582,2)="15"),TK!$E$7=TH!F582),"x","")</f>
        <v/>
      </c>
      <c r="AD582" s="85" t="str">
        <f>IF(AND(N582="1521",MONTH(C582)='BK-NL'!$M$11),"x","")</f>
        <v/>
      </c>
    </row>
    <row r="583" spans="1:31" ht="15.75" customHeight="1">
      <c r="A583" s="343" t="str">
        <f>IF(B583&lt;&gt;"",IF(AND(B583='IN-TC'!$S$4,OR(TH!N583="1111",TH!O583="1111")),TH!D583,""),"")</f>
        <v/>
      </c>
      <c r="B583" s="63">
        <f t="shared" si="60"/>
        <v>3</v>
      </c>
      <c r="C583" s="64">
        <v>42444</v>
      </c>
      <c r="D583" s="320" t="s">
        <v>709</v>
      </c>
      <c r="E583" s="64">
        <v>42444</v>
      </c>
      <c r="F583" s="67" t="s">
        <v>1215</v>
      </c>
      <c r="G583" s="67" t="s">
        <v>930</v>
      </c>
      <c r="H583" s="74"/>
      <c r="I583" s="447"/>
      <c r="J583" s="447"/>
      <c r="K583" s="438"/>
      <c r="L583" s="447"/>
      <c r="M583" s="65">
        <v>20000</v>
      </c>
      <c r="N583" s="66" t="s">
        <v>101</v>
      </c>
      <c r="O583" s="66" t="s">
        <v>26</v>
      </c>
      <c r="P583" s="85" t="str">
        <f>IF(AND('331-CT'!$E$7=TH!H583,OR(N583="331",O583="331")),"x","")</f>
        <v/>
      </c>
      <c r="Q583" s="85" t="str">
        <f>IF(AND(B583='111'!$L$11,OR($N583=$Q$7,$O583=$Q$7)),"x","")</f>
        <v/>
      </c>
      <c r="R583" s="85" t="str">
        <f>IF(AND($N583=$Q$7,$B583&lt;'111'!$L$11),"x","")</f>
        <v/>
      </c>
      <c r="S583" s="85" t="str">
        <f>IF(AND($O583=$Q$7,$B583&lt;'111'!$L$11),"x","")</f>
        <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
      </c>
      <c r="W583" s="85" t="str">
        <f>IF(AND('341-CT'!$H$9=H583,OR(LEFT(N583,3)=$W$7,LEFT(O583,3)=$W$7)),"x","")</f>
        <v/>
      </c>
      <c r="X583" s="85" t="str">
        <f>IF(OR(TH!N583=TH!$X$7,O583=TH!$X$7),"x","")</f>
        <v/>
      </c>
      <c r="Y583" s="85" t="str">
        <f>IF(AND(OR(N583="131",O583="131"),H583='131-CT'!$H$9),"x","")</f>
        <v/>
      </c>
      <c r="Z583" s="85"/>
      <c r="AA583" s="85" t="str">
        <f>IF(AND(MONTH(E583)='IN-NX'!$J$5,'IN-NX'!$D$7=D583),"x","")</f>
        <v/>
      </c>
      <c r="AB583" s="85" t="str">
        <f>IF(AND(OR(LEFT(TH!N583,2)="15",LEFT(TH!O583,2)="15"),'152-CT'!$J$8=TH!F583),"x","")</f>
        <v/>
      </c>
      <c r="AC583" s="85" t="str">
        <f>IF(AND(OR(LEFT(TH!N583,2)="15",LEFT(TH!O583,2)="15"),TK!$E$7=TH!F583),"x","")</f>
        <v/>
      </c>
      <c r="AD583" s="85" t="str">
        <f>IF(AND(N583="1521",MONTH(C583)='BK-NL'!$M$11),"x","")</f>
        <v/>
      </c>
    </row>
    <row r="584" spans="1:31" ht="15.75" customHeight="1">
      <c r="A584" s="343" t="str">
        <f>IF(B584&lt;&gt;"",IF(AND(B584='IN-TC'!$S$4,OR(TH!N584="1111",TH!O584="1111")),TH!D584,""),"")</f>
        <v/>
      </c>
      <c r="B584" s="63">
        <f t="shared" si="60"/>
        <v>3</v>
      </c>
      <c r="C584" s="64">
        <v>42444</v>
      </c>
      <c r="D584" s="320" t="s">
        <v>709</v>
      </c>
      <c r="E584" s="64">
        <v>42444</v>
      </c>
      <c r="F584" s="67" t="s">
        <v>1216</v>
      </c>
      <c r="G584" s="67" t="s">
        <v>930</v>
      </c>
      <c r="H584" s="77"/>
      <c r="I584" s="447"/>
      <c r="J584" s="447"/>
      <c r="K584" s="438"/>
      <c r="L584" s="447"/>
      <c r="M584" s="65">
        <v>2000</v>
      </c>
      <c r="N584" s="66" t="s">
        <v>9</v>
      </c>
      <c r="O584" s="66" t="s">
        <v>26</v>
      </c>
      <c r="P584" s="85" t="str">
        <f>IF(AND('331-CT'!$E$7=TH!H584,OR(N584="331",O584="331")),"x","")</f>
        <v/>
      </c>
      <c r="Q584" s="85" t="str">
        <f>IF(AND(B584='111'!$L$11,OR($N584=$Q$7,$O584=$Q$7)),"x","")</f>
        <v/>
      </c>
      <c r="R584" s="85" t="str">
        <f>IF(AND($N584=$Q$7,$B584&lt;'111'!$L$11),"x","")</f>
        <v/>
      </c>
      <c r="S584" s="85" t="str">
        <f>IF(AND($O584=$Q$7,$B584&lt;'111'!$L$11),"x","")</f>
        <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
      </c>
      <c r="W584" s="85" t="str">
        <f>IF(AND('341-CT'!$H$9=H584,OR(LEFT(N584,3)=$W$7,LEFT(O584,3)=$W$7)),"x","")</f>
        <v/>
      </c>
      <c r="X584" s="85" t="str">
        <f>IF(OR(TH!N584=TH!$X$7,O584=TH!$X$7),"x","")</f>
        <v/>
      </c>
      <c r="Y584" s="85" t="str">
        <f>IF(AND(OR(N584="131",O584="131"),H584='131-CT'!$H$9),"x","")</f>
        <v/>
      </c>
      <c r="Z584" s="85"/>
      <c r="AA584" s="85" t="str">
        <f>IF(AND(MONTH(E584)='IN-NX'!$J$5,'IN-NX'!$D$7=D584),"x","")</f>
        <v/>
      </c>
      <c r="AB584" s="85" t="str">
        <f>IF(AND(OR(LEFT(TH!N584,2)="15",LEFT(TH!O584,2)="15"),'152-CT'!$J$8=TH!F584),"x","")</f>
        <v/>
      </c>
      <c r="AC584" s="85" t="str">
        <f>IF(AND(OR(LEFT(TH!N584,2)="15",LEFT(TH!O584,2)="15"),TK!$E$7=TH!F584),"x","")</f>
        <v/>
      </c>
      <c r="AD584" s="85" t="str">
        <f>IF(AND(N584="1521",MONTH(C584)='BK-NL'!$M$11),"x","")</f>
        <v/>
      </c>
    </row>
    <row r="585" spans="1:31" ht="15.75" customHeight="1">
      <c r="A585" s="343" t="str">
        <f>IF(B585&lt;&gt;"",IF(AND(B585='IN-TC'!$S$4,OR(TH!N585="1111",TH!O585="1111")),TH!D585,""),"")</f>
        <v/>
      </c>
      <c r="B585" s="63">
        <f t="shared" si="60"/>
        <v>3</v>
      </c>
      <c r="C585" s="64">
        <v>42444</v>
      </c>
      <c r="D585" s="320" t="s">
        <v>709</v>
      </c>
      <c r="E585" s="64">
        <v>42444</v>
      </c>
      <c r="F585" s="67" t="s">
        <v>1232</v>
      </c>
      <c r="G585" s="67" t="s">
        <v>930</v>
      </c>
      <c r="H585" s="74" t="s">
        <v>630</v>
      </c>
      <c r="I585" s="447"/>
      <c r="J585" s="447"/>
      <c r="K585" s="438"/>
      <c r="L585" s="447"/>
      <c r="M585" s="65">
        <v>50000000</v>
      </c>
      <c r="N585" s="66" t="s">
        <v>8</v>
      </c>
      <c r="O585" s="66" t="s">
        <v>26</v>
      </c>
      <c r="P585" s="85" t="str">
        <f>IF(AND('331-CT'!$E$7=TH!H585,OR(N585="331",O585="331")),"x","")</f>
        <v/>
      </c>
      <c r="Q585" s="85" t="str">
        <f>IF(AND(B585='111'!$L$11,OR($N585=$Q$7,$O585=$Q$7)),"x","")</f>
        <v/>
      </c>
      <c r="R585" s="85" t="str">
        <f>IF(AND($N585=$Q$7,$B585&lt;'111'!$L$11),"x","")</f>
        <v/>
      </c>
      <c r="S585" s="85" t="str">
        <f>IF(AND($O585=$Q$7,$B585&lt;'111'!$L$11),"x","")</f>
        <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
      </c>
      <c r="W585" s="85" t="str">
        <f>IF(AND('341-CT'!$H$9=H585,OR(LEFT(N585,3)=$W$7,LEFT(O585,3)=$W$7)),"x","")</f>
        <v/>
      </c>
      <c r="X585" s="85" t="str">
        <f>IF(OR(TH!N585=TH!$X$7,O585=TH!$X$7),"x","")</f>
        <v/>
      </c>
      <c r="Y585" s="85" t="str">
        <f>IF(AND(OR(N585="131",O585="131"),H585='131-CT'!$H$9),"x","")</f>
        <v/>
      </c>
      <c r="Z585" s="85"/>
      <c r="AA585" s="85" t="str">
        <f>IF(AND(MONTH(E585)='IN-NX'!$J$5,'IN-NX'!$D$7=D585),"x","")</f>
        <v/>
      </c>
      <c r="AB585" s="85" t="str">
        <f>IF(AND(OR(LEFT(TH!N585,2)="15",LEFT(TH!O585,2)="15"),'152-CT'!$J$8=TH!F585),"x","")</f>
        <v/>
      </c>
      <c r="AC585" s="85" t="str">
        <f>IF(AND(OR(LEFT(TH!N585,2)="15",LEFT(TH!O585,2)="15"),TK!$E$7=TH!F585),"x","")</f>
        <v/>
      </c>
      <c r="AD585" s="85" t="str">
        <f>IF(AND(N585="1521",MONTH(C585)='BK-NL'!$M$11),"x","")</f>
        <v/>
      </c>
    </row>
    <row r="586" spans="1:31" ht="15.75" customHeight="1">
      <c r="A586" s="343" t="str">
        <f>IF(B586&lt;&gt;"",IF(AND(B586='IN-TC'!$S$4,OR(TH!N586="1111",TH!O586="1111")),TH!D586,""),"")</f>
        <v/>
      </c>
      <c r="B586" s="63">
        <f t="shared" si="60"/>
        <v>3</v>
      </c>
      <c r="C586" s="64">
        <v>42444</v>
      </c>
      <c r="D586" s="320" t="s">
        <v>709</v>
      </c>
      <c r="E586" s="64">
        <v>42444</v>
      </c>
      <c r="F586" s="67" t="s">
        <v>1215</v>
      </c>
      <c r="G586" s="67" t="s">
        <v>930</v>
      </c>
      <c r="H586" s="74"/>
      <c r="I586" s="447"/>
      <c r="J586" s="447"/>
      <c r="K586" s="438"/>
      <c r="L586" s="447"/>
      <c r="M586" s="65">
        <v>20000</v>
      </c>
      <c r="N586" s="66" t="s">
        <v>101</v>
      </c>
      <c r="O586" s="66" t="s">
        <v>26</v>
      </c>
      <c r="P586" s="85" t="str">
        <f>IF(AND('331-CT'!$E$7=TH!H586,OR(N586="331",O586="331")),"x","")</f>
        <v/>
      </c>
      <c r="Q586" s="85" t="str">
        <f>IF(AND(B586='111'!$L$11,OR($N586=$Q$7,$O586=$Q$7)),"x","")</f>
        <v/>
      </c>
      <c r="R586" s="85" t="str">
        <f>IF(AND($N586=$Q$7,$B586&lt;'111'!$L$11),"x","")</f>
        <v/>
      </c>
      <c r="S586" s="85" t="str">
        <f>IF(AND($O586=$Q$7,$B586&lt;'111'!$L$11),"x","")</f>
        <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
      </c>
      <c r="W586" s="85" t="str">
        <f>IF(AND('341-CT'!$H$9=H586,OR(LEFT(N586,3)=$W$7,LEFT(O586,3)=$W$7)),"x","")</f>
        <v/>
      </c>
      <c r="X586" s="85" t="str">
        <f>IF(OR(TH!N586=TH!$X$7,O586=TH!$X$7),"x","")</f>
        <v/>
      </c>
      <c r="Y586" s="85" t="str">
        <f>IF(AND(OR(N586="131",O586="131"),H586='131-CT'!$H$9),"x","")</f>
        <v/>
      </c>
      <c r="Z586" s="85"/>
      <c r="AA586" s="85" t="str">
        <f>IF(AND(MONTH(E586)='IN-NX'!$J$5,'IN-NX'!$D$7=D586),"x","")</f>
        <v/>
      </c>
      <c r="AB586" s="85" t="str">
        <f>IF(AND(OR(LEFT(TH!N586,2)="15",LEFT(TH!O586,2)="15"),'152-CT'!$J$8=TH!F586),"x","")</f>
        <v/>
      </c>
      <c r="AC586" s="85" t="str">
        <f>IF(AND(OR(LEFT(TH!N586,2)="15",LEFT(TH!O586,2)="15"),TK!$E$7=TH!F586),"x","")</f>
        <v/>
      </c>
      <c r="AD586" s="85" t="str">
        <f>IF(AND(N586="1521",MONTH(C586)='BK-NL'!$M$11),"x","")</f>
        <v/>
      </c>
    </row>
    <row r="587" spans="1:31" ht="15.75" customHeight="1">
      <c r="A587" s="343" t="str">
        <f>IF(B587&lt;&gt;"",IF(AND(B587='IN-TC'!$S$4,OR(TH!N587="1111",TH!O587="1111")),TH!D587,""),"")</f>
        <v/>
      </c>
      <c r="B587" s="63">
        <f t="shared" ref="B587:B650" si="61">IF(C587&lt;&gt;"",MONTH(C587),"")</f>
        <v>3</v>
      </c>
      <c r="C587" s="64">
        <v>42444</v>
      </c>
      <c r="D587" s="320" t="s">
        <v>709</v>
      </c>
      <c r="E587" s="64">
        <v>42444</v>
      </c>
      <c r="F587" s="67" t="s">
        <v>1216</v>
      </c>
      <c r="G587" s="67" t="s">
        <v>930</v>
      </c>
      <c r="H587" s="7"/>
      <c r="I587" s="447"/>
      <c r="J587" s="447"/>
      <c r="K587" s="438"/>
      <c r="L587" s="447"/>
      <c r="M587" s="65">
        <v>2000</v>
      </c>
      <c r="N587" s="66" t="s">
        <v>9</v>
      </c>
      <c r="O587" s="66" t="s">
        <v>26</v>
      </c>
      <c r="P587" s="85" t="str">
        <f>IF(AND('331-CT'!$E$7=TH!H587,OR(N587="331",O587="331")),"x","")</f>
        <v/>
      </c>
      <c r="Q587" s="85" t="str">
        <f>IF(AND(B587='111'!$L$11,OR($N587=$Q$7,$O587=$Q$7)),"x","")</f>
        <v/>
      </c>
      <c r="R587" s="85" t="str">
        <f>IF(AND($N587=$Q$7,$B587&lt;'111'!$L$11),"x","")</f>
        <v/>
      </c>
      <c r="S587" s="85" t="str">
        <f>IF(AND($O587=$Q$7,$B587&lt;'111'!$L$11),"x","")</f>
        <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
      </c>
      <c r="W587" s="85" t="str">
        <f>IF(AND('341-CT'!$H$9=H587,OR(LEFT(N587,3)=$W$7,LEFT(O587,3)=$W$7)),"x","")</f>
        <v/>
      </c>
      <c r="X587" s="85" t="str">
        <f>IF(OR(TH!N587=TH!$X$7,O587=TH!$X$7),"x","")</f>
        <v/>
      </c>
      <c r="Y587" s="85" t="str">
        <f>IF(AND(OR(N587="131",O587="131"),H587='131-CT'!$H$9),"x","")</f>
        <v/>
      </c>
      <c r="Z587" s="85"/>
      <c r="AA587" s="85" t="str">
        <f>IF(AND(MONTH(E587)='IN-NX'!$J$5,'IN-NX'!$D$7=D587),"x","")</f>
        <v/>
      </c>
      <c r="AB587" s="85" t="str">
        <f>IF(AND(OR(LEFT(TH!N587,2)="15",LEFT(TH!O587,2)="15"),'152-CT'!$J$8=TH!F587),"x","")</f>
        <v/>
      </c>
      <c r="AC587" s="85" t="str">
        <f>IF(AND(OR(LEFT(TH!N587,2)="15",LEFT(TH!O587,2)="15"),TK!$E$7=TH!F587),"x","")</f>
        <v/>
      </c>
      <c r="AD587" s="85" t="str">
        <f>IF(AND(N587="1521",MONTH(C587)='BK-NL'!$M$11),"x","")</f>
        <v/>
      </c>
    </row>
    <row r="588" spans="1:31" ht="15.75" customHeight="1">
      <c r="A588" s="343" t="str">
        <f>IF(B588&lt;&gt;"",IF(AND(B588='IN-TC'!$S$4,OR(TH!N588="1111",TH!O588="1111")),TH!D588,""),"")</f>
        <v/>
      </c>
      <c r="B588" s="63">
        <f t="shared" si="61"/>
        <v>3</v>
      </c>
      <c r="C588" s="64">
        <v>42444</v>
      </c>
      <c r="D588" s="320" t="s">
        <v>709</v>
      </c>
      <c r="E588" s="64">
        <v>42444</v>
      </c>
      <c r="F588" s="67" t="s">
        <v>1233</v>
      </c>
      <c r="G588" s="67" t="s">
        <v>930</v>
      </c>
      <c r="H588" s="74" t="s">
        <v>635</v>
      </c>
      <c r="I588" s="447"/>
      <c r="J588" s="447"/>
      <c r="K588" s="438"/>
      <c r="L588" s="447"/>
      <c r="M588" s="65">
        <v>50000000</v>
      </c>
      <c r="N588" s="66" t="s">
        <v>8</v>
      </c>
      <c r="O588" s="66" t="s">
        <v>26</v>
      </c>
      <c r="P588" s="85" t="str">
        <f>IF(AND('331-CT'!$E$7=TH!H588,OR(N588="331",O588="331")),"x","")</f>
        <v/>
      </c>
      <c r="Q588" s="85" t="str">
        <f>IF(AND(B588='111'!$L$11,OR($N588=$Q$7,$O588=$Q$7)),"x","")</f>
        <v/>
      </c>
      <c r="R588" s="85" t="str">
        <f>IF(AND($N588=$Q$7,$B588&lt;'111'!$L$11),"x","")</f>
        <v/>
      </c>
      <c r="S588" s="85" t="str">
        <f>IF(AND($O588=$Q$7,$B588&lt;'111'!$L$11),"x","")</f>
        <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
      </c>
      <c r="W588" s="85" t="str">
        <f>IF(AND('341-CT'!$H$9=H588,OR(LEFT(N588,3)=$W$7,LEFT(O588,3)=$W$7)),"x","")</f>
        <v/>
      </c>
      <c r="X588" s="85" t="str">
        <f>IF(OR(TH!N588=TH!$X$7,O588=TH!$X$7),"x","")</f>
        <v/>
      </c>
      <c r="Y588" s="85" t="str">
        <f>IF(AND(OR(N588="131",O588="131"),H588='131-CT'!$H$9),"x","")</f>
        <v/>
      </c>
      <c r="Z588" s="85"/>
      <c r="AA588" s="85" t="str">
        <f>IF(AND(MONTH(E588)='IN-NX'!$J$5,'IN-NX'!$D$7=D588),"x","")</f>
        <v/>
      </c>
      <c r="AB588" s="85" t="str">
        <f>IF(AND(OR(LEFT(TH!N588,2)="15",LEFT(TH!O588,2)="15"),'152-CT'!$J$8=TH!F588),"x","")</f>
        <v/>
      </c>
      <c r="AC588" s="85" t="str">
        <f>IF(AND(OR(LEFT(TH!N588,2)="15",LEFT(TH!O588,2)="15"),TK!$E$7=TH!F588),"x","")</f>
        <v/>
      </c>
      <c r="AD588" s="85" t="str">
        <f>IF(AND(N588="1521",MONTH(C588)='BK-NL'!$M$11),"x","")</f>
        <v/>
      </c>
    </row>
    <row r="589" spans="1:31" ht="15.75" customHeight="1">
      <c r="A589" s="343" t="str">
        <f>IF(B589&lt;&gt;"",IF(AND(B589='IN-TC'!$S$4,OR(TH!N589="1111",TH!O589="1111")),TH!D589,""),"")</f>
        <v/>
      </c>
      <c r="B589" s="63">
        <f t="shared" si="61"/>
        <v>3</v>
      </c>
      <c r="C589" s="64">
        <v>42444</v>
      </c>
      <c r="D589" s="320" t="s">
        <v>709</v>
      </c>
      <c r="E589" s="64">
        <v>42444</v>
      </c>
      <c r="F589" s="67" t="s">
        <v>1215</v>
      </c>
      <c r="G589" s="67" t="s">
        <v>930</v>
      </c>
      <c r="H589" s="74"/>
      <c r="I589" s="447"/>
      <c r="J589" s="447"/>
      <c r="K589" s="438"/>
      <c r="L589" s="447"/>
      <c r="M589" s="65">
        <v>20000</v>
      </c>
      <c r="N589" s="66" t="s">
        <v>101</v>
      </c>
      <c r="O589" s="66" t="s">
        <v>26</v>
      </c>
      <c r="P589" s="85" t="str">
        <f>IF(AND('331-CT'!$E$7=TH!H589,OR(N589="331",O589="331")),"x","")</f>
        <v/>
      </c>
      <c r="Q589" s="85" t="str">
        <f>IF(AND(B589='111'!$L$11,OR($N589=$Q$7,$O589=$Q$7)),"x","")</f>
        <v/>
      </c>
      <c r="R589" s="85" t="str">
        <f>IF(AND($N589=$Q$7,$B589&lt;'111'!$L$11),"x","")</f>
        <v/>
      </c>
      <c r="S589" s="85" t="str">
        <f>IF(AND($O589=$Q$7,$B589&lt;'111'!$L$11),"x","")</f>
        <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
      </c>
      <c r="W589" s="85" t="str">
        <f>IF(AND('341-CT'!$H$9=H589,OR(LEFT(N589,3)=$W$7,LEFT(O589,3)=$W$7)),"x","")</f>
        <v/>
      </c>
      <c r="X589" s="85" t="str">
        <f>IF(OR(TH!N589=TH!$X$7,O589=TH!$X$7),"x","")</f>
        <v/>
      </c>
      <c r="Y589" s="85" t="str">
        <f>IF(AND(OR(N589="131",O589="131"),H589='131-CT'!$H$9),"x","")</f>
        <v/>
      </c>
      <c r="Z589" s="85"/>
      <c r="AA589" s="85" t="str">
        <f>IF(AND(MONTH(E589)='IN-NX'!$J$5,'IN-NX'!$D$7=D589),"x","")</f>
        <v/>
      </c>
      <c r="AB589" s="85" t="str">
        <f>IF(AND(OR(LEFT(TH!N589,2)="15",LEFT(TH!O589,2)="15"),'152-CT'!$J$8=TH!F589),"x","")</f>
        <v/>
      </c>
      <c r="AC589" s="85" t="str">
        <f>IF(AND(OR(LEFT(TH!N589,2)="15",LEFT(TH!O589,2)="15"),TK!$E$7=TH!F589),"x","")</f>
        <v/>
      </c>
      <c r="AD589" s="85" t="str">
        <f>IF(AND(N589="1521",MONTH(C589)='BK-NL'!$M$11),"x","")</f>
        <v/>
      </c>
    </row>
    <row r="590" spans="1:31" ht="15.75" customHeight="1">
      <c r="A590" s="343" t="str">
        <f>IF(B590&lt;&gt;"",IF(AND(B590='IN-TC'!$S$4,OR(TH!N590="1111",TH!O590="1111")),TH!D590,""),"")</f>
        <v/>
      </c>
      <c r="B590" s="63">
        <f t="shared" si="61"/>
        <v>3</v>
      </c>
      <c r="C590" s="320">
        <v>42444</v>
      </c>
      <c r="D590" s="320" t="s">
        <v>709</v>
      </c>
      <c r="E590" s="320">
        <v>42444</v>
      </c>
      <c r="F590" s="67" t="s">
        <v>1216</v>
      </c>
      <c r="G590" s="996" t="s">
        <v>930</v>
      </c>
      <c r="H590" s="74"/>
      <c r="I590" s="447"/>
      <c r="J590" s="447"/>
      <c r="K590" s="438"/>
      <c r="L590" s="447"/>
      <c r="M590" s="65">
        <v>2000</v>
      </c>
      <c r="N590" s="66" t="s">
        <v>9</v>
      </c>
      <c r="O590" s="66" t="s">
        <v>26</v>
      </c>
      <c r="P590" s="85" t="str">
        <f>IF(AND('331-CT'!$E$7=TH!H590,OR(N590="331",O590="331")),"x","")</f>
        <v/>
      </c>
      <c r="Q590" s="85" t="str">
        <f>IF(AND(B590='111'!$L$11,OR($N590=$Q$7,$O590=$Q$7)),"x","")</f>
        <v/>
      </c>
      <c r="R590" s="85" t="str">
        <f>IF(AND($N590=$Q$7,$B590&lt;'111'!$L$11),"x","")</f>
        <v/>
      </c>
      <c r="S590" s="85" t="str">
        <f>IF(AND($O590=$Q$7,$B590&lt;'111'!$L$11),"x","")</f>
        <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
      </c>
      <c r="W590" s="85" t="str">
        <f>IF(AND('341-CT'!$H$9=H590,OR(LEFT(N590,3)=$W$7,LEFT(O590,3)=$W$7)),"x","")</f>
        <v/>
      </c>
      <c r="X590" s="85" t="str">
        <f>IF(OR(TH!N590=TH!$X$7,O590=TH!$X$7),"x","")</f>
        <v/>
      </c>
      <c r="Y590" s="85" t="str">
        <f>IF(AND(OR(N590="131",O590="131"),H590='131-CT'!$H$9),"x","")</f>
        <v/>
      </c>
      <c r="Z590" s="85"/>
      <c r="AA590" s="85" t="str">
        <f>IF(AND(MONTH(E590)='IN-NX'!$J$5,'IN-NX'!$D$7=D590),"x","")</f>
        <v/>
      </c>
      <c r="AB590" s="85" t="str">
        <f>IF(AND(OR(LEFT(TH!N590,2)="15",LEFT(TH!O590,2)="15"),'152-CT'!$J$8=TH!F590),"x","")</f>
        <v/>
      </c>
      <c r="AC590" s="85" t="str">
        <f>IF(AND(OR(LEFT(TH!N590,2)="15",LEFT(TH!O590,2)="15"),TK!$E$7=TH!F590),"x","")</f>
        <v/>
      </c>
      <c r="AD590" s="85" t="str">
        <f>IF(AND(N590="1521",MONTH(C590)='BK-NL'!$M$11),"x","")</f>
        <v/>
      </c>
    </row>
    <row r="591" spans="1:31" s="358" customFormat="1" ht="15.75" customHeight="1">
      <c r="A591" s="343" t="str">
        <f>IF(B591&lt;&gt;"",IF(AND(B591='IN-TC'!$S$4,OR(TH!N591="1111",TH!O591="1111")),TH!D591,""),"")</f>
        <v/>
      </c>
      <c r="B591" s="63">
        <f t="shared" si="61"/>
        <v>3</v>
      </c>
      <c r="C591" s="320">
        <v>42444</v>
      </c>
      <c r="D591" s="320" t="s">
        <v>917</v>
      </c>
      <c r="E591" s="320">
        <v>42444</v>
      </c>
      <c r="F591" s="321" t="s">
        <v>1158</v>
      </c>
      <c r="G591" s="1000" t="s">
        <v>929</v>
      </c>
      <c r="H591" s="7" t="s">
        <v>773</v>
      </c>
      <c r="I591" s="447"/>
      <c r="J591" s="447"/>
      <c r="K591" s="438"/>
      <c r="L591" s="447"/>
      <c r="M591" s="65">
        <v>1900000000</v>
      </c>
      <c r="N591" s="323" t="s">
        <v>63</v>
      </c>
      <c r="O591" s="323" t="s">
        <v>26</v>
      </c>
      <c r="P591" s="85" t="str">
        <f>IF(AND('331-CT'!$E$7=TH!H591,OR(N591="331",O591="331")),"x","")</f>
        <v/>
      </c>
      <c r="Q591" s="85" t="str">
        <f>IF(AND(B591='111'!$L$11,OR($N591=$Q$7,$O591=$Q$7)),"x","")</f>
        <v/>
      </c>
      <c r="R591" s="85" t="str">
        <f>IF(AND($N591=$Q$7,$B591&lt;'111'!$L$11),"x","")</f>
        <v/>
      </c>
      <c r="S591" s="85" t="str">
        <f>IF(AND($O591=$Q$7,$B591&lt;'111'!$L$11),"x","")</f>
        <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
      </c>
      <c r="W591" s="85" t="str">
        <f>IF(AND('341-CT'!$H$9=H591,OR(LEFT(N591,3)=$W$7,LEFT(O591,3)=$W$7)),"x","")</f>
        <v/>
      </c>
      <c r="X591" s="85" t="str">
        <f>IF(OR(TH!N591=TH!$X$7,O591=TH!$X$7),"x","")</f>
        <v/>
      </c>
      <c r="Y591" s="85" t="str">
        <f>IF(AND(OR(N591="131",O591="131"),H591='131-CT'!$H$9),"x","")</f>
        <v/>
      </c>
      <c r="Z591" s="85"/>
      <c r="AA591" s="85" t="str">
        <f>IF(AND(MONTH(E591)='IN-NX'!$J$5,'IN-NX'!$D$7=D591),"x","")</f>
        <v/>
      </c>
      <c r="AB591" s="85" t="str">
        <f>IF(AND(OR(LEFT(TH!N591,2)="15",LEFT(TH!O591,2)="15"),'152-CT'!$J$8=TH!F591),"x","")</f>
        <v/>
      </c>
      <c r="AC591" s="85" t="str">
        <f>IF(AND(OR(LEFT(TH!N591,2)="15",LEFT(TH!O591,2)="15"),TK!$E$7=TH!F591),"x","")</f>
        <v/>
      </c>
      <c r="AD591" s="85" t="str">
        <f>IF(AND(N591="1521",MONTH(C591)='BK-NL'!$M$11),"x","")</f>
        <v/>
      </c>
    </row>
    <row r="592" spans="1:31" ht="15.75" customHeight="1">
      <c r="A592" s="343" t="str">
        <f>IF(B592&lt;&gt;"",IF(AND(B592='IN-TC'!$S$4,OR(TH!N592="1111",TH!O592="1111")),TH!D592,""),"")</f>
        <v/>
      </c>
      <c r="B592" s="63">
        <f t="shared" si="61"/>
        <v>3</v>
      </c>
      <c r="C592" s="320">
        <v>42446</v>
      </c>
      <c r="D592" s="320" t="s">
        <v>905</v>
      </c>
      <c r="E592" s="320">
        <v>42446</v>
      </c>
      <c r="F592" s="321" t="s">
        <v>1194</v>
      </c>
      <c r="G592" s="1000" t="s">
        <v>1153</v>
      </c>
      <c r="H592" s="322" t="s">
        <v>622</v>
      </c>
      <c r="I592" s="447"/>
      <c r="J592" s="447"/>
      <c r="K592" s="438"/>
      <c r="L592" s="447"/>
      <c r="M592" s="65">
        <v>5610000</v>
      </c>
      <c r="N592" s="323" t="s">
        <v>8</v>
      </c>
      <c r="O592" s="66" t="s">
        <v>63</v>
      </c>
      <c r="P592" s="85" t="str">
        <f>IF(AND('331-CT'!$E$7=TH!H592,OR(N592="331",O592="331")),"x","")</f>
        <v>x</v>
      </c>
      <c r="Q592" s="85" t="str">
        <f>IF(AND(B592='111'!$L$11,OR($N592=$Q$7,$O592=$Q$7)),"x","")</f>
        <v/>
      </c>
      <c r="R592" s="85" t="str">
        <f>IF(AND($N592=$Q$7,$B592&lt;'111'!$L$11),"x","")</f>
        <v/>
      </c>
      <c r="S592" s="85" t="str">
        <f>IF(AND($O592=$Q$7,$B592&lt;'111'!$L$11),"x","")</f>
        <v/>
      </c>
      <c r="T592" s="85" t="str">
        <f>IF(ISERROR(FIND('112'!$M$9,G592,1)),"",IF((AND(FIND('112'!$M$9,G592,1)&gt;=1,B592='112'!$K$9,OR($N592='112'!$I$6,$O592='112'!$I$6))),"x",""))</f>
        <v/>
      </c>
      <c r="U592" s="85" t="str">
        <f>IF(ISERROR(FIND('112'!$M$9,G592,1)),"",IF((AND(LEFT(G592,2)=LEFT('112'!$M$9,2),B592&lt;'112'!$K$9,$N592='112'!$I$6)),"x",""))</f>
        <v/>
      </c>
      <c r="V592" s="85" t="str">
        <f>IF(ISERROR(FIND('112'!$M$9,G592,1)),"",IF((AND(RIGHT(G592,2)=RIGHT('112'!$M$9,2),B592&lt;'112'!$K$9,$O592='112'!$I$6)),"x",""))</f>
        <v/>
      </c>
      <c r="W592" s="85" t="str">
        <f>IF(AND('341-CT'!$H$9=H592,OR(LEFT(N592,3)=$W$7,LEFT(O592,3)=$W$7)),"x","")</f>
        <v/>
      </c>
      <c r="X592" s="85" t="str">
        <f>IF(OR(TH!N592=TH!$X$7,O592=TH!$X$7),"x","")</f>
        <v/>
      </c>
      <c r="Y592" s="85" t="str">
        <f>IF(AND(OR(N592="131",O592="131"),H592='131-CT'!$H$9),"x","")</f>
        <v/>
      </c>
      <c r="Z592" s="85"/>
      <c r="AA592" s="85" t="str">
        <f>IF(AND(MONTH(E592)='IN-NX'!$J$5,'IN-NX'!$D$7=D592),"x","")</f>
        <v/>
      </c>
      <c r="AB592" s="85" t="str">
        <f>IF(AND(OR(LEFT(TH!N592,2)="15",LEFT(TH!O592,2)="15"),'152-CT'!$J$8=TH!F592),"x","")</f>
        <v/>
      </c>
      <c r="AC592" s="85" t="str">
        <f>IF(AND(OR(LEFT(TH!N592,2)="15",LEFT(TH!O592,2)="15"),TK!$E$7=TH!F592),"x","")</f>
        <v/>
      </c>
      <c r="AD592" s="85" t="str">
        <f>IF(AND(N592="1521",MONTH(C592)='BK-NL'!$M$11),"x","")</f>
        <v/>
      </c>
    </row>
    <row r="593" spans="1:31" ht="15.75" customHeight="1">
      <c r="A593" s="343" t="str">
        <f>IF(B593&lt;&gt;"",IF(AND(B593='IN-TC'!$S$4,OR(TH!N593="1111",TH!O593="1111")),TH!D593,""),"")</f>
        <v/>
      </c>
      <c r="B593" s="63">
        <f t="shared" si="61"/>
        <v>3</v>
      </c>
      <c r="C593" s="320">
        <v>42446</v>
      </c>
      <c r="D593" s="320" t="s">
        <v>906</v>
      </c>
      <c r="E593" s="320">
        <v>42446</v>
      </c>
      <c r="F593" s="321" t="s">
        <v>1154</v>
      </c>
      <c r="G593" s="1000" t="s">
        <v>1156</v>
      </c>
      <c r="H593" s="322" t="s">
        <v>1157</v>
      </c>
      <c r="I593" s="447"/>
      <c r="J593" s="447"/>
      <c r="K593" s="438"/>
      <c r="L593" s="447"/>
      <c r="M593" s="65">
        <v>1033880</v>
      </c>
      <c r="N593" s="323" t="s">
        <v>101</v>
      </c>
      <c r="O593" s="66" t="s">
        <v>63</v>
      </c>
      <c r="P593" s="85" t="str">
        <f>IF(AND('331-CT'!$E$7=TH!H593,OR(N593="331",O593="331")),"x","")</f>
        <v/>
      </c>
      <c r="Q593" s="85" t="str">
        <f>IF(AND(B593='111'!$L$11,OR($N593=$Q$7,$O593=$Q$7)),"x","")</f>
        <v/>
      </c>
      <c r="R593" s="85" t="str">
        <f>IF(AND($N593=$Q$7,$B593&lt;'111'!$L$11),"x","")</f>
        <v/>
      </c>
      <c r="S593" s="85" t="str">
        <f>IF(AND($O593=$Q$7,$B593&lt;'111'!$L$11),"x","")</f>
        <v/>
      </c>
      <c r="T593" s="85" t="str">
        <f>IF(ISERROR(FIND('112'!$M$9,G593,1)),"",IF((AND(FIND('112'!$M$9,G593,1)&gt;=1,B593='112'!$K$9,OR($N593='112'!$I$6,$O593='112'!$I$6))),"x",""))</f>
        <v/>
      </c>
      <c r="U593" s="85" t="str">
        <f>IF(ISERROR(FIND('112'!$M$9,G593,1)),"",IF((AND(LEFT(G593,2)=LEFT('112'!$M$9,2),B593&lt;'112'!$K$9,$N593='112'!$I$6)),"x",""))</f>
        <v/>
      </c>
      <c r="V593" s="85" t="str">
        <f>IF(ISERROR(FIND('112'!$M$9,G593,1)),"",IF((AND(RIGHT(G593,2)=RIGHT('112'!$M$9,2),B593&lt;'112'!$K$9,$O593='112'!$I$6)),"x",""))</f>
        <v/>
      </c>
      <c r="W593" s="85" t="str">
        <f>IF(AND('341-CT'!$H$9=H593,OR(LEFT(N593,3)=$W$7,LEFT(O593,3)=$W$7)),"x","")</f>
        <v/>
      </c>
      <c r="X593" s="85" t="str">
        <f>IF(OR(TH!N593=TH!$X$7,O593=TH!$X$7),"x","")</f>
        <v/>
      </c>
      <c r="Y593" s="85" t="str">
        <f>IF(AND(OR(N593="131",O593="131"),H593='131-CT'!$H$9),"x","")</f>
        <v/>
      </c>
      <c r="Z593" s="85"/>
      <c r="AA593" s="85" t="str">
        <f>IF(AND(MONTH(E593)='IN-NX'!$J$5,'IN-NX'!$D$7=D593),"x","")</f>
        <v/>
      </c>
      <c r="AB593" s="85" t="str">
        <f>IF(AND(OR(LEFT(TH!N593,2)="15",LEFT(TH!O593,2)="15"),'152-CT'!$J$8=TH!F593),"x","")</f>
        <v/>
      </c>
      <c r="AC593" s="85" t="str">
        <f>IF(AND(OR(LEFT(TH!N593,2)="15",LEFT(TH!O593,2)="15"),TK!$E$7=TH!F593),"x","")</f>
        <v/>
      </c>
      <c r="AD593" s="85" t="str">
        <f>IF(AND(N593="1521",MONTH(C593)='BK-NL'!$M$11),"x","")</f>
        <v/>
      </c>
    </row>
    <row r="594" spans="1:31" ht="15.75" customHeight="1">
      <c r="A594" s="343" t="str">
        <f>IF(B594&lt;&gt;"",IF(AND(B594='IN-TC'!$S$4,OR(TH!N594="1111",TH!O594="1111")),TH!D594,""),"")</f>
        <v/>
      </c>
      <c r="B594" s="63">
        <f t="shared" si="61"/>
        <v>3</v>
      </c>
      <c r="C594" s="320">
        <v>42446</v>
      </c>
      <c r="D594" s="320" t="s">
        <v>906</v>
      </c>
      <c r="E594" s="320">
        <v>42446</v>
      </c>
      <c r="F594" s="321" t="s">
        <v>1155</v>
      </c>
      <c r="G594" s="1000" t="s">
        <v>1156</v>
      </c>
      <c r="H594" s="7" t="s">
        <v>1157</v>
      </c>
      <c r="I594" s="447"/>
      <c r="J594" s="447"/>
      <c r="K594" s="438"/>
      <c r="L594" s="447"/>
      <c r="M594" s="65">
        <v>103388</v>
      </c>
      <c r="N594" s="323" t="s">
        <v>9</v>
      </c>
      <c r="O594" s="66" t="s">
        <v>63</v>
      </c>
      <c r="P594" s="85" t="str">
        <f>IF(AND('331-CT'!$E$7=TH!H594,OR(N594="331",O594="331")),"x","")</f>
        <v/>
      </c>
      <c r="Q594" s="85" t="str">
        <f>IF(AND(B594='111'!$L$11,OR($N594=$Q$7,$O594=$Q$7)),"x","")</f>
        <v/>
      </c>
      <c r="R594" s="85" t="str">
        <f>IF(AND($N594=$Q$7,$B594&lt;'111'!$L$11),"x","")</f>
        <v/>
      </c>
      <c r="S594" s="85" t="str">
        <f>IF(AND($O594=$Q$7,$B594&lt;'111'!$L$11),"x","")</f>
        <v/>
      </c>
      <c r="T594" s="85" t="str">
        <f>IF(ISERROR(FIND('112'!$M$9,G594,1)),"",IF((AND(FIND('112'!$M$9,G594,1)&gt;=1,B594='112'!$K$9,OR($N594='112'!$I$6,$O594='112'!$I$6))),"x",""))</f>
        <v/>
      </c>
      <c r="U594" s="85" t="str">
        <f>IF(ISERROR(FIND('112'!$M$9,G594,1)),"",IF((AND(LEFT(G594,2)=LEFT('112'!$M$9,2),B594&lt;'112'!$K$9,$N594='112'!$I$6)),"x",""))</f>
        <v/>
      </c>
      <c r="V594" s="85" t="str">
        <f>IF(ISERROR(FIND('112'!$M$9,G594,1)),"",IF((AND(RIGHT(G594,2)=RIGHT('112'!$M$9,2),B594&lt;'112'!$K$9,$O594='112'!$I$6)),"x",""))</f>
        <v/>
      </c>
      <c r="W594" s="85" t="str">
        <f>IF(AND('341-CT'!$H$9=H594,OR(LEFT(N594,3)=$W$7,LEFT(O594,3)=$W$7)),"x","")</f>
        <v/>
      </c>
      <c r="X594" s="85" t="str">
        <f>IF(OR(TH!N594=TH!$X$7,O594=TH!$X$7),"x","")</f>
        <v/>
      </c>
      <c r="Y594" s="85" t="str">
        <f>IF(AND(OR(N594="131",O594="131"),H594='131-CT'!$H$9),"x","")</f>
        <v/>
      </c>
      <c r="Z594" s="85"/>
      <c r="AA594" s="85" t="str">
        <f>IF(AND(MONTH(E594)='IN-NX'!$J$5,'IN-NX'!$D$7=D594),"x","")</f>
        <v/>
      </c>
      <c r="AB594" s="85" t="str">
        <f>IF(AND(OR(LEFT(TH!N594,2)="15",LEFT(TH!O594,2)="15"),'152-CT'!$J$8=TH!F594),"x","")</f>
        <v/>
      </c>
      <c r="AC594" s="85" t="str">
        <f>IF(AND(OR(LEFT(TH!N594,2)="15",LEFT(TH!O594,2)="15"),TK!$E$7=TH!F594),"x","")</f>
        <v/>
      </c>
      <c r="AD594" s="85" t="str">
        <f>IF(AND(N594="1521",MONTH(C594)='BK-NL'!$M$11),"x","")</f>
        <v/>
      </c>
      <c r="AE594" s="358"/>
    </row>
    <row r="595" spans="1:31" ht="15.75" customHeight="1">
      <c r="A595" s="343" t="str">
        <f>IF(B595&lt;&gt;"",IF(AND(B595='IN-TC'!$S$4,OR(TH!N595="1111",TH!O595="1111")),TH!D595,""),"")</f>
        <v/>
      </c>
      <c r="B595" s="63">
        <f t="shared" si="61"/>
        <v>3</v>
      </c>
      <c r="C595" s="64">
        <v>42446</v>
      </c>
      <c r="D595" s="320" t="s">
        <v>907</v>
      </c>
      <c r="E595" s="64">
        <v>42446</v>
      </c>
      <c r="F595" s="67" t="s">
        <v>781</v>
      </c>
      <c r="G595" s="1000" t="s">
        <v>1361</v>
      </c>
      <c r="H595" s="74" t="s">
        <v>819</v>
      </c>
      <c r="I595" s="447"/>
      <c r="J595" s="447"/>
      <c r="K595" s="438"/>
      <c r="L595" s="447"/>
      <c r="M595" s="65">
        <v>513836</v>
      </c>
      <c r="N595" s="66" t="s">
        <v>101</v>
      </c>
      <c r="O595" s="66" t="s">
        <v>63</v>
      </c>
      <c r="P595" s="85" t="str">
        <f>IF(AND('331-CT'!$E$7=TH!H595,OR(N595="331",O595="331")),"x","")</f>
        <v/>
      </c>
      <c r="Q595" s="85" t="str">
        <f>IF(AND(B595='111'!$L$11,OR($N595=$Q$7,$O595=$Q$7)),"x","")</f>
        <v/>
      </c>
      <c r="R595" s="85" t="str">
        <f>IF(AND($N595=$Q$7,$B595&lt;'111'!$L$11),"x","")</f>
        <v/>
      </c>
      <c r="S595" s="85" t="str">
        <f>IF(AND($O595=$Q$7,$B595&lt;'111'!$L$11),"x","")</f>
        <v/>
      </c>
      <c r="T595" s="85" t="str">
        <f>IF(ISERROR(FIND('112'!$M$9,G595,1)),"",IF((AND(FIND('112'!$M$9,G595,1)&gt;=1,B595='112'!$K$9,OR($N595='112'!$I$6,$O595='112'!$I$6))),"x",""))</f>
        <v/>
      </c>
      <c r="U595" s="85" t="str">
        <f>IF(ISERROR(FIND('112'!$M$9,G595,1)),"",IF((AND(LEFT(G595,2)=LEFT('112'!$M$9,2),B595&lt;'112'!$K$9,$N595='112'!$I$6)),"x",""))</f>
        <v/>
      </c>
      <c r="V595" s="85" t="str">
        <f>IF(ISERROR(FIND('112'!$M$9,G595,1)),"",IF((AND(RIGHT(G595,2)=RIGHT('112'!$M$9,2),B595&lt;'112'!$K$9,$O595='112'!$I$6)),"x",""))</f>
        <v/>
      </c>
      <c r="W595" s="85" t="str">
        <f>IF(AND('341-CT'!$H$9=H595,OR(LEFT(N595,3)=$W$7,LEFT(O595,3)=$W$7)),"x","")</f>
        <v/>
      </c>
      <c r="X595" s="85" t="str">
        <f>IF(OR(TH!N595=TH!$X$7,O595=TH!$X$7),"x","")</f>
        <v/>
      </c>
      <c r="Y595" s="85" t="str">
        <f>IF(AND(OR(N595="131",O595="131"),H595='131-CT'!$H$9),"x","")</f>
        <v/>
      </c>
      <c r="Z595" s="85"/>
      <c r="AA595" s="85" t="str">
        <f>IF(AND(MONTH(E595)='IN-NX'!$J$5,'IN-NX'!$D$7=D595),"x","")</f>
        <v/>
      </c>
      <c r="AB595" s="85" t="str">
        <f>IF(AND(OR(LEFT(TH!N595,2)="15",LEFT(TH!O595,2)="15"),'152-CT'!$J$8=TH!F595),"x","")</f>
        <v/>
      </c>
      <c r="AC595" s="85" t="str">
        <f>IF(AND(OR(LEFT(TH!N595,2)="15",LEFT(TH!O595,2)="15"),TK!$E$7=TH!F595),"x","")</f>
        <v/>
      </c>
      <c r="AD595" s="85" t="str">
        <f>IF(AND(N595="1521",MONTH(C595)='BK-NL'!$M$11),"x","")</f>
        <v/>
      </c>
    </row>
    <row r="596" spans="1:31" ht="15.75" customHeight="1">
      <c r="A596" s="343" t="str">
        <f>IF(B596&lt;&gt;"",IF(AND(B596='IN-TC'!$S$4,OR(TH!N596="1111",TH!O596="1111")),TH!D596,""),"")</f>
        <v/>
      </c>
      <c r="B596" s="63">
        <f t="shared" si="61"/>
        <v>3</v>
      </c>
      <c r="C596" s="64">
        <v>42446</v>
      </c>
      <c r="D596" s="320" t="s">
        <v>907</v>
      </c>
      <c r="E596" s="64">
        <v>42446</v>
      </c>
      <c r="F596" s="67" t="s">
        <v>782</v>
      </c>
      <c r="G596" s="1000" t="s">
        <v>1361</v>
      </c>
      <c r="H596" s="74" t="s">
        <v>819</v>
      </c>
      <c r="I596" s="447"/>
      <c r="J596" s="447"/>
      <c r="K596" s="438"/>
      <c r="L596" s="447"/>
      <c r="M596" s="65">
        <v>51384</v>
      </c>
      <c r="N596" s="66" t="s">
        <v>9</v>
      </c>
      <c r="O596" s="66" t="s">
        <v>63</v>
      </c>
      <c r="P596" s="85" t="str">
        <f>IF(AND('331-CT'!$E$7=TH!H596,OR(N596="331",O596="331")),"x","")</f>
        <v/>
      </c>
      <c r="Q596" s="85" t="str">
        <f>IF(AND(B596='111'!$L$11,OR($N596=$Q$7,$O596=$Q$7)),"x","")</f>
        <v/>
      </c>
      <c r="R596" s="85" t="str">
        <f>IF(AND($N596=$Q$7,$B596&lt;'111'!$L$11),"x","")</f>
        <v/>
      </c>
      <c r="S596" s="85" t="str">
        <f>IF(AND($O596=$Q$7,$B596&lt;'111'!$L$11),"x","")</f>
        <v/>
      </c>
      <c r="T596" s="85" t="str">
        <f>IF(ISERROR(FIND('112'!$M$9,G596,1)),"",IF((AND(FIND('112'!$M$9,G596,1)&gt;=1,B596='112'!$K$9,OR($N596='112'!$I$6,$O596='112'!$I$6))),"x",""))</f>
        <v/>
      </c>
      <c r="U596" s="85" t="str">
        <f>IF(ISERROR(FIND('112'!$M$9,G596,1)),"",IF((AND(LEFT(G596,2)=LEFT('112'!$M$9,2),B596&lt;'112'!$K$9,$N596='112'!$I$6)),"x",""))</f>
        <v/>
      </c>
      <c r="V596" s="85" t="str">
        <f>IF(ISERROR(FIND('112'!$M$9,G596,1)),"",IF((AND(RIGHT(G596,2)=RIGHT('112'!$M$9,2),B596&lt;'112'!$K$9,$O596='112'!$I$6)),"x",""))</f>
        <v/>
      </c>
      <c r="W596" s="85" t="str">
        <f>IF(AND('341-CT'!$H$9=H596,OR(LEFT(N596,3)=$W$7,LEFT(O596,3)=$W$7)),"x","")</f>
        <v/>
      </c>
      <c r="X596" s="85" t="str">
        <f>IF(OR(TH!N596=TH!$X$7,O596=TH!$X$7),"x","")</f>
        <v/>
      </c>
      <c r="Y596" s="85" t="str">
        <f>IF(AND(OR(N596="131",O596="131"),H596='131-CT'!$H$9),"x","")</f>
        <v/>
      </c>
      <c r="Z596" s="85"/>
      <c r="AA596" s="85" t="str">
        <f>IF(AND(MONTH(E596)='IN-NX'!$J$5,'IN-NX'!$D$7=D596),"x","")</f>
        <v/>
      </c>
      <c r="AB596" s="85" t="str">
        <f>IF(AND(OR(LEFT(TH!N596,2)="15",LEFT(TH!O596,2)="15"),'152-CT'!$J$8=TH!F596),"x","")</f>
        <v/>
      </c>
      <c r="AC596" s="85" t="str">
        <f>IF(AND(OR(LEFT(TH!N596,2)="15",LEFT(TH!O596,2)="15"),TK!$E$7=TH!F596),"x","")</f>
        <v/>
      </c>
      <c r="AD596" s="85" t="str">
        <f>IF(AND(N596="1521",MONTH(C596)='BK-NL'!$M$11),"x","")</f>
        <v/>
      </c>
    </row>
    <row r="597" spans="1:31" ht="15.75" customHeight="1">
      <c r="A597" s="343" t="str">
        <f>IF(B597&lt;&gt;"",IF(AND(B597='IN-TC'!$S$4,OR(TH!N597="1111",TH!O597="1111")),TH!D597,""),"")</f>
        <v/>
      </c>
      <c r="B597" s="63">
        <f t="shared" si="61"/>
        <v>3</v>
      </c>
      <c r="C597" s="64">
        <v>42446</v>
      </c>
      <c r="D597" s="320" t="s">
        <v>709</v>
      </c>
      <c r="E597" s="64">
        <v>42446</v>
      </c>
      <c r="F597" s="67" t="s">
        <v>1212</v>
      </c>
      <c r="G597" s="1000" t="s">
        <v>929</v>
      </c>
      <c r="H597" s="74" t="s">
        <v>738</v>
      </c>
      <c r="I597" s="447"/>
      <c r="J597" s="447"/>
      <c r="K597" s="438">
        <v>228.54</v>
      </c>
      <c r="L597" s="447">
        <v>22320</v>
      </c>
      <c r="M597" s="65">
        <v>5101013</v>
      </c>
      <c r="N597" s="66" t="s">
        <v>99</v>
      </c>
      <c r="O597" s="66" t="s">
        <v>267</v>
      </c>
      <c r="P597" s="85" t="str">
        <f>IF(AND('331-CT'!$E$7=TH!H597,OR(N597="331",O597="331")),"x","")</f>
        <v/>
      </c>
      <c r="Q597" s="85" t="str">
        <f>IF(AND(B597='111'!$L$11,OR($N597=$Q$7,$O597=$Q$7)),"x","")</f>
        <v/>
      </c>
      <c r="R597" s="85" t="str">
        <f>IF(AND($N597=$Q$7,$B597&lt;'111'!$L$11),"x","")</f>
        <v/>
      </c>
      <c r="S597" s="85" t="str">
        <f>IF(AND($O597=$Q$7,$B597&lt;'111'!$L$11),"x","")</f>
        <v/>
      </c>
      <c r="T597" s="85" t="str">
        <f>IF(ISERROR(FIND('112'!$M$9,G597,1)),"",IF((AND(FIND('112'!$M$9,G597,1)&gt;=1,B597='112'!$K$9,OR($N597='112'!$I$6,$O597='112'!$I$6))),"x",""))</f>
        <v/>
      </c>
      <c r="U597" s="85" t="str">
        <f>IF(ISERROR(FIND('112'!$M$9,G597,1)),"",IF((AND(LEFT(G597,2)=LEFT('112'!$M$9,2),B597&lt;'112'!$K$9,$N597='112'!$I$6)),"x",""))</f>
        <v/>
      </c>
      <c r="V597" s="85" t="str">
        <f>IF(ISERROR(FIND('112'!$M$9,G597,1)),"",IF((AND(RIGHT(G597,2)=RIGHT('112'!$M$9,2),B597&lt;'112'!$K$9,$O597='112'!$I$6)),"x",""))</f>
        <v/>
      </c>
      <c r="W597" s="85" t="str">
        <f>IF(AND('341-CT'!$H$9=H597,OR(LEFT(N597,3)=$W$7,LEFT(O597,3)=$W$7)),"x","")</f>
        <v/>
      </c>
      <c r="X597" s="85" t="str">
        <f>IF(OR(TH!N597=TH!$X$7,O597=TH!$X$7),"x","")</f>
        <v/>
      </c>
      <c r="Y597" s="85" t="str">
        <f>IF(AND(OR(N597="131",O597="131"),H597='131-CT'!$H$9),"x","")</f>
        <v/>
      </c>
      <c r="Z597" s="85"/>
      <c r="AA597" s="85" t="str">
        <f>IF(AND(MONTH(E597)='IN-NX'!$J$5,'IN-NX'!$D$7=D597),"x","")</f>
        <v/>
      </c>
      <c r="AB597" s="85" t="str">
        <f>IF(AND(OR(LEFT(TH!N597,2)="15",LEFT(TH!O597,2)="15"),'152-CT'!$J$8=TH!F597),"x","")</f>
        <v/>
      </c>
      <c r="AC597" s="85" t="str">
        <f>IF(AND(OR(LEFT(TH!N597,2)="15",LEFT(TH!O597,2)="15"),TK!$E$7=TH!F597),"x","")</f>
        <v/>
      </c>
      <c r="AD597" s="85" t="str">
        <f>IF(AND(N597="1521",MONTH(C597)='BK-NL'!$M$11),"x","")</f>
        <v/>
      </c>
    </row>
    <row r="598" spans="1:31" ht="15.75" customHeight="1">
      <c r="A598" s="343" t="str">
        <f>IF(B598&lt;&gt;"",IF(AND(B598='IN-TC'!$S$4,OR(TH!N598="1111",TH!O598="1111")),TH!D598,""),"")</f>
        <v/>
      </c>
      <c r="B598" s="63">
        <f t="shared" si="61"/>
        <v>3</v>
      </c>
      <c r="C598" s="64">
        <v>42446</v>
      </c>
      <c r="D598" s="320" t="s">
        <v>709</v>
      </c>
      <c r="E598" s="64">
        <v>42446</v>
      </c>
      <c r="F598" s="67" t="s">
        <v>1212</v>
      </c>
      <c r="G598" s="1000" t="s">
        <v>929</v>
      </c>
      <c r="H598" s="74" t="s">
        <v>741</v>
      </c>
      <c r="I598" s="447"/>
      <c r="J598" s="447"/>
      <c r="K598" s="438">
        <v>138.60999103942652</v>
      </c>
      <c r="L598" s="447">
        <v>22320</v>
      </c>
      <c r="M598" s="65">
        <v>3093775</v>
      </c>
      <c r="N598" s="66" t="s">
        <v>99</v>
      </c>
      <c r="O598" s="66" t="s">
        <v>26</v>
      </c>
      <c r="P598" s="85" t="str">
        <f>IF(AND('331-CT'!$E$7=TH!H598,OR(N598="331",O598="331")),"x","")</f>
        <v/>
      </c>
      <c r="Q598" s="85" t="str">
        <f>IF(AND(B598='111'!$L$11,OR($N598=$Q$7,$O598=$Q$7)),"x","")</f>
        <v/>
      </c>
      <c r="R598" s="85" t="str">
        <f>IF(AND($N598=$Q$7,$B598&lt;'111'!$L$11),"x","")</f>
        <v/>
      </c>
      <c r="S598" s="85" t="str">
        <f>IF(AND($O598=$Q$7,$B598&lt;'111'!$L$11),"x","")</f>
        <v/>
      </c>
      <c r="T598" s="85" t="str">
        <f>IF(ISERROR(FIND('112'!$M$9,G598,1)),"",IF((AND(FIND('112'!$M$9,G598,1)&gt;=1,B598='112'!$K$9,OR($N598='112'!$I$6,$O598='112'!$I$6))),"x",""))</f>
        <v/>
      </c>
      <c r="U598" s="85" t="str">
        <f>IF(ISERROR(FIND('112'!$M$9,G598,1)),"",IF((AND(LEFT(G598,2)=LEFT('112'!$M$9,2),B598&lt;'112'!$K$9,$N598='112'!$I$6)),"x",""))</f>
        <v/>
      </c>
      <c r="V598" s="85" t="str">
        <f>IF(ISERROR(FIND('112'!$M$9,G598,1)),"",IF((AND(RIGHT(G598,2)=RIGHT('112'!$M$9,2),B598&lt;'112'!$K$9,$O598='112'!$I$6)),"x",""))</f>
        <v/>
      </c>
      <c r="W598" s="85" t="str">
        <f>IF(AND('341-CT'!$H$9=H598,OR(LEFT(N598,3)=$W$7,LEFT(O598,3)=$W$7)),"x","")</f>
        <v/>
      </c>
      <c r="X598" s="85" t="str">
        <f>IF(OR(TH!N598=TH!$X$7,O598=TH!$X$7),"x","")</f>
        <v/>
      </c>
      <c r="Y598" s="85" t="str">
        <f>IF(AND(OR(N598="131",O598="131"),H598='131-CT'!$H$9),"x","")</f>
        <v/>
      </c>
      <c r="Z598" s="85"/>
      <c r="AA598" s="85" t="str">
        <f>IF(AND(MONTH(E598)='IN-NX'!$J$5,'IN-NX'!$D$7=D598),"x","")</f>
        <v/>
      </c>
      <c r="AB598" s="85" t="str">
        <f>IF(AND(OR(LEFT(TH!N598,2)="15",LEFT(TH!O598,2)="15"),'152-CT'!$J$8=TH!F598),"x","")</f>
        <v/>
      </c>
      <c r="AC598" s="85" t="str">
        <f>IF(AND(OR(LEFT(TH!N598,2)="15",LEFT(TH!O598,2)="15"),TK!$E$7=TH!F598),"x","")</f>
        <v/>
      </c>
      <c r="AD598" s="85" t="str">
        <f>IF(AND(N598="1521",MONTH(C598)='BK-NL'!$M$11),"x","")</f>
        <v/>
      </c>
    </row>
    <row r="599" spans="1:31" ht="15.75" customHeight="1">
      <c r="A599" s="343" t="str">
        <f>IF(B599&lt;&gt;"",IF(AND(B599='IN-TC'!$S$4,OR(TH!N599="1111",TH!O599="1111")),TH!D599,""),"")</f>
        <v/>
      </c>
      <c r="B599" s="63">
        <f t="shared" si="61"/>
        <v>3</v>
      </c>
      <c r="C599" s="64">
        <v>42446</v>
      </c>
      <c r="D599" s="320" t="s">
        <v>709</v>
      </c>
      <c r="E599" s="64">
        <v>42446</v>
      </c>
      <c r="F599" s="67" t="s">
        <v>1212</v>
      </c>
      <c r="G599" s="1000" t="s">
        <v>929</v>
      </c>
      <c r="H599" s="324" t="s">
        <v>751</v>
      </c>
      <c r="I599" s="445"/>
      <c r="J599" s="445"/>
      <c r="K599" s="436">
        <v>267.39999999999998</v>
      </c>
      <c r="L599" s="445">
        <v>22320</v>
      </c>
      <c r="M599" s="65">
        <v>5968368</v>
      </c>
      <c r="N599" s="66" t="s">
        <v>99</v>
      </c>
      <c r="O599" s="66" t="s">
        <v>26</v>
      </c>
      <c r="P599" s="85" t="str">
        <f>IF(AND('331-CT'!$E$7=TH!H599,OR(N599="331",O599="331")),"x","")</f>
        <v/>
      </c>
      <c r="Q599" s="85" t="str">
        <f>IF(AND(B599='111'!$L$11,OR($N599=$Q$7,$O599=$Q$7)),"x","")</f>
        <v/>
      </c>
      <c r="R599" s="85" t="str">
        <f>IF(AND($N599=$Q$7,$B599&lt;'111'!$L$11),"x","")</f>
        <v/>
      </c>
      <c r="S599" s="85" t="str">
        <f>IF(AND($O599=$Q$7,$B599&lt;'111'!$L$11),"x","")</f>
        <v/>
      </c>
      <c r="T599" s="85" t="str">
        <f>IF(ISERROR(FIND('112'!$M$9,G599,1)),"",IF((AND(FIND('112'!$M$9,G599,1)&gt;=1,B599='112'!$K$9,OR($N599='112'!$I$6,$O599='112'!$I$6))),"x",""))</f>
        <v/>
      </c>
      <c r="U599" s="85" t="str">
        <f>IF(ISERROR(FIND('112'!$M$9,G599,1)),"",IF((AND(LEFT(G599,2)=LEFT('112'!$M$9,2),B599&lt;'112'!$K$9,$N599='112'!$I$6)),"x",""))</f>
        <v/>
      </c>
      <c r="V599" s="85" t="str">
        <f>IF(ISERROR(FIND('112'!$M$9,G599,1)),"",IF((AND(RIGHT(G599,2)=RIGHT('112'!$M$9,2),B599&lt;'112'!$K$9,$O599='112'!$I$6)),"x",""))</f>
        <v/>
      </c>
      <c r="W599" s="85" t="str">
        <f>IF(AND('341-CT'!$H$9=H599,OR(LEFT(N599,3)=$W$7,LEFT(O599,3)=$W$7)),"x","")</f>
        <v/>
      </c>
      <c r="X599" s="85" t="str">
        <f>IF(OR(TH!N599=TH!$X$7,O599=TH!$X$7),"x","")</f>
        <v/>
      </c>
      <c r="Y599" s="85" t="str">
        <f>IF(AND(OR(N599="131",O599="131"),H599='131-CT'!$H$9),"x","")</f>
        <v/>
      </c>
      <c r="Z599" s="85"/>
      <c r="AA599" s="85" t="str">
        <f>IF(AND(MONTH(E599)='IN-NX'!$J$5,'IN-NX'!$D$7=D599),"x","")</f>
        <v/>
      </c>
      <c r="AB599" s="85" t="str">
        <f>IF(AND(OR(LEFT(TH!N599,2)="15",LEFT(TH!O599,2)="15"),'152-CT'!$J$8=TH!F599),"x","")</f>
        <v/>
      </c>
      <c r="AC599" s="85" t="str">
        <f>IF(AND(OR(LEFT(TH!N599,2)="15",LEFT(TH!O599,2)="15"),TK!$E$7=TH!F599),"x","")</f>
        <v/>
      </c>
      <c r="AD599" s="85" t="str">
        <f>IF(AND(N599="1521",MONTH(C599)='BK-NL'!$M$11),"x","")</f>
        <v/>
      </c>
    </row>
    <row r="600" spans="1:31" ht="15.75" customHeight="1">
      <c r="A600" s="343" t="str">
        <f>IF(B600&lt;&gt;"",IF(AND(B600='IN-TC'!$S$4,OR(TH!N600="1111",TH!O600="1111")),TH!D600,""),"")</f>
        <v/>
      </c>
      <c r="B600" s="63">
        <f t="shared" si="61"/>
        <v>3</v>
      </c>
      <c r="C600" s="64">
        <v>42446</v>
      </c>
      <c r="D600" s="320" t="s">
        <v>709</v>
      </c>
      <c r="E600" s="64">
        <v>42446</v>
      </c>
      <c r="F600" s="67" t="s">
        <v>1212</v>
      </c>
      <c r="G600" s="1000" t="s">
        <v>929</v>
      </c>
      <c r="H600" s="324" t="s">
        <v>739</v>
      </c>
      <c r="I600" s="445"/>
      <c r="J600" s="445"/>
      <c r="K600" s="436">
        <v>199.85</v>
      </c>
      <c r="L600" s="445">
        <v>22320</v>
      </c>
      <c r="M600" s="65">
        <v>4460652</v>
      </c>
      <c r="N600" s="66" t="s">
        <v>99</v>
      </c>
      <c r="O600" s="66" t="s">
        <v>26</v>
      </c>
      <c r="P600" s="85" t="str">
        <f>IF(AND('331-CT'!$E$7=TH!H600,OR(N600="331",O600="331")),"x","")</f>
        <v/>
      </c>
      <c r="Q600" s="85" t="str">
        <f>IF(AND(B600='111'!$L$11,OR($N600=$Q$7,$O600=$Q$7)),"x","")</f>
        <v/>
      </c>
      <c r="R600" s="85" t="str">
        <f>IF(AND($N600=$Q$7,$B600&lt;'111'!$L$11),"x","")</f>
        <v/>
      </c>
      <c r="S600" s="85" t="str">
        <f>IF(AND($O600=$Q$7,$B600&lt;'111'!$L$11),"x","")</f>
        <v/>
      </c>
      <c r="T600" s="85" t="str">
        <f>IF(ISERROR(FIND('112'!$M$9,G600,1)),"",IF((AND(FIND('112'!$M$9,G600,1)&gt;=1,B600='112'!$K$9,OR($N600='112'!$I$6,$O600='112'!$I$6))),"x",""))</f>
        <v/>
      </c>
      <c r="U600" s="85" t="str">
        <f>IF(ISERROR(FIND('112'!$M$9,G600,1)),"",IF((AND(LEFT(G600,2)=LEFT('112'!$M$9,2),B600&lt;'112'!$K$9,$N600='112'!$I$6)),"x",""))</f>
        <v/>
      </c>
      <c r="V600" s="85" t="str">
        <f>IF(ISERROR(FIND('112'!$M$9,G600,1)),"",IF((AND(RIGHT(G600,2)=RIGHT('112'!$M$9,2),B600&lt;'112'!$K$9,$O600='112'!$I$6)),"x",""))</f>
        <v/>
      </c>
      <c r="W600" s="85" t="str">
        <f>IF(AND('341-CT'!$H$9=H600,OR(LEFT(N600,3)=$W$7,LEFT(O600,3)=$W$7)),"x","")</f>
        <v/>
      </c>
      <c r="X600" s="85" t="str">
        <f>IF(OR(TH!N600=TH!$X$7,O600=TH!$X$7),"x","")</f>
        <v/>
      </c>
      <c r="Y600" s="85" t="str">
        <f>IF(AND(OR(N600="131",O600="131"),H600='131-CT'!$H$9),"x","")</f>
        <v/>
      </c>
      <c r="Z600" s="85"/>
      <c r="AA600" s="85" t="str">
        <f>IF(AND(MONTH(E600)='IN-NX'!$J$5,'IN-NX'!$D$7=D600),"x","")</f>
        <v/>
      </c>
      <c r="AB600" s="85" t="str">
        <f>IF(AND(OR(LEFT(TH!N600,2)="15",LEFT(TH!O600,2)="15"),'152-CT'!$J$8=TH!F600),"x","")</f>
        <v/>
      </c>
      <c r="AC600" s="85" t="str">
        <f>IF(AND(OR(LEFT(TH!N600,2)="15",LEFT(TH!O600,2)="15"),TK!$E$7=TH!F600),"x","")</f>
        <v/>
      </c>
      <c r="AD600" s="85" t="str">
        <f>IF(AND(N600="1521",MONTH(C600)='BK-NL'!$M$11),"x","")</f>
        <v/>
      </c>
    </row>
    <row r="601" spans="1:31" ht="15.75" customHeight="1">
      <c r="A601" s="343" t="str">
        <f>IF(B601&lt;&gt;"",IF(AND(B601='IN-TC'!$S$4,OR(TH!N601="1111",TH!O601="1111")),TH!D601,""),"")</f>
        <v/>
      </c>
      <c r="B601" s="63">
        <f t="shared" si="61"/>
        <v>3</v>
      </c>
      <c r="C601" s="64">
        <v>42446</v>
      </c>
      <c r="D601" s="320" t="s">
        <v>709</v>
      </c>
      <c r="E601" s="64">
        <v>42446</v>
      </c>
      <c r="F601" s="67" t="s">
        <v>1218</v>
      </c>
      <c r="G601" s="1000" t="s">
        <v>929</v>
      </c>
      <c r="H601" s="74"/>
      <c r="I601" s="447"/>
      <c r="J601" s="447"/>
      <c r="K601" s="438"/>
      <c r="L601" s="447"/>
      <c r="M601" s="65">
        <v>50000</v>
      </c>
      <c r="N601" s="66" t="s">
        <v>101</v>
      </c>
      <c r="O601" s="66" t="s">
        <v>26</v>
      </c>
      <c r="P601" s="85" t="str">
        <f>IF(AND('331-CT'!$E$7=TH!H601,OR(N601="331",O601="331")),"x","")</f>
        <v/>
      </c>
      <c r="Q601" s="85" t="str">
        <f>IF(AND(B601='111'!$L$11,OR($N601=$Q$7,$O601=$Q$7)),"x","")</f>
        <v/>
      </c>
      <c r="R601" s="85" t="str">
        <f>IF(AND($N601=$Q$7,$B601&lt;'111'!$L$11),"x","")</f>
        <v/>
      </c>
      <c r="S601" s="85" t="str">
        <f>IF(AND($O601=$Q$7,$B601&lt;'111'!$L$11),"x","")</f>
        <v/>
      </c>
      <c r="T601" s="85" t="str">
        <f>IF(ISERROR(FIND('112'!$M$9,G601,1)),"",IF((AND(FIND('112'!$M$9,G601,1)&gt;=1,B601='112'!$K$9,OR($N601='112'!$I$6,$O601='112'!$I$6))),"x",""))</f>
        <v/>
      </c>
      <c r="U601" s="85" t="str">
        <f>IF(ISERROR(FIND('112'!$M$9,G601,1)),"",IF((AND(LEFT(G601,2)=LEFT('112'!$M$9,2),B601&lt;'112'!$K$9,$N601='112'!$I$6)),"x",""))</f>
        <v/>
      </c>
      <c r="V601" s="85" t="str">
        <f>IF(ISERROR(FIND('112'!$M$9,G601,1)),"",IF((AND(RIGHT(G601,2)=RIGHT('112'!$M$9,2),B601&lt;'112'!$K$9,$O601='112'!$I$6)),"x",""))</f>
        <v/>
      </c>
      <c r="W601" s="85" t="str">
        <f>IF(AND('341-CT'!$H$9=H601,OR(LEFT(N601,3)=$W$7,LEFT(O601,3)=$W$7)),"x","")</f>
        <v/>
      </c>
      <c r="X601" s="85" t="str">
        <f>IF(OR(TH!N601=TH!$X$7,O601=TH!$X$7),"x","")</f>
        <v/>
      </c>
      <c r="Y601" s="85" t="str">
        <f>IF(AND(OR(N601="131",O601="131"),H601='131-CT'!$H$9),"x","")</f>
        <v/>
      </c>
      <c r="Z601" s="85"/>
      <c r="AA601" s="85" t="str">
        <f>IF(AND(MONTH(E601)='IN-NX'!$J$5,'IN-NX'!$D$7=D601),"x","")</f>
        <v/>
      </c>
      <c r="AB601" s="85" t="str">
        <f>IF(AND(OR(LEFT(TH!N601,2)="15",LEFT(TH!O601,2)="15"),'152-CT'!$J$8=TH!F601),"x","")</f>
        <v/>
      </c>
      <c r="AC601" s="85" t="str">
        <f>IF(AND(OR(LEFT(TH!N601,2)="15",LEFT(TH!O601,2)="15"),TK!$E$7=TH!F601),"x","")</f>
        <v/>
      </c>
      <c r="AD601" s="85" t="str">
        <f>IF(AND(N601="1521",MONTH(C601)='BK-NL'!$M$11),"x","")</f>
        <v/>
      </c>
    </row>
    <row r="602" spans="1:31" ht="15.75" customHeight="1">
      <c r="A602" s="343" t="str">
        <f>IF(B602&lt;&gt;"",IF(AND(B602='IN-TC'!$S$4,OR(TH!N602="1111",TH!O602="1111")),TH!D602,""),"")</f>
        <v/>
      </c>
      <c r="B602" s="63">
        <f t="shared" si="61"/>
        <v>3</v>
      </c>
      <c r="C602" s="64">
        <v>42446</v>
      </c>
      <c r="D602" s="320" t="s">
        <v>709</v>
      </c>
      <c r="E602" s="64">
        <v>42446</v>
      </c>
      <c r="F602" s="67" t="s">
        <v>1220</v>
      </c>
      <c r="G602" s="67" t="s">
        <v>929</v>
      </c>
      <c r="H602" s="74"/>
      <c r="I602" s="447"/>
      <c r="J602" s="447"/>
      <c r="K602" s="438"/>
      <c r="L602" s="447"/>
      <c r="M602" s="65">
        <v>5000</v>
      </c>
      <c r="N602" s="66" t="s">
        <v>9</v>
      </c>
      <c r="O602" s="66" t="s">
        <v>26</v>
      </c>
      <c r="P602" s="85" t="str">
        <f>IF(AND('331-CT'!$E$7=TH!H602,OR(N602="331",O602="331")),"x","")</f>
        <v/>
      </c>
      <c r="Q602" s="85" t="str">
        <f>IF(AND(B602='111'!$L$11,OR($N602=$Q$7,$O602=$Q$7)),"x","")</f>
        <v/>
      </c>
      <c r="R602" s="85" t="str">
        <f>IF(AND($N602=$Q$7,$B602&lt;'111'!$L$11),"x","")</f>
        <v/>
      </c>
      <c r="S602" s="85" t="str">
        <f>IF(AND($O602=$Q$7,$B602&lt;'111'!$L$11),"x","")</f>
        <v/>
      </c>
      <c r="T602" s="85" t="str">
        <f>IF(ISERROR(FIND('112'!$M$9,G602,1)),"",IF((AND(FIND('112'!$M$9,G602,1)&gt;=1,B602='112'!$K$9,OR($N602='112'!$I$6,$O602='112'!$I$6))),"x",""))</f>
        <v/>
      </c>
      <c r="U602" s="85" t="str">
        <f>IF(ISERROR(FIND('112'!$M$9,G602,1)),"",IF((AND(LEFT(G602,2)=LEFT('112'!$M$9,2),B602&lt;'112'!$K$9,$N602='112'!$I$6)),"x",""))</f>
        <v/>
      </c>
      <c r="V602" s="85" t="str">
        <f>IF(ISERROR(FIND('112'!$M$9,G602,1)),"",IF((AND(RIGHT(G602,2)=RIGHT('112'!$M$9,2),B602&lt;'112'!$K$9,$O602='112'!$I$6)),"x",""))</f>
        <v/>
      </c>
      <c r="W602" s="85" t="str">
        <f>IF(AND('341-CT'!$H$9=H602,OR(LEFT(N602,3)=$W$7,LEFT(O602,3)=$W$7)),"x","")</f>
        <v/>
      </c>
      <c r="X602" s="85" t="str">
        <f>IF(OR(TH!N602=TH!$X$7,O602=TH!$X$7),"x","")</f>
        <v/>
      </c>
      <c r="Y602" s="85" t="str">
        <f>IF(AND(OR(N602="131",O602="131"),H602='131-CT'!$H$9),"x","")</f>
        <v/>
      </c>
      <c r="Z602" s="85"/>
      <c r="AA602" s="85" t="str">
        <f>IF(AND(MONTH(E602)='IN-NX'!$J$5,'IN-NX'!$D$7=D602),"x","")</f>
        <v/>
      </c>
      <c r="AB602" s="85" t="str">
        <f>IF(AND(OR(LEFT(TH!N602,2)="15",LEFT(TH!O602,2)="15"),'152-CT'!$J$8=TH!F602),"x","")</f>
        <v/>
      </c>
      <c r="AC602" s="85" t="str">
        <f>IF(AND(OR(LEFT(TH!N602,2)="15",LEFT(TH!O602,2)="15"),TK!$E$7=TH!F602),"x","")</f>
        <v/>
      </c>
      <c r="AD602" s="85" t="str">
        <f>IF(AND(N602="1521",MONTH(C602)='BK-NL'!$M$11),"x","")</f>
        <v/>
      </c>
    </row>
    <row r="603" spans="1:31" ht="15.75" customHeight="1">
      <c r="A603" s="343" t="str">
        <f>IF(B603&lt;&gt;"",IF(AND(B603='IN-TC'!$S$4,OR(TH!N603="1111",TH!O603="1111")),TH!D603,""),"")</f>
        <v/>
      </c>
      <c r="B603" s="63">
        <f t="shared" si="61"/>
        <v>3</v>
      </c>
      <c r="C603" s="64">
        <v>42446</v>
      </c>
      <c r="D603" s="320" t="s">
        <v>709</v>
      </c>
      <c r="E603" s="64">
        <v>42446</v>
      </c>
      <c r="F603" s="67" t="s">
        <v>1219</v>
      </c>
      <c r="G603" s="67" t="s">
        <v>929</v>
      </c>
      <c r="H603" s="74"/>
      <c r="I603" s="447"/>
      <c r="J603" s="447"/>
      <c r="K603" s="438"/>
      <c r="L603" s="447"/>
      <c r="M603" s="65">
        <v>50000</v>
      </c>
      <c r="N603" s="66" t="s">
        <v>101</v>
      </c>
      <c r="O603" s="66" t="s">
        <v>26</v>
      </c>
      <c r="P603" s="85" t="str">
        <f>IF(AND('331-CT'!$E$7=TH!H603,OR(N603="331",O603="331")),"x","")</f>
        <v/>
      </c>
      <c r="Q603" s="85" t="str">
        <f>IF(AND(B603='111'!$L$11,OR($N603=$Q$7,$O603=$Q$7)),"x","")</f>
        <v/>
      </c>
      <c r="R603" s="85" t="str">
        <f>IF(AND($N603=$Q$7,$B603&lt;'111'!$L$11),"x","")</f>
        <v/>
      </c>
      <c r="S603" s="85" t="str">
        <f>IF(AND($O603=$Q$7,$B603&lt;'111'!$L$11),"x","")</f>
        <v/>
      </c>
      <c r="T603" s="85" t="str">
        <f>IF(ISERROR(FIND('112'!$M$9,G603,1)),"",IF((AND(FIND('112'!$M$9,G603,1)&gt;=1,B603='112'!$K$9,OR($N603='112'!$I$6,$O603='112'!$I$6))),"x",""))</f>
        <v/>
      </c>
      <c r="U603" s="85" t="str">
        <f>IF(ISERROR(FIND('112'!$M$9,G603,1)),"",IF((AND(LEFT(G603,2)=LEFT('112'!$M$9,2),B603&lt;'112'!$K$9,$N603='112'!$I$6)),"x",""))</f>
        <v/>
      </c>
      <c r="V603" s="85" t="str">
        <f>IF(ISERROR(FIND('112'!$M$9,G603,1)),"",IF((AND(RIGHT(G603,2)=RIGHT('112'!$M$9,2),B603&lt;'112'!$K$9,$O603='112'!$I$6)),"x",""))</f>
        <v/>
      </c>
      <c r="W603" s="85" t="str">
        <f>IF(AND('341-CT'!$H$9=H603,OR(LEFT(N603,3)=$W$7,LEFT(O603,3)=$W$7)),"x","")</f>
        <v/>
      </c>
      <c r="X603" s="85" t="str">
        <f>IF(OR(TH!N603=TH!$X$7,O603=TH!$X$7),"x","")</f>
        <v/>
      </c>
      <c r="Y603" s="85" t="str">
        <f>IF(AND(OR(N603="131",O603="131"),H603='131-CT'!$H$9),"x","")</f>
        <v/>
      </c>
      <c r="Z603" s="85"/>
      <c r="AA603" s="85" t="str">
        <f>IF(AND(MONTH(E603)='IN-NX'!$J$5,'IN-NX'!$D$7=D603),"x","")</f>
        <v/>
      </c>
      <c r="AB603" s="85" t="str">
        <f>IF(AND(OR(LEFT(TH!N603,2)="15",LEFT(TH!O603,2)="15"),'152-CT'!$J$8=TH!F603),"x","")</f>
        <v/>
      </c>
      <c r="AC603" s="85" t="str">
        <f>IF(AND(OR(LEFT(TH!N603,2)="15",LEFT(TH!O603,2)="15"),TK!$E$7=TH!F603),"x","")</f>
        <v/>
      </c>
      <c r="AD603" s="85" t="str">
        <f>IF(AND(N603="1521",MONTH(C603)='BK-NL'!$M$11),"x","")</f>
        <v/>
      </c>
    </row>
    <row r="604" spans="1:31" ht="15.75" customHeight="1">
      <c r="A604" s="343" t="str">
        <f>IF(B604&lt;&gt;"",IF(AND(B604='IN-TC'!$S$4,OR(TH!N604="1111",TH!O604="1111")),TH!D604,""),"")</f>
        <v/>
      </c>
      <c r="B604" s="63">
        <f t="shared" si="61"/>
        <v>3</v>
      </c>
      <c r="C604" s="64">
        <v>42446</v>
      </c>
      <c r="D604" s="320" t="s">
        <v>709</v>
      </c>
      <c r="E604" s="64">
        <v>42446</v>
      </c>
      <c r="F604" s="67" t="s">
        <v>1220</v>
      </c>
      <c r="G604" s="67" t="s">
        <v>929</v>
      </c>
      <c r="H604" s="74"/>
      <c r="I604" s="447"/>
      <c r="J604" s="447"/>
      <c r="K604" s="438"/>
      <c r="L604" s="447"/>
      <c r="M604" s="65">
        <v>5000</v>
      </c>
      <c r="N604" s="66" t="s">
        <v>9</v>
      </c>
      <c r="O604" s="66" t="s">
        <v>26</v>
      </c>
      <c r="P604" s="85" t="str">
        <f>IF(AND('331-CT'!$E$7=TH!H604,OR(N604="331",O604="331")),"x","")</f>
        <v/>
      </c>
      <c r="Q604" s="85" t="str">
        <f>IF(AND(B604='111'!$L$11,OR($N604=$Q$7,$O604=$Q$7)),"x","")</f>
        <v/>
      </c>
      <c r="R604" s="85" t="str">
        <f>IF(AND($N604=$Q$7,$B604&lt;'111'!$L$11),"x","")</f>
        <v/>
      </c>
      <c r="S604" s="85" t="str">
        <f>IF(AND($O604=$Q$7,$B604&lt;'111'!$L$11),"x","")</f>
        <v/>
      </c>
      <c r="T604" s="85" t="str">
        <f>IF(ISERROR(FIND('112'!$M$9,G604,1)),"",IF((AND(FIND('112'!$M$9,G604,1)&gt;=1,B604='112'!$K$9,OR($N604='112'!$I$6,$O604='112'!$I$6))),"x",""))</f>
        <v/>
      </c>
      <c r="U604" s="85" t="str">
        <f>IF(ISERROR(FIND('112'!$M$9,G604,1)),"",IF((AND(LEFT(G604,2)=LEFT('112'!$M$9,2),B604&lt;'112'!$K$9,$N604='112'!$I$6)),"x",""))</f>
        <v/>
      </c>
      <c r="V604" s="85" t="str">
        <f>IF(ISERROR(FIND('112'!$M$9,G604,1)),"",IF((AND(RIGHT(G604,2)=RIGHT('112'!$M$9,2),B604&lt;'112'!$K$9,$O604='112'!$I$6)),"x",""))</f>
        <v/>
      </c>
      <c r="W604" s="85" t="str">
        <f>IF(AND('341-CT'!$H$9=H604,OR(LEFT(N604,3)=$W$7,LEFT(O604,3)=$W$7)),"x","")</f>
        <v/>
      </c>
      <c r="X604" s="85" t="str">
        <f>IF(OR(TH!N604=TH!$X$7,O604=TH!$X$7),"x","")</f>
        <v/>
      </c>
      <c r="Y604" s="85" t="str">
        <f>IF(AND(OR(N604="131",O604="131"),H604='131-CT'!$H$9),"x","")</f>
        <v/>
      </c>
      <c r="Z604" s="85"/>
      <c r="AA604" s="85" t="str">
        <f>IF(AND(MONTH(E604)='IN-NX'!$J$5,'IN-NX'!$D$7=D604),"x","")</f>
        <v/>
      </c>
      <c r="AB604" s="85" t="str">
        <f>IF(AND(OR(LEFT(TH!N604,2)="15",LEFT(TH!O604,2)="15"),'152-CT'!$J$8=TH!F604),"x","")</f>
        <v/>
      </c>
      <c r="AC604" s="85" t="str">
        <f>IF(AND(OR(LEFT(TH!N604,2)="15",LEFT(TH!O604,2)="15"),TK!$E$7=TH!F604),"x","")</f>
        <v/>
      </c>
      <c r="AD604" s="85" t="str">
        <f>IF(AND(N604="1521",MONTH(C604)='BK-NL'!$M$11),"x","")</f>
        <v/>
      </c>
    </row>
    <row r="605" spans="1:31" ht="15.75" customHeight="1">
      <c r="A605" s="343" t="str">
        <f>IF(B605&lt;&gt;"",IF(AND(B605='IN-TC'!$S$4,OR(TH!N605="1111",TH!O605="1111")),TH!D605,""),"")</f>
        <v/>
      </c>
      <c r="B605" s="63">
        <f t="shared" si="61"/>
        <v>3</v>
      </c>
      <c r="C605" s="64">
        <v>42447</v>
      </c>
      <c r="D605" s="320" t="s">
        <v>908</v>
      </c>
      <c r="E605" s="64">
        <v>42447</v>
      </c>
      <c r="F605" s="67" t="s">
        <v>1126</v>
      </c>
      <c r="G605" s="67" t="s">
        <v>1362</v>
      </c>
      <c r="H605" s="7" t="s">
        <v>819</v>
      </c>
      <c r="I605" s="447"/>
      <c r="J605" s="447"/>
      <c r="K605" s="438"/>
      <c r="L605" s="447"/>
      <c r="M605" s="65">
        <v>551727</v>
      </c>
      <c r="N605" s="66" t="s">
        <v>101</v>
      </c>
      <c r="O605" s="66" t="s">
        <v>63</v>
      </c>
      <c r="P605" s="85" t="str">
        <f>IF(AND('331-CT'!$E$7=TH!H605,OR(N605="331",O605="331")),"x","")</f>
        <v/>
      </c>
      <c r="Q605" s="85" t="str">
        <f>IF(AND(B605='111'!$L$11,OR($N605=$Q$7,$O605=$Q$7)),"x","")</f>
        <v/>
      </c>
      <c r="R605" s="85" t="str">
        <f>IF(AND($N605=$Q$7,$B605&lt;'111'!$L$11),"x","")</f>
        <v/>
      </c>
      <c r="S605" s="85" t="str">
        <f>IF(AND($O605=$Q$7,$B605&lt;'111'!$L$11),"x","")</f>
        <v/>
      </c>
      <c r="T605" s="85" t="str">
        <f>IF(ISERROR(FIND('112'!$M$9,G605,1)),"",IF((AND(FIND('112'!$M$9,G605,1)&gt;=1,B605='112'!$K$9,OR($N605='112'!$I$6,$O605='112'!$I$6))),"x",""))</f>
        <v/>
      </c>
      <c r="U605" s="85" t="str">
        <f>IF(ISERROR(FIND('112'!$M$9,G605,1)),"",IF((AND(LEFT(G605,2)=LEFT('112'!$M$9,2),B605&lt;'112'!$K$9,$N605='112'!$I$6)),"x",""))</f>
        <v/>
      </c>
      <c r="V605" s="85" t="str">
        <f>IF(ISERROR(FIND('112'!$M$9,G605,1)),"",IF((AND(RIGHT(G605,2)=RIGHT('112'!$M$9,2),B605&lt;'112'!$K$9,$O605='112'!$I$6)),"x",""))</f>
        <v/>
      </c>
      <c r="W605" s="85" t="str">
        <f>IF(AND('341-CT'!$H$9=H605,OR(LEFT(N605,3)=$W$7,LEFT(O605,3)=$W$7)),"x","")</f>
        <v/>
      </c>
      <c r="X605" s="85" t="str">
        <f>IF(OR(TH!N605=TH!$X$7,O605=TH!$X$7),"x","")</f>
        <v/>
      </c>
      <c r="Y605" s="85" t="str">
        <f>IF(AND(OR(N605="131",O605="131"),H605='131-CT'!$H$9),"x","")</f>
        <v/>
      </c>
      <c r="Z605" s="85"/>
      <c r="AA605" s="85" t="str">
        <f>IF(AND(MONTH(E605)='IN-NX'!$J$5,'IN-NX'!$D$7=D605),"x","")</f>
        <v/>
      </c>
      <c r="AB605" s="85" t="str">
        <f>IF(AND(OR(LEFT(TH!N605,2)="15",LEFT(TH!O605,2)="15"),'152-CT'!$J$8=TH!F605),"x","")</f>
        <v/>
      </c>
      <c r="AC605" s="85" t="str">
        <f>IF(AND(OR(LEFT(TH!N605,2)="15",LEFT(TH!O605,2)="15"),TK!$E$7=TH!F605),"x","")</f>
        <v/>
      </c>
      <c r="AD605" s="85" t="str">
        <f>IF(AND(N605="1521",MONTH(C605)='BK-NL'!$M$11),"x","")</f>
        <v/>
      </c>
    </row>
    <row r="606" spans="1:31" ht="15.75" customHeight="1">
      <c r="A606" s="343" t="str">
        <f>IF(B606&lt;&gt;"",IF(AND(B606='IN-TC'!$S$4,OR(TH!N606="1111",TH!O606="1111")),TH!D606,""),"")</f>
        <v/>
      </c>
      <c r="B606" s="63">
        <f t="shared" si="61"/>
        <v>3</v>
      </c>
      <c r="C606" s="64">
        <v>42447</v>
      </c>
      <c r="D606" s="320" t="s">
        <v>908</v>
      </c>
      <c r="E606" s="64">
        <v>42447</v>
      </c>
      <c r="F606" s="67" t="s">
        <v>1363</v>
      </c>
      <c r="G606" s="67" t="s">
        <v>1362</v>
      </c>
      <c r="H606" s="74" t="s">
        <v>819</v>
      </c>
      <c r="I606" s="447"/>
      <c r="J606" s="447"/>
      <c r="K606" s="438"/>
      <c r="L606" s="447"/>
      <c r="M606" s="65">
        <v>55173</v>
      </c>
      <c r="N606" s="66" t="s">
        <v>9</v>
      </c>
      <c r="O606" s="66" t="s">
        <v>63</v>
      </c>
      <c r="P606" s="85" t="str">
        <f>IF(AND('331-CT'!$E$7=TH!H606,OR(N606="331",O606="331")),"x","")</f>
        <v/>
      </c>
      <c r="Q606" s="85" t="str">
        <f>IF(AND(B606='111'!$L$11,OR($N606=$Q$7,$O606=$Q$7)),"x","")</f>
        <v/>
      </c>
      <c r="R606" s="85" t="str">
        <f>IF(AND($N606=$Q$7,$B606&lt;'111'!$L$11),"x","")</f>
        <v/>
      </c>
      <c r="S606" s="85" t="str">
        <f>IF(AND($O606=$Q$7,$B606&lt;'111'!$L$11),"x","")</f>
        <v/>
      </c>
      <c r="T606" s="85" t="str">
        <f>IF(ISERROR(FIND('112'!$M$9,G606,1)),"",IF((AND(FIND('112'!$M$9,G606,1)&gt;=1,B606='112'!$K$9,OR($N606='112'!$I$6,$O606='112'!$I$6))),"x",""))</f>
        <v/>
      </c>
      <c r="U606" s="85" t="str">
        <f>IF(ISERROR(FIND('112'!$M$9,G606,1)),"",IF((AND(LEFT(G606,2)=LEFT('112'!$M$9,2),B606&lt;'112'!$K$9,$N606='112'!$I$6)),"x",""))</f>
        <v/>
      </c>
      <c r="V606" s="85" t="str">
        <f>IF(ISERROR(FIND('112'!$M$9,G606,1)),"",IF((AND(RIGHT(G606,2)=RIGHT('112'!$M$9,2),B606&lt;'112'!$K$9,$O606='112'!$I$6)),"x",""))</f>
        <v/>
      </c>
      <c r="W606" s="85" t="str">
        <f>IF(AND('341-CT'!$H$9=H606,OR(LEFT(N606,3)=$W$7,LEFT(O606,3)=$W$7)),"x","")</f>
        <v/>
      </c>
      <c r="X606" s="85" t="str">
        <f>IF(OR(TH!N606=TH!$X$7,O606=TH!$X$7),"x","")</f>
        <v/>
      </c>
      <c r="Y606" s="85" t="str">
        <f>IF(AND(OR(N606="131",O606="131"),H606='131-CT'!$H$9),"x","")</f>
        <v/>
      </c>
      <c r="Z606" s="85"/>
      <c r="AA606" s="85" t="str">
        <f>IF(AND(MONTH(E606)='IN-NX'!$J$5,'IN-NX'!$D$7=D606),"x","")</f>
        <v/>
      </c>
      <c r="AB606" s="85" t="str">
        <f>IF(AND(OR(LEFT(TH!N606,2)="15",LEFT(TH!O606,2)="15"),'152-CT'!$J$8=TH!F606),"x","")</f>
        <v/>
      </c>
      <c r="AC606" s="85" t="str">
        <f>IF(AND(OR(LEFT(TH!N606,2)="15",LEFT(TH!O606,2)="15"),TK!$E$7=TH!F606),"x","")</f>
        <v/>
      </c>
      <c r="AD606" s="85" t="str">
        <f>IF(AND(N606="1521",MONTH(C606)='BK-NL'!$M$11),"x","")</f>
        <v/>
      </c>
    </row>
    <row r="607" spans="1:31" ht="15.75" customHeight="1">
      <c r="A607" s="343" t="str">
        <f>IF(B607&lt;&gt;"",IF(AND(B607='IN-TC'!$S$4,OR(TH!N607="1111",TH!O607="1111")),TH!D607,""),"")</f>
        <v/>
      </c>
      <c r="B607" s="63">
        <f t="shared" si="61"/>
        <v>3</v>
      </c>
      <c r="C607" s="64">
        <v>42449</v>
      </c>
      <c r="D607" s="320" t="s">
        <v>909</v>
      </c>
      <c r="E607" s="64">
        <v>42449</v>
      </c>
      <c r="F607" s="67" t="s">
        <v>1126</v>
      </c>
      <c r="G607" s="67" t="s">
        <v>1364</v>
      </c>
      <c r="H607" s="74" t="s">
        <v>819</v>
      </c>
      <c r="I607" s="447"/>
      <c r="J607" s="447"/>
      <c r="K607" s="438"/>
      <c r="L607" s="447"/>
      <c r="M607" s="65">
        <v>446636</v>
      </c>
      <c r="N607" s="66" t="s">
        <v>101</v>
      </c>
      <c r="O607" s="66" t="s">
        <v>63</v>
      </c>
      <c r="P607" s="85" t="str">
        <f>IF(AND('331-CT'!$E$7=TH!H607,OR(N607="331",O607="331")),"x","")</f>
        <v/>
      </c>
      <c r="Q607" s="85" t="str">
        <f>IF(AND(B607='111'!$L$11,OR($N607=$Q$7,$O607=$Q$7)),"x","")</f>
        <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IF(AND('341-CT'!$H$9=H607,OR(LEFT(N607,3)=$W$7,LEFT(O607,3)=$W$7)),"x","")</f>
        <v/>
      </c>
      <c r="X607" s="85" t="str">
        <f>IF(OR(TH!N607=TH!$X$7,O607=TH!$X$7),"x","")</f>
        <v/>
      </c>
      <c r="Y607" s="85" t="str">
        <f>IF(AND(OR(N607="131",O607="131"),H607='131-CT'!$H$9),"x","")</f>
        <v/>
      </c>
      <c r="Z607" s="85"/>
      <c r="AA607" s="85" t="str">
        <f>IF(AND(MONTH(E607)='IN-NX'!$J$5,'IN-NX'!$D$7=D607),"x","")</f>
        <v/>
      </c>
      <c r="AB607" s="85" t="str">
        <f>IF(AND(OR(LEFT(TH!N607,2)="15",LEFT(TH!O607,2)="15"),'152-CT'!$J$8=TH!F607),"x","")</f>
        <v/>
      </c>
      <c r="AC607" s="85" t="str">
        <f>IF(AND(OR(LEFT(TH!N607,2)="15",LEFT(TH!O607,2)="15"),TK!$E$7=TH!F607),"x","")</f>
        <v/>
      </c>
      <c r="AD607" s="85" t="str">
        <f>IF(AND(N607="1521",MONTH(C607)='BK-NL'!$M$11),"x","")</f>
        <v/>
      </c>
    </row>
    <row r="608" spans="1:31" ht="15.75" customHeight="1">
      <c r="A608" s="343" t="str">
        <f>IF(B608&lt;&gt;"",IF(AND(B608='IN-TC'!$S$4,OR(TH!N608="1111",TH!O608="1111")),TH!D608,""),"")</f>
        <v/>
      </c>
      <c r="B608" s="63">
        <f t="shared" si="61"/>
        <v>3</v>
      </c>
      <c r="C608" s="64">
        <v>42449</v>
      </c>
      <c r="D608" s="320" t="s">
        <v>909</v>
      </c>
      <c r="E608" s="64">
        <v>42449</v>
      </c>
      <c r="F608" s="67" t="s">
        <v>1363</v>
      </c>
      <c r="G608" s="67" t="s">
        <v>1364</v>
      </c>
      <c r="H608" s="7" t="s">
        <v>819</v>
      </c>
      <c r="I608" s="447"/>
      <c r="J608" s="447"/>
      <c r="K608" s="438"/>
      <c r="L608" s="447"/>
      <c r="M608" s="65">
        <v>44664</v>
      </c>
      <c r="N608" s="66" t="s">
        <v>9</v>
      </c>
      <c r="O608" s="66" t="s">
        <v>63</v>
      </c>
      <c r="P608" s="85" t="str">
        <f>IF(AND('331-CT'!$E$7=TH!H608,OR(N608="331",O608="331")),"x","")</f>
        <v/>
      </c>
      <c r="Q608" s="85" t="str">
        <f>IF(AND(B608='111'!$L$11,OR($N608=$Q$7,$O608=$Q$7)),"x","")</f>
        <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IF(AND('341-CT'!$H$9=H608,OR(LEFT(N608,3)=$W$7,LEFT(O608,3)=$W$7)),"x","")</f>
        <v/>
      </c>
      <c r="X608" s="85" t="str">
        <f>IF(OR(TH!N608=TH!$X$7,O608=TH!$X$7),"x","")</f>
        <v/>
      </c>
      <c r="Y608" s="85" t="str">
        <f>IF(AND(OR(N608="131",O608="131"),H608='131-CT'!$H$9),"x","")</f>
        <v/>
      </c>
      <c r="Z608" s="85"/>
      <c r="AA608" s="85" t="str">
        <f>IF(AND(MONTH(E608)='IN-NX'!$J$5,'IN-NX'!$D$7=D608),"x","")</f>
        <v/>
      </c>
      <c r="AB608" s="85" t="str">
        <f>IF(AND(OR(LEFT(TH!N608,2)="15",LEFT(TH!O608,2)="15"),'152-CT'!$J$8=TH!F608),"x","")</f>
        <v/>
      </c>
      <c r="AC608" s="85" t="str">
        <f>IF(AND(OR(LEFT(TH!N608,2)="15",LEFT(TH!O608,2)="15"),TK!$E$7=TH!F608),"x","")</f>
        <v/>
      </c>
      <c r="AD608" s="85" t="str">
        <f>IF(AND(N608="1521",MONTH(C608)='BK-NL'!$M$11),"x","")</f>
        <v/>
      </c>
    </row>
    <row r="609" spans="1:31" ht="15.75" customHeight="1">
      <c r="A609" s="343" t="str">
        <f>IF(B609&lt;&gt;"",IF(AND(B609='IN-TC'!$S$4,OR(TH!N609="1111",TH!O609="1111")),TH!D609,""),"")</f>
        <v/>
      </c>
      <c r="B609" s="63">
        <f t="shared" si="61"/>
        <v>3</v>
      </c>
      <c r="C609" s="64">
        <v>42450</v>
      </c>
      <c r="D609" s="320" t="s">
        <v>709</v>
      </c>
      <c r="E609" s="64">
        <v>42450</v>
      </c>
      <c r="F609" s="67" t="s">
        <v>1207</v>
      </c>
      <c r="G609" s="67" t="s">
        <v>930</v>
      </c>
      <c r="H609" s="7"/>
      <c r="I609" s="447"/>
      <c r="J609" s="447"/>
      <c r="K609" s="438"/>
      <c r="L609" s="447"/>
      <c r="M609" s="65">
        <v>333900</v>
      </c>
      <c r="N609" s="66" t="s">
        <v>101</v>
      </c>
      <c r="O609" s="66" t="s">
        <v>26</v>
      </c>
      <c r="P609" s="85" t="str">
        <f>IF(AND('331-CT'!$E$7=TH!H609,OR(N609="331",O609="331")),"x","")</f>
        <v/>
      </c>
      <c r="Q609" s="85" t="str">
        <f>IF(AND(B609='111'!$L$11,OR($N609=$Q$7,$O609=$Q$7)),"x","")</f>
        <v/>
      </c>
      <c r="R609" s="85" t="str">
        <f>IF(AND($N609=$Q$7,$B609&lt;'111'!$L$11),"x","")</f>
        <v/>
      </c>
      <c r="S609" s="85" t="str">
        <f>IF(AND($O609=$Q$7,$B609&lt;'111'!$L$11),"x","")</f>
        <v/>
      </c>
      <c r="T609" s="85" t="str">
        <f>IF(ISERROR(FIND('112'!$M$9,G609,1)),"",IF((AND(FIND('112'!$M$9,G609,1)&gt;=1,B609='112'!$K$9,OR($N609='112'!$I$6,$O609='112'!$I$6))),"x",""))</f>
        <v/>
      </c>
      <c r="U609" s="85" t="str">
        <f>IF(ISERROR(FIND('112'!$M$9,G609,1)),"",IF((AND(LEFT(G609,2)=LEFT('112'!$M$9,2),B609&lt;'112'!$K$9,$N609='112'!$I$6)),"x",""))</f>
        <v/>
      </c>
      <c r="V609" s="85" t="str">
        <f>IF(ISERROR(FIND('112'!$M$9,G609,1)),"",IF((AND(RIGHT(G609,2)=RIGHT('112'!$M$9,2),B609&lt;'112'!$K$9,$O609='112'!$I$6)),"x",""))</f>
        <v/>
      </c>
      <c r="W609" s="85" t="str">
        <f>IF(AND('341-CT'!$H$9=H609,OR(LEFT(N609,3)=$W$7,LEFT(O609,3)=$W$7)),"x","")</f>
        <v/>
      </c>
      <c r="X609" s="85" t="str">
        <f>IF(OR(TH!N609=TH!$X$7,O609=TH!$X$7),"x","")</f>
        <v/>
      </c>
      <c r="Y609" s="85" t="str">
        <f>IF(AND(OR(N609="131",O609="131"),H609='131-CT'!$H$9),"x","")</f>
        <v/>
      </c>
      <c r="Z609" s="85"/>
      <c r="AA609" s="85" t="str">
        <f>IF(AND(MONTH(E609)='IN-NX'!$J$5,'IN-NX'!$D$7=D609),"x","")</f>
        <v/>
      </c>
      <c r="AB609" s="85" t="str">
        <f>IF(AND(OR(LEFT(TH!N609,2)="15",LEFT(TH!O609,2)="15"),'152-CT'!$J$8=TH!F609),"x","")</f>
        <v/>
      </c>
      <c r="AC609" s="85" t="str">
        <f>IF(AND(OR(LEFT(TH!N609,2)="15",LEFT(TH!O609,2)="15"),TK!$E$7=TH!F609),"x","")</f>
        <v/>
      </c>
      <c r="AD609" s="85" t="str">
        <f>IF(AND(N609="1521",MONTH(C609)='BK-NL'!$M$11),"x","")</f>
        <v/>
      </c>
    </row>
    <row r="610" spans="1:31" ht="15.75" customHeight="1">
      <c r="A610" s="343" t="str">
        <f>IF(B610&lt;&gt;"",IF(AND(B610='IN-TC'!$S$4,OR(TH!N610="1111",TH!O610="1111")),TH!D610,""),"")</f>
        <v/>
      </c>
      <c r="B610" s="63">
        <f t="shared" si="61"/>
        <v>3</v>
      </c>
      <c r="C610" s="64">
        <v>42450</v>
      </c>
      <c r="D610" s="320" t="s">
        <v>709</v>
      </c>
      <c r="E610" s="64">
        <v>42450</v>
      </c>
      <c r="F610" s="67" t="s">
        <v>1208</v>
      </c>
      <c r="G610" s="67" t="s">
        <v>930</v>
      </c>
      <c r="H610" s="7"/>
      <c r="I610" s="447"/>
      <c r="J610" s="447"/>
      <c r="K610" s="438"/>
      <c r="L610" s="447"/>
      <c r="M610" s="65">
        <v>33390</v>
      </c>
      <c r="N610" s="66" t="s">
        <v>9</v>
      </c>
      <c r="O610" s="66" t="s">
        <v>26</v>
      </c>
      <c r="P610" s="85" t="str">
        <f>IF(AND('331-CT'!$E$7=TH!H610,OR(N610="331",O610="331")),"x","")</f>
        <v/>
      </c>
      <c r="Q610" s="85" t="str">
        <f>IF(AND(B610='111'!$L$11,OR($N610=$Q$7,$O610=$Q$7)),"x","")</f>
        <v/>
      </c>
      <c r="R610" s="85" t="str">
        <f>IF(AND($N610=$Q$7,$B610&lt;'111'!$L$11),"x","")</f>
        <v/>
      </c>
      <c r="S610" s="85" t="str">
        <f>IF(AND($O610=$Q$7,$B610&lt;'111'!$L$11),"x","")</f>
        <v/>
      </c>
      <c r="T610" s="85" t="str">
        <f>IF(ISERROR(FIND('112'!$M$9,G610,1)),"",IF((AND(FIND('112'!$M$9,G610,1)&gt;=1,B610='112'!$K$9,OR($N610='112'!$I$6,$O610='112'!$I$6))),"x",""))</f>
        <v/>
      </c>
      <c r="U610" s="85" t="str">
        <f>IF(ISERROR(FIND('112'!$M$9,G610,1)),"",IF((AND(LEFT(G610,2)=LEFT('112'!$M$9,2),B610&lt;'112'!$K$9,$N610='112'!$I$6)),"x",""))</f>
        <v/>
      </c>
      <c r="V610" s="85" t="str">
        <f>IF(ISERROR(FIND('112'!$M$9,G610,1)),"",IF((AND(RIGHT(G610,2)=RIGHT('112'!$M$9,2),B610&lt;'112'!$K$9,$O610='112'!$I$6)),"x",""))</f>
        <v/>
      </c>
      <c r="W610" s="85" t="str">
        <f>IF(AND('341-CT'!$H$9=H610,OR(LEFT(N610,3)=$W$7,LEFT(O610,3)=$W$7)),"x","")</f>
        <v/>
      </c>
      <c r="X610" s="85" t="str">
        <f>IF(OR(TH!N610=TH!$X$7,O610=TH!$X$7),"x","")</f>
        <v/>
      </c>
      <c r="Y610" s="85" t="str">
        <f>IF(AND(OR(N610="131",O610="131"),H610='131-CT'!$H$9),"x","")</f>
        <v/>
      </c>
      <c r="Z610" s="85"/>
      <c r="AA610" s="85" t="str">
        <f>IF(AND(MONTH(E610)='IN-NX'!$J$5,'IN-NX'!$D$7=D610),"x","")</f>
        <v/>
      </c>
      <c r="AB610" s="85" t="str">
        <f>IF(AND(OR(LEFT(TH!N610,2)="15",LEFT(TH!O610,2)="15"),'152-CT'!$J$8=TH!F610),"x","")</f>
        <v/>
      </c>
      <c r="AC610" s="85" t="str">
        <f>IF(AND(OR(LEFT(TH!N610,2)="15",LEFT(TH!O610,2)="15"),TK!$E$7=TH!F610),"x","")</f>
        <v/>
      </c>
      <c r="AD610" s="85" t="str">
        <f>IF(AND(N610="1521",MONTH(C610)='BK-NL'!$M$11),"x","")</f>
        <v/>
      </c>
    </row>
    <row r="611" spans="1:31" ht="15.75" customHeight="1">
      <c r="A611" s="343" t="str">
        <f>IF(B611&lt;&gt;"",IF(AND(B611='IN-TC'!$S$4,OR(TH!N611="1111",TH!O611="1111")),TH!D611,""),"")</f>
        <v/>
      </c>
      <c r="B611" s="63">
        <f t="shared" si="61"/>
        <v>3</v>
      </c>
      <c r="C611" s="320">
        <v>42450</v>
      </c>
      <c r="D611" s="320" t="s">
        <v>706</v>
      </c>
      <c r="E611" s="320">
        <v>42450</v>
      </c>
      <c r="F611" s="321" t="s">
        <v>1234</v>
      </c>
      <c r="G611" s="1000" t="s">
        <v>930</v>
      </c>
      <c r="H611" s="322" t="s">
        <v>1235</v>
      </c>
      <c r="I611" s="447"/>
      <c r="J611" s="447"/>
      <c r="K611" s="438"/>
      <c r="L611" s="447"/>
      <c r="M611" s="65">
        <v>50000000</v>
      </c>
      <c r="N611" s="323" t="s">
        <v>26</v>
      </c>
      <c r="O611" s="66" t="s">
        <v>72</v>
      </c>
      <c r="P611" s="85" t="str">
        <f>IF(AND('331-CT'!$E$7=TH!H611,OR(N611="331",O611="331")),"x","")</f>
        <v/>
      </c>
      <c r="Q611" s="85" t="str">
        <f>IF(AND(B611='111'!$L$11,OR($N611=$Q$7,$O611=$Q$7)),"x","")</f>
        <v/>
      </c>
      <c r="R611" s="85" t="str">
        <f>IF(AND($N611=$Q$7,$B611&lt;'111'!$L$11),"x","")</f>
        <v/>
      </c>
      <c r="S611" s="85" t="str">
        <f>IF(AND($O611=$Q$7,$B611&lt;'111'!$L$11),"x","")</f>
        <v/>
      </c>
      <c r="T611" s="85" t="str">
        <f>IF(ISERROR(FIND('112'!$M$9,G611,1)),"",IF((AND(FIND('112'!$M$9,G611,1)&gt;=1,B611='112'!$K$9,OR($N611='112'!$I$6,$O611='112'!$I$6))),"x",""))</f>
        <v/>
      </c>
      <c r="U611" s="85" t="str">
        <f>IF(ISERROR(FIND('112'!$M$9,G611,1)),"",IF((AND(LEFT(G611,2)=LEFT('112'!$M$9,2),B611&lt;'112'!$K$9,$N611='112'!$I$6)),"x",""))</f>
        <v/>
      </c>
      <c r="V611" s="85" t="str">
        <f>IF(ISERROR(FIND('112'!$M$9,G611,1)),"",IF((AND(RIGHT(G611,2)=RIGHT('112'!$M$9,2),B611&lt;'112'!$K$9,$O611='112'!$I$6)),"x",""))</f>
        <v/>
      </c>
      <c r="W611" s="85" t="str">
        <f>IF(AND('341-CT'!$H$9=H611,OR(LEFT(N611,3)=$W$7,LEFT(O611,3)=$W$7)),"x","")</f>
        <v/>
      </c>
      <c r="X611" s="85" t="str">
        <f>IF(OR(TH!N611=TH!$X$7,O611=TH!$X$7),"x","")</f>
        <v>x</v>
      </c>
      <c r="Y611" s="85" t="str">
        <f>IF(AND(OR(N611="131",O611="131"),H611='131-CT'!$H$9),"x","")</f>
        <v/>
      </c>
      <c r="Z611" s="85"/>
      <c r="AA611" s="85" t="str">
        <f>IF(AND(MONTH(E611)='IN-NX'!$J$5,'IN-NX'!$D$7=D611),"x","")</f>
        <v/>
      </c>
      <c r="AB611" s="85" t="str">
        <f>IF(AND(OR(LEFT(TH!N611,2)="15",LEFT(TH!O611,2)="15"),'152-CT'!$J$8=TH!F611),"x","")</f>
        <v/>
      </c>
      <c r="AC611" s="85" t="str">
        <f>IF(AND(OR(LEFT(TH!N611,2)="15",LEFT(TH!O611,2)="15"),TK!$E$7=TH!F611),"x","")</f>
        <v/>
      </c>
      <c r="AD611" s="85" t="str">
        <f>IF(AND(N611="1521",MONTH(C611)='BK-NL'!$M$11),"x","")</f>
        <v/>
      </c>
    </row>
    <row r="612" spans="1:31" ht="15.75" customHeight="1">
      <c r="A612" s="343" t="str">
        <f>IF(B612&lt;&gt;"",IF(AND(B612='IN-TC'!$S$4,OR(TH!N612="1111",TH!O612="1111")),TH!D612,""),"")</f>
        <v/>
      </c>
      <c r="B612" s="63">
        <f t="shared" si="61"/>
        <v>3</v>
      </c>
      <c r="C612" s="320">
        <v>42450</v>
      </c>
      <c r="D612" s="320" t="s">
        <v>709</v>
      </c>
      <c r="E612" s="320">
        <v>42450</v>
      </c>
      <c r="F612" s="321" t="s">
        <v>1212</v>
      </c>
      <c r="G612" s="1000" t="s">
        <v>930</v>
      </c>
      <c r="H612" s="322" t="s">
        <v>734</v>
      </c>
      <c r="I612" s="447"/>
      <c r="J612" s="447"/>
      <c r="K612" s="438">
        <v>288.53001792114696</v>
      </c>
      <c r="L612" s="447">
        <v>22320</v>
      </c>
      <c r="M612" s="65">
        <v>6439990</v>
      </c>
      <c r="N612" s="323" t="s">
        <v>99</v>
      </c>
      <c r="O612" s="66" t="s">
        <v>26</v>
      </c>
      <c r="P612" s="85" t="str">
        <f>IF(AND('331-CT'!$E$7=TH!H612,OR(N612="331",O612="331")),"x","")</f>
        <v/>
      </c>
      <c r="Q612" s="85" t="str">
        <f>IF(AND(B612='111'!$L$11,OR($N612=$Q$7,$O612=$Q$7)),"x","")</f>
        <v/>
      </c>
      <c r="R612" s="85" t="str">
        <f>IF(AND($N612=$Q$7,$B612&lt;'111'!$L$11),"x","")</f>
        <v/>
      </c>
      <c r="S612" s="85" t="str">
        <f>IF(AND($O612=$Q$7,$B612&lt;'111'!$L$11),"x","")</f>
        <v/>
      </c>
      <c r="T612" s="85" t="str">
        <f>IF(ISERROR(FIND('112'!$M$9,G612,1)),"",IF((AND(FIND('112'!$M$9,G612,1)&gt;=1,B612='112'!$K$9,OR($N612='112'!$I$6,$O612='112'!$I$6))),"x",""))</f>
        <v/>
      </c>
      <c r="U612" s="85" t="str">
        <f>IF(ISERROR(FIND('112'!$M$9,G612,1)),"",IF((AND(LEFT(G612,2)=LEFT('112'!$M$9,2),B612&lt;'112'!$K$9,$N612='112'!$I$6)),"x",""))</f>
        <v/>
      </c>
      <c r="V612" s="85" t="str">
        <f>IF(ISERROR(FIND('112'!$M$9,G612,1)),"",IF((AND(RIGHT(G612,2)=RIGHT('112'!$M$9,2),B612&lt;'112'!$K$9,$O612='112'!$I$6)),"x",""))</f>
        <v/>
      </c>
      <c r="W612" s="85" t="str">
        <f>IF(AND('341-CT'!$H$9=H612,OR(LEFT(N612,3)=$W$7,LEFT(O612,3)=$W$7)),"x","")</f>
        <v/>
      </c>
      <c r="X612" s="85" t="str">
        <f>IF(OR(TH!N612=TH!$X$7,O612=TH!$X$7),"x","")</f>
        <v/>
      </c>
      <c r="Y612" s="85" t="str">
        <f>IF(AND(OR(N612="131",O612="131"),H612='131-CT'!$H$9),"x","")</f>
        <v/>
      </c>
      <c r="Z612" s="85"/>
      <c r="AA612" s="85" t="str">
        <f>IF(AND(MONTH(E612)='IN-NX'!$J$5,'IN-NX'!$D$7=D612),"x","")</f>
        <v/>
      </c>
      <c r="AB612" s="85" t="str">
        <f>IF(AND(OR(LEFT(TH!N612,2)="15",LEFT(TH!O612,2)="15"),'152-CT'!$J$8=TH!F612),"x","")</f>
        <v/>
      </c>
      <c r="AC612" s="85" t="str">
        <f>IF(AND(OR(LEFT(TH!N612,2)="15",LEFT(TH!O612,2)="15"),TK!$E$7=TH!F612),"x","")</f>
        <v/>
      </c>
      <c r="AD612" s="85" t="str">
        <f>IF(AND(N612="1521",MONTH(C612)='BK-NL'!$M$11),"x","")</f>
        <v/>
      </c>
    </row>
    <row r="613" spans="1:31" ht="15.75" customHeight="1">
      <c r="A613" s="343" t="str">
        <f>IF(B613&lt;&gt;"",IF(AND(B613='IN-TC'!$S$4,OR(TH!N613="1111",TH!O613="1111")),TH!D613,""),"")</f>
        <v/>
      </c>
      <c r="B613" s="63">
        <f t="shared" si="61"/>
        <v>3</v>
      </c>
      <c r="C613" s="64">
        <v>42450</v>
      </c>
      <c r="D613" s="320" t="s">
        <v>709</v>
      </c>
      <c r="E613" s="64">
        <v>42450</v>
      </c>
      <c r="F613" s="67" t="s">
        <v>1212</v>
      </c>
      <c r="G613" s="67" t="s">
        <v>930</v>
      </c>
      <c r="H613" s="74" t="s">
        <v>735</v>
      </c>
      <c r="I613" s="447"/>
      <c r="J613" s="447"/>
      <c r="K613" s="438">
        <v>286.91998207885302</v>
      </c>
      <c r="L613" s="447">
        <v>22320</v>
      </c>
      <c r="M613" s="65">
        <v>6404054</v>
      </c>
      <c r="N613" s="66" t="s">
        <v>99</v>
      </c>
      <c r="O613" s="66" t="s">
        <v>26</v>
      </c>
      <c r="P613" s="85" t="str">
        <f>IF(AND('331-CT'!$E$7=TH!H613,OR(N613="331",O613="331")),"x","")</f>
        <v/>
      </c>
      <c r="Q613" s="85" t="str">
        <f>IF(AND(B613='111'!$L$11,OR($N613=$Q$7,$O613=$Q$7)),"x","")</f>
        <v/>
      </c>
      <c r="R613" s="85" t="str">
        <f>IF(AND($N613=$Q$7,$B613&lt;'111'!$L$11),"x","")</f>
        <v/>
      </c>
      <c r="S613" s="85" t="str">
        <f>IF(AND($O613=$Q$7,$B613&lt;'111'!$L$11),"x","")</f>
        <v/>
      </c>
      <c r="T613" s="85" t="str">
        <f>IF(ISERROR(FIND('112'!$M$9,G613,1)),"",IF((AND(FIND('112'!$M$9,G613,1)&gt;=1,B613='112'!$K$9,OR($N613='112'!$I$6,$O613='112'!$I$6))),"x",""))</f>
        <v/>
      </c>
      <c r="U613" s="85" t="str">
        <f>IF(ISERROR(FIND('112'!$M$9,G613,1)),"",IF((AND(LEFT(G613,2)=LEFT('112'!$M$9,2),B613&lt;'112'!$K$9,$N613='112'!$I$6)),"x",""))</f>
        <v/>
      </c>
      <c r="V613" s="85" t="str">
        <f>IF(ISERROR(FIND('112'!$M$9,G613,1)),"",IF((AND(RIGHT(G613,2)=RIGHT('112'!$M$9,2),B613&lt;'112'!$K$9,$O613='112'!$I$6)),"x",""))</f>
        <v/>
      </c>
      <c r="W613" s="85" t="str">
        <f>IF(AND('341-CT'!$H$9=H613,OR(LEFT(N613,3)=$W$7,LEFT(O613,3)=$W$7)),"x","")</f>
        <v/>
      </c>
      <c r="X613" s="85" t="str">
        <f>IF(OR(TH!N613=TH!$X$7,O613=TH!$X$7),"x","")</f>
        <v/>
      </c>
      <c r="Y613" s="85" t="str">
        <f>IF(AND(OR(N613="131",O613="131"),H613='131-CT'!$H$9),"x","")</f>
        <v/>
      </c>
      <c r="Z613" s="85"/>
      <c r="AA613" s="85" t="str">
        <f>IF(AND(MONTH(E613)='IN-NX'!$J$5,'IN-NX'!$D$7=D613),"x","")</f>
        <v/>
      </c>
      <c r="AB613" s="85" t="str">
        <f>IF(AND(OR(LEFT(TH!N613,2)="15",LEFT(TH!O613,2)="15"),'152-CT'!$J$8=TH!F613),"x","")</f>
        <v/>
      </c>
      <c r="AC613" s="85" t="str">
        <f>IF(AND(OR(LEFT(TH!N613,2)="15",LEFT(TH!O613,2)="15"),TK!$E$7=TH!F613),"x","")</f>
        <v/>
      </c>
      <c r="AD613" s="85" t="str">
        <f>IF(AND(N613="1521",MONTH(C613)='BK-NL'!$M$11),"x","")</f>
        <v/>
      </c>
    </row>
    <row r="614" spans="1:31" ht="15.75" customHeight="1">
      <c r="A614" s="343" t="str">
        <f>IF(B614&lt;&gt;"",IF(AND(B614='IN-TC'!$S$4,OR(TH!N614="1111",TH!O614="1111")),TH!D614,""),"")</f>
        <v/>
      </c>
      <c r="B614" s="63">
        <f t="shared" si="61"/>
        <v>3</v>
      </c>
      <c r="C614" s="64">
        <v>42450</v>
      </c>
      <c r="D614" s="320" t="s">
        <v>709</v>
      </c>
      <c r="E614" s="64">
        <v>42450</v>
      </c>
      <c r="F614" s="67" t="s">
        <v>1212</v>
      </c>
      <c r="G614" s="67" t="s">
        <v>930</v>
      </c>
      <c r="H614" s="74" t="s">
        <v>742</v>
      </c>
      <c r="I614" s="447"/>
      <c r="J614" s="447"/>
      <c r="K614" s="438">
        <v>196.65999103942653</v>
      </c>
      <c r="L614" s="447">
        <v>22320</v>
      </c>
      <c r="M614" s="65">
        <v>4389451</v>
      </c>
      <c r="N614" s="66" t="s">
        <v>99</v>
      </c>
      <c r="O614" s="66" t="s">
        <v>26</v>
      </c>
      <c r="P614" s="85" t="str">
        <f>IF(AND('331-CT'!$E$7=TH!H614,OR(N614="331",O614="331")),"x","")</f>
        <v/>
      </c>
      <c r="Q614" s="85" t="str">
        <f>IF(AND(B614='111'!$L$11,OR($N614=$Q$7,$O614=$Q$7)),"x","")</f>
        <v/>
      </c>
      <c r="R614" s="85" t="str">
        <f>IF(AND($N614=$Q$7,$B614&lt;'111'!$L$11),"x","")</f>
        <v/>
      </c>
      <c r="S614" s="85" t="str">
        <f>IF(AND($O614=$Q$7,$B614&lt;'111'!$L$11),"x","")</f>
        <v/>
      </c>
      <c r="T614" s="85" t="str">
        <f>IF(ISERROR(FIND('112'!$M$9,G614,1)),"",IF((AND(FIND('112'!$M$9,G614,1)&gt;=1,B614='112'!$K$9,OR($N614='112'!$I$6,$O614='112'!$I$6))),"x",""))</f>
        <v/>
      </c>
      <c r="U614" s="85" t="str">
        <f>IF(ISERROR(FIND('112'!$M$9,G614,1)),"",IF((AND(LEFT(G614,2)=LEFT('112'!$M$9,2),B614&lt;'112'!$K$9,$N614='112'!$I$6)),"x",""))</f>
        <v/>
      </c>
      <c r="V614" s="85" t="str">
        <f>IF(ISERROR(FIND('112'!$M$9,G614,1)),"",IF((AND(RIGHT(G614,2)=RIGHT('112'!$M$9,2),B614&lt;'112'!$K$9,$O614='112'!$I$6)),"x",""))</f>
        <v/>
      </c>
      <c r="W614" s="85" t="str">
        <f>IF(AND('341-CT'!$H$9=H614,OR(LEFT(N614,3)=$W$7,LEFT(O614,3)=$W$7)),"x","")</f>
        <v/>
      </c>
      <c r="X614" s="85" t="str">
        <f>IF(OR(TH!N614=TH!$X$7,O614=TH!$X$7),"x","")</f>
        <v/>
      </c>
      <c r="Y614" s="85" t="str">
        <f>IF(AND(OR(N614="131",O614="131"),H614='131-CT'!$H$9),"x","")</f>
        <v/>
      </c>
      <c r="Z614" s="85"/>
      <c r="AA614" s="85" t="str">
        <f>IF(AND(MONTH(E614)='IN-NX'!$J$5,'IN-NX'!$D$7=D614),"x","")</f>
        <v/>
      </c>
      <c r="AB614" s="85" t="str">
        <f>IF(AND(OR(LEFT(TH!N614,2)="15",LEFT(TH!O614,2)="15"),'152-CT'!$J$8=TH!F614),"x","")</f>
        <v/>
      </c>
      <c r="AC614" s="85" t="str">
        <f>IF(AND(OR(LEFT(TH!N614,2)="15",LEFT(TH!O614,2)="15"),TK!$E$7=TH!F614),"x","")</f>
        <v/>
      </c>
      <c r="AD614" s="85" t="str">
        <f>IF(AND(N614="1521",MONTH(C614)='BK-NL'!$M$11),"x","")</f>
        <v/>
      </c>
    </row>
    <row r="615" spans="1:31" ht="15.75" customHeight="1">
      <c r="A615" s="343" t="str">
        <f>IF(B615&lt;&gt;"",IF(AND(B615='IN-TC'!$S$4,OR(TH!N615="1111",TH!O615="1111")),TH!D615,""),"")</f>
        <v/>
      </c>
      <c r="B615" s="63">
        <f t="shared" si="61"/>
        <v>3</v>
      </c>
      <c r="C615" s="64">
        <v>42450</v>
      </c>
      <c r="D615" s="320" t="s">
        <v>709</v>
      </c>
      <c r="E615" s="64">
        <v>42450</v>
      </c>
      <c r="F615" s="67" t="s">
        <v>1212</v>
      </c>
      <c r="G615" s="67" t="s">
        <v>930</v>
      </c>
      <c r="H615" s="74" t="s">
        <v>736</v>
      </c>
      <c r="I615" s="447"/>
      <c r="J615" s="447"/>
      <c r="K615" s="438">
        <v>286.91998207885302</v>
      </c>
      <c r="L615" s="447">
        <v>22320</v>
      </c>
      <c r="M615" s="65">
        <v>6404054</v>
      </c>
      <c r="N615" s="66" t="s">
        <v>99</v>
      </c>
      <c r="O615" s="66" t="s">
        <v>26</v>
      </c>
      <c r="P615" s="85" t="str">
        <f>IF(AND('331-CT'!$E$7=TH!H615,OR(N615="331",O615="331")),"x","")</f>
        <v/>
      </c>
      <c r="Q615" s="85" t="str">
        <f>IF(AND(B615='111'!$L$11,OR($N615=$Q$7,$O615=$Q$7)),"x","")</f>
        <v/>
      </c>
      <c r="R615" s="85" t="str">
        <f>IF(AND($N615=$Q$7,$B615&lt;'111'!$L$11),"x","")</f>
        <v/>
      </c>
      <c r="S615" s="85" t="str">
        <f>IF(AND($O615=$Q$7,$B615&lt;'111'!$L$11),"x","")</f>
        <v/>
      </c>
      <c r="T615" s="85" t="str">
        <f>IF(ISERROR(FIND('112'!$M$9,G615,1)),"",IF((AND(FIND('112'!$M$9,G615,1)&gt;=1,B615='112'!$K$9,OR($N615='112'!$I$6,$O615='112'!$I$6))),"x",""))</f>
        <v/>
      </c>
      <c r="U615" s="85" t="str">
        <f>IF(ISERROR(FIND('112'!$M$9,G615,1)),"",IF((AND(LEFT(G615,2)=LEFT('112'!$M$9,2),B615&lt;'112'!$K$9,$N615='112'!$I$6)),"x",""))</f>
        <v/>
      </c>
      <c r="V615" s="85" t="str">
        <f>IF(ISERROR(FIND('112'!$M$9,G615,1)),"",IF((AND(RIGHT(G615,2)=RIGHT('112'!$M$9,2),B615&lt;'112'!$K$9,$O615='112'!$I$6)),"x",""))</f>
        <v/>
      </c>
      <c r="W615" s="85" t="str">
        <f>IF(AND('341-CT'!$H$9=H615,OR(LEFT(N615,3)=$W$7,LEFT(O615,3)=$W$7)),"x","")</f>
        <v/>
      </c>
      <c r="X615" s="85" t="str">
        <f>IF(OR(TH!N615=TH!$X$7,O615=TH!$X$7),"x","")</f>
        <v/>
      </c>
      <c r="Y615" s="85" t="str">
        <f>IF(AND(OR(N615="131",O615="131"),H615='131-CT'!$H$9),"x","")</f>
        <v/>
      </c>
      <c r="Z615" s="85"/>
      <c r="AA615" s="85" t="str">
        <f>IF(AND(MONTH(E615)='IN-NX'!$J$5,'IN-NX'!$D$7=D615),"x","")</f>
        <v/>
      </c>
      <c r="AB615" s="85" t="str">
        <f>IF(AND(OR(LEFT(TH!N615,2)="15",LEFT(TH!O615,2)="15"),'152-CT'!$J$8=TH!F615),"x","")</f>
        <v/>
      </c>
      <c r="AC615" s="85" t="str">
        <f>IF(AND(OR(LEFT(TH!N615,2)="15",LEFT(TH!O615,2)="15"),TK!$E$7=TH!F615),"x","")</f>
        <v/>
      </c>
      <c r="AD615" s="85" t="str">
        <f>IF(AND(N615="1521",MONTH(C615)='BK-NL'!$M$11),"x","")</f>
        <v/>
      </c>
    </row>
    <row r="616" spans="1:31" ht="15.75" customHeight="1">
      <c r="A616" s="343" t="str">
        <f>IF(B616&lt;&gt;"",IF(AND(B616='IN-TC'!$S$4,OR(TH!N616="1111",TH!O616="1111")),TH!D616,""),"")</f>
        <v/>
      </c>
      <c r="B616" s="63">
        <f t="shared" si="61"/>
        <v>3</v>
      </c>
      <c r="C616" s="64">
        <v>42450</v>
      </c>
      <c r="D616" s="320" t="s">
        <v>709</v>
      </c>
      <c r="E616" s="64">
        <v>42450</v>
      </c>
      <c r="F616" s="67" t="s">
        <v>1212</v>
      </c>
      <c r="G616" s="67" t="s">
        <v>930</v>
      </c>
      <c r="H616" s="74" t="s">
        <v>737</v>
      </c>
      <c r="I616" s="447"/>
      <c r="J616" s="447"/>
      <c r="K616" s="438">
        <v>283.7</v>
      </c>
      <c r="L616" s="447">
        <v>22320</v>
      </c>
      <c r="M616" s="65">
        <v>6332184</v>
      </c>
      <c r="N616" s="66" t="s">
        <v>99</v>
      </c>
      <c r="O616" s="66" t="s">
        <v>26</v>
      </c>
      <c r="P616" s="85" t="str">
        <f>IF(AND('331-CT'!$E$7=TH!H616,OR(N616="331",O616="331")),"x","")</f>
        <v/>
      </c>
      <c r="Q616" s="85" t="str">
        <f>IF(AND(B616='111'!$L$11,OR($N616=$Q$7,$O616=$Q$7)),"x","")</f>
        <v/>
      </c>
      <c r="R616" s="85" t="str">
        <f>IF(AND($N616=$Q$7,$B616&lt;'111'!$L$11),"x","")</f>
        <v/>
      </c>
      <c r="S616" s="85" t="str">
        <f>IF(AND($O616=$Q$7,$B616&lt;'111'!$L$11),"x","")</f>
        <v/>
      </c>
      <c r="T616" s="85" t="str">
        <f>IF(ISERROR(FIND('112'!$M$9,G616,1)),"",IF((AND(FIND('112'!$M$9,G616,1)&gt;=1,B616='112'!$K$9,OR($N616='112'!$I$6,$O616='112'!$I$6))),"x",""))</f>
        <v/>
      </c>
      <c r="U616" s="85" t="str">
        <f>IF(ISERROR(FIND('112'!$M$9,G616,1)),"",IF((AND(LEFT(G616,2)=LEFT('112'!$M$9,2),B616&lt;'112'!$K$9,$N616='112'!$I$6)),"x",""))</f>
        <v/>
      </c>
      <c r="V616" s="85" t="str">
        <f>IF(ISERROR(FIND('112'!$M$9,G616,1)),"",IF((AND(RIGHT(G616,2)=RIGHT('112'!$M$9,2),B616&lt;'112'!$K$9,$O616='112'!$I$6)),"x",""))</f>
        <v/>
      </c>
      <c r="W616" s="85" t="str">
        <f>IF(AND('341-CT'!$H$9=H616,OR(LEFT(N616,3)=$W$7,LEFT(O616,3)=$W$7)),"x","")</f>
        <v/>
      </c>
      <c r="X616" s="85" t="str">
        <f>IF(OR(TH!N616=TH!$X$7,O616=TH!$X$7),"x","")</f>
        <v/>
      </c>
      <c r="Y616" s="85" t="str">
        <f>IF(AND(OR(N616="131",O616="131"),H616='131-CT'!$H$9),"x","")</f>
        <v/>
      </c>
      <c r="Z616" s="85"/>
      <c r="AA616" s="85" t="str">
        <f>IF(AND(MONTH(E616)='IN-NX'!$J$5,'IN-NX'!$D$7=D616),"x","")</f>
        <v/>
      </c>
      <c r="AB616" s="85" t="str">
        <f>IF(AND(OR(LEFT(TH!N616,2)="15",LEFT(TH!O616,2)="15"),'152-CT'!$J$8=TH!F616),"x","")</f>
        <v/>
      </c>
      <c r="AC616" s="85" t="str">
        <f>IF(AND(OR(LEFT(TH!N616,2)="15",LEFT(TH!O616,2)="15"),TK!$E$7=TH!F616),"x","")</f>
        <v/>
      </c>
      <c r="AD616" s="85" t="str">
        <f>IF(AND(N616="1521",MONTH(C616)='BK-NL'!$M$11),"x","")</f>
        <v/>
      </c>
    </row>
    <row r="617" spans="1:31" ht="15.75" customHeight="1">
      <c r="A617" s="343" t="str">
        <f>IF(B617&lt;&gt;"",IF(AND(B617='IN-TC'!$S$4,OR(TH!N617="1111",TH!O617="1111")),TH!D617,""),"")</f>
        <v/>
      </c>
      <c r="B617" s="63">
        <f t="shared" si="61"/>
        <v>3</v>
      </c>
      <c r="C617" s="64">
        <v>42450</v>
      </c>
      <c r="D617" s="320" t="s">
        <v>709</v>
      </c>
      <c r="E617" s="64">
        <v>42450</v>
      </c>
      <c r="F617" s="67" t="s">
        <v>1212</v>
      </c>
      <c r="G617" s="67" t="s">
        <v>930</v>
      </c>
      <c r="H617" s="74" t="s">
        <v>745</v>
      </c>
      <c r="I617" s="447"/>
      <c r="J617" s="447"/>
      <c r="K617" s="438">
        <v>571.5099910394265</v>
      </c>
      <c r="L617" s="447">
        <v>22320</v>
      </c>
      <c r="M617" s="65">
        <v>12756103</v>
      </c>
      <c r="N617" s="66" t="s">
        <v>99</v>
      </c>
      <c r="O617" s="66" t="s">
        <v>26</v>
      </c>
      <c r="P617" s="85" t="str">
        <f>IF(AND('331-CT'!$E$7=TH!H617,OR(N617="331",O617="331")),"x","")</f>
        <v/>
      </c>
      <c r="Q617" s="85" t="str">
        <f>IF(AND(B617='111'!$L$11,OR($N617=$Q$7,$O617=$Q$7)),"x","")</f>
        <v/>
      </c>
      <c r="R617" s="85" t="str">
        <f>IF(AND($N617=$Q$7,$B617&lt;'111'!$L$11),"x","")</f>
        <v/>
      </c>
      <c r="S617" s="85" t="str">
        <f>IF(AND($O617=$Q$7,$B617&lt;'111'!$L$11),"x","")</f>
        <v/>
      </c>
      <c r="T617" s="85" t="str">
        <f>IF(ISERROR(FIND('112'!$M$9,G617,1)),"",IF((AND(FIND('112'!$M$9,G617,1)&gt;=1,B617='112'!$K$9,OR($N617='112'!$I$6,$O617='112'!$I$6))),"x",""))</f>
        <v/>
      </c>
      <c r="U617" s="85" t="str">
        <f>IF(ISERROR(FIND('112'!$M$9,G617,1)),"",IF((AND(LEFT(G617,2)=LEFT('112'!$M$9,2),B617&lt;'112'!$K$9,$N617='112'!$I$6)),"x",""))</f>
        <v/>
      </c>
      <c r="V617" s="85" t="str">
        <f>IF(ISERROR(FIND('112'!$M$9,G617,1)),"",IF((AND(RIGHT(G617,2)=RIGHT('112'!$M$9,2),B617&lt;'112'!$K$9,$O617='112'!$I$6)),"x",""))</f>
        <v/>
      </c>
      <c r="W617" s="85" t="str">
        <f>IF(AND('341-CT'!$H$9=H617,OR(LEFT(N617,3)=$W$7,LEFT(O617,3)=$W$7)),"x","")</f>
        <v/>
      </c>
      <c r="X617" s="85" t="str">
        <f>IF(OR(TH!N617=TH!$X$7,O617=TH!$X$7),"x","")</f>
        <v/>
      </c>
      <c r="Y617" s="85" t="str">
        <f>IF(AND(OR(N617="131",O617="131"),H617='131-CT'!$H$9),"x","")</f>
        <v/>
      </c>
      <c r="Z617" s="85"/>
      <c r="AA617" s="85" t="str">
        <f>IF(AND(MONTH(E617)='IN-NX'!$J$5,'IN-NX'!$D$7=D617),"x","")</f>
        <v/>
      </c>
      <c r="AB617" s="85" t="str">
        <f>IF(AND(OR(LEFT(TH!N617,2)="15",LEFT(TH!O617,2)="15"),'152-CT'!$J$8=TH!F617),"x","")</f>
        <v/>
      </c>
      <c r="AC617" s="85" t="str">
        <f>IF(AND(OR(LEFT(TH!N617,2)="15",LEFT(TH!O617,2)="15"),TK!$E$7=TH!F617),"x","")</f>
        <v/>
      </c>
      <c r="AD617" s="85" t="str">
        <f>IF(AND(N617="1521",MONTH(C617)='BK-NL'!$M$11),"x","")</f>
        <v/>
      </c>
    </row>
    <row r="618" spans="1:31" ht="15.75" customHeight="1">
      <c r="A618" s="343" t="str">
        <f>IF(B618&lt;&gt;"",IF(AND(B618='IN-TC'!$S$4,OR(TH!N618="1111",TH!O618="1111")),TH!D618,""),"")</f>
        <v/>
      </c>
      <c r="B618" s="63">
        <f t="shared" si="61"/>
        <v>3</v>
      </c>
      <c r="C618" s="64">
        <v>42452</v>
      </c>
      <c r="D618" s="320" t="s">
        <v>910</v>
      </c>
      <c r="E618" s="64">
        <v>42452</v>
      </c>
      <c r="F618" s="67" t="s">
        <v>618</v>
      </c>
      <c r="G618" s="67" t="s">
        <v>1336</v>
      </c>
      <c r="H618" s="74" t="s">
        <v>1337</v>
      </c>
      <c r="I618" s="447"/>
      <c r="J618" s="447"/>
      <c r="K618" s="438"/>
      <c r="L618" s="447"/>
      <c r="M618" s="65">
        <v>1025134</v>
      </c>
      <c r="N618" s="66" t="s">
        <v>101</v>
      </c>
      <c r="O618" s="66" t="s">
        <v>63</v>
      </c>
      <c r="P618" s="85" t="str">
        <f>IF(AND('331-CT'!$E$7=TH!H618,OR(N618="331",O618="331")),"x","")</f>
        <v/>
      </c>
      <c r="Q618" s="85" t="str">
        <f>IF(AND(B618='111'!$L$11,OR($N618=$Q$7,$O618=$Q$7)),"x","")</f>
        <v/>
      </c>
      <c r="R618" s="85" t="str">
        <f>IF(AND($N618=$Q$7,$B618&lt;'111'!$L$11),"x","")</f>
        <v/>
      </c>
      <c r="S618" s="85" t="str">
        <f>IF(AND($O618=$Q$7,$B618&lt;'111'!$L$11),"x","")</f>
        <v/>
      </c>
      <c r="T618" s="85" t="str">
        <f>IF(ISERROR(FIND('112'!$M$9,G618,1)),"",IF((AND(FIND('112'!$M$9,G618,1)&gt;=1,B618='112'!$K$9,OR($N618='112'!$I$6,$O618='112'!$I$6))),"x",""))</f>
        <v/>
      </c>
      <c r="U618" s="85" t="str">
        <f>IF(ISERROR(FIND('112'!$M$9,G618,1)),"",IF((AND(LEFT(G618,2)=LEFT('112'!$M$9,2),B618&lt;'112'!$K$9,$N618='112'!$I$6)),"x",""))</f>
        <v/>
      </c>
      <c r="V618" s="85" t="str">
        <f>IF(ISERROR(FIND('112'!$M$9,G618,1)),"",IF((AND(RIGHT(G618,2)=RIGHT('112'!$M$9,2),B618&lt;'112'!$K$9,$O618='112'!$I$6)),"x",""))</f>
        <v/>
      </c>
      <c r="W618" s="85" t="str">
        <f>IF(AND('341-CT'!$H$9=H618,OR(LEFT(N618,3)=$W$7,LEFT(O618,3)=$W$7)),"x","")</f>
        <v/>
      </c>
      <c r="X618" s="85" t="str">
        <f>IF(OR(TH!N618=TH!$X$7,O618=TH!$X$7),"x","")</f>
        <v/>
      </c>
      <c r="Y618" s="85" t="str">
        <f>IF(AND(OR(N618="131",O618="131"),H618='131-CT'!$H$9),"x","")</f>
        <v/>
      </c>
      <c r="Z618" s="85"/>
      <c r="AA618" s="85" t="str">
        <f>IF(AND(MONTH(E618)='IN-NX'!$J$5,'IN-NX'!$D$7=D618),"x","")</f>
        <v/>
      </c>
      <c r="AB618" s="85" t="str">
        <f>IF(AND(OR(LEFT(TH!N618,2)="15",LEFT(TH!O618,2)="15"),'152-CT'!$J$8=TH!F618),"x","")</f>
        <v/>
      </c>
      <c r="AC618" s="85" t="str">
        <f>IF(AND(OR(LEFT(TH!N618,2)="15",LEFT(TH!O618,2)="15"),TK!$E$7=TH!F618),"x","")</f>
        <v/>
      </c>
      <c r="AD618" s="85" t="str">
        <f>IF(AND(N618="1521",MONTH(C618)='BK-NL'!$M$11),"x","")</f>
        <v/>
      </c>
    </row>
    <row r="619" spans="1:31" ht="15.75" customHeight="1">
      <c r="A619" s="343" t="str">
        <f>IF(B619&lt;&gt;"",IF(AND(B619='IN-TC'!$S$4,OR(TH!N619="1111",TH!O619="1111")),TH!D619,""),"")</f>
        <v/>
      </c>
      <c r="B619" s="63">
        <f t="shared" si="61"/>
        <v>3</v>
      </c>
      <c r="C619" s="64">
        <v>42452</v>
      </c>
      <c r="D619" s="320" t="s">
        <v>910</v>
      </c>
      <c r="E619" s="64">
        <v>42452</v>
      </c>
      <c r="F619" s="67" t="s">
        <v>1335</v>
      </c>
      <c r="G619" s="67" t="s">
        <v>1336</v>
      </c>
      <c r="H619" s="351" t="s">
        <v>1337</v>
      </c>
      <c r="I619" s="449"/>
      <c r="J619" s="449"/>
      <c r="K619" s="440"/>
      <c r="L619" s="449"/>
      <c r="M619" s="65">
        <v>102513</v>
      </c>
      <c r="N619" s="66" t="s">
        <v>9</v>
      </c>
      <c r="O619" s="66" t="s">
        <v>63</v>
      </c>
      <c r="P619" s="85" t="str">
        <f>IF(AND('331-CT'!$E$7=TH!H619,OR(N619="331",O619="331")),"x","")</f>
        <v/>
      </c>
      <c r="Q619" s="85" t="str">
        <f>IF(AND(B619='111'!$L$11,OR($N619=$Q$7,$O619=$Q$7)),"x","")</f>
        <v/>
      </c>
      <c r="R619" s="85" t="str">
        <f>IF(AND($N619=$Q$7,$B619&lt;'111'!$L$11),"x","")</f>
        <v/>
      </c>
      <c r="S619" s="85" t="str">
        <f>IF(AND($O619=$Q$7,$B619&lt;'111'!$L$11),"x","")</f>
        <v/>
      </c>
      <c r="T619" s="85" t="str">
        <f>IF(ISERROR(FIND('112'!$M$9,G619,1)),"",IF((AND(FIND('112'!$M$9,G619,1)&gt;=1,B619='112'!$K$9,OR($N619='112'!$I$6,$O619='112'!$I$6))),"x",""))</f>
        <v/>
      </c>
      <c r="U619" s="85" t="str">
        <f>IF(ISERROR(FIND('112'!$M$9,G619,1)),"",IF((AND(LEFT(G619,2)=LEFT('112'!$M$9,2),B619&lt;'112'!$K$9,$N619='112'!$I$6)),"x",""))</f>
        <v/>
      </c>
      <c r="V619" s="85" t="str">
        <f>IF(ISERROR(FIND('112'!$M$9,G619,1)),"",IF((AND(RIGHT(G619,2)=RIGHT('112'!$M$9,2),B619&lt;'112'!$K$9,$O619='112'!$I$6)),"x",""))</f>
        <v/>
      </c>
      <c r="W619" s="85" t="str">
        <f>IF(AND('341-CT'!$H$9=H619,OR(LEFT(N619,3)=$W$7,LEFT(O619,3)=$W$7)),"x","")</f>
        <v/>
      </c>
      <c r="X619" s="85" t="str">
        <f>IF(OR(TH!N619=TH!$X$7,O619=TH!$X$7),"x","")</f>
        <v/>
      </c>
      <c r="Y619" s="85" t="str">
        <f>IF(AND(OR(N619="131",O619="131"),H619='131-CT'!$H$9),"x","")</f>
        <v/>
      </c>
      <c r="Z619" s="85"/>
      <c r="AA619" s="85" t="str">
        <f>IF(AND(MONTH(E619)='IN-NX'!$J$5,'IN-NX'!$D$7=D619),"x","")</f>
        <v/>
      </c>
      <c r="AB619" s="85" t="str">
        <f>IF(AND(OR(LEFT(TH!N619,2)="15",LEFT(TH!O619,2)="15"),'152-CT'!$J$8=TH!F619),"x","")</f>
        <v/>
      </c>
      <c r="AC619" s="85" t="str">
        <f>IF(AND(OR(LEFT(TH!N619,2)="15",LEFT(TH!O619,2)="15"),TK!$E$7=TH!F619),"x","")</f>
        <v/>
      </c>
      <c r="AD619" s="85" t="str">
        <f>IF(AND(N619="1521",MONTH(C619)='BK-NL'!$M$11),"x","")</f>
        <v/>
      </c>
    </row>
    <row r="620" spans="1:31" ht="15.75" customHeight="1">
      <c r="A620" s="343" t="str">
        <f>IF(B620&lt;&gt;"",IF(AND(B620='IN-TC'!$S$4,OR(TH!N620="1111",TH!O620="1111")),TH!D620,""),"")</f>
        <v/>
      </c>
      <c r="B620" s="63">
        <f t="shared" si="61"/>
        <v>3</v>
      </c>
      <c r="C620" s="64">
        <v>42452</v>
      </c>
      <c r="D620" s="320" t="s">
        <v>911</v>
      </c>
      <c r="E620" s="64">
        <v>42452</v>
      </c>
      <c r="F620" s="67" t="s">
        <v>781</v>
      </c>
      <c r="G620" s="67" t="s">
        <v>1365</v>
      </c>
      <c r="H620" s="74" t="s">
        <v>819</v>
      </c>
      <c r="I620" s="447"/>
      <c r="J620" s="447"/>
      <c r="K620" s="438"/>
      <c r="L620" s="447"/>
      <c r="M620" s="65">
        <v>520418</v>
      </c>
      <c r="N620" s="66" t="s">
        <v>101</v>
      </c>
      <c r="O620" s="66" t="s">
        <v>63</v>
      </c>
      <c r="P620" s="85" t="str">
        <f>IF(AND('331-CT'!$E$7=TH!H620,OR(N620="331",O620="331")),"x","")</f>
        <v/>
      </c>
      <c r="Q620" s="85" t="str">
        <f>IF(AND(B620='111'!$L$11,OR($N620=$Q$7,$O620=$Q$7)),"x","")</f>
        <v/>
      </c>
      <c r="R620" s="85" t="str">
        <f>IF(AND($N620=$Q$7,$B620&lt;'111'!$L$11),"x","")</f>
        <v/>
      </c>
      <c r="S620" s="85" t="str">
        <f>IF(AND($O620=$Q$7,$B620&lt;'111'!$L$11),"x","")</f>
        <v/>
      </c>
      <c r="T620" s="85" t="str">
        <f>IF(ISERROR(FIND('112'!$M$9,G620,1)),"",IF((AND(FIND('112'!$M$9,G620,1)&gt;=1,B620='112'!$K$9,OR($N620='112'!$I$6,$O620='112'!$I$6))),"x",""))</f>
        <v/>
      </c>
      <c r="U620" s="85" t="str">
        <f>IF(ISERROR(FIND('112'!$M$9,G620,1)),"",IF((AND(LEFT(G620,2)=LEFT('112'!$M$9,2),B620&lt;'112'!$K$9,$N620='112'!$I$6)),"x",""))</f>
        <v/>
      </c>
      <c r="V620" s="85" t="str">
        <f>IF(ISERROR(FIND('112'!$M$9,G620,1)),"",IF((AND(RIGHT(G620,2)=RIGHT('112'!$M$9,2),B620&lt;'112'!$K$9,$O620='112'!$I$6)),"x",""))</f>
        <v/>
      </c>
      <c r="W620" s="85" t="str">
        <f>IF(AND('341-CT'!$H$9=H620,OR(LEFT(N620,3)=$W$7,LEFT(O620,3)=$W$7)),"x","")</f>
        <v/>
      </c>
      <c r="X620" s="85" t="str">
        <f>IF(OR(TH!N620=TH!$X$7,O620=TH!$X$7),"x","")</f>
        <v/>
      </c>
      <c r="Y620" s="85" t="str">
        <f>IF(AND(OR(N620="131",O620="131"),H620='131-CT'!$H$9),"x","")</f>
        <v/>
      </c>
      <c r="Z620" s="85"/>
      <c r="AA620" s="85" t="str">
        <f>IF(AND(MONTH(E620)='IN-NX'!$J$5,'IN-NX'!$D$7=D620),"x","")</f>
        <v/>
      </c>
      <c r="AB620" s="85" t="str">
        <f>IF(AND(OR(LEFT(TH!N620,2)="15",LEFT(TH!O620,2)="15"),'152-CT'!$J$8=TH!F620),"x","")</f>
        <v/>
      </c>
      <c r="AC620" s="85" t="str">
        <f>IF(AND(OR(LEFT(TH!N620,2)="15",LEFT(TH!O620,2)="15"),TK!$E$7=TH!F620),"x","")</f>
        <v/>
      </c>
      <c r="AD620" s="85" t="str">
        <f>IF(AND(N620="1521",MONTH(C620)='BK-NL'!$M$11),"x","")</f>
        <v/>
      </c>
    </row>
    <row r="621" spans="1:31" ht="15.75" customHeight="1">
      <c r="A621" s="343" t="str">
        <f>IF(B621&lt;&gt;"",IF(AND(B621='IN-TC'!$S$4,OR(TH!N621="1111",TH!O621="1111")),TH!D621,""),"")</f>
        <v/>
      </c>
      <c r="B621" s="63">
        <f t="shared" si="61"/>
        <v>3</v>
      </c>
      <c r="C621" s="64">
        <v>42452</v>
      </c>
      <c r="D621" s="320" t="s">
        <v>911</v>
      </c>
      <c r="E621" s="64">
        <v>42452</v>
      </c>
      <c r="F621" s="67" t="s">
        <v>782</v>
      </c>
      <c r="G621" s="67" t="s">
        <v>1365</v>
      </c>
      <c r="H621" s="74" t="s">
        <v>819</v>
      </c>
      <c r="I621" s="447"/>
      <c r="J621" s="447"/>
      <c r="K621" s="438"/>
      <c r="L621" s="447"/>
      <c r="M621" s="65">
        <v>52042</v>
      </c>
      <c r="N621" s="66" t="s">
        <v>9</v>
      </c>
      <c r="O621" s="66" t="s">
        <v>63</v>
      </c>
      <c r="P621" s="85" t="str">
        <f>IF(AND('331-CT'!$E$7=TH!H621,OR(N621="331",O621="331")),"x","")</f>
        <v/>
      </c>
      <c r="Q621" s="85" t="str">
        <f>IF(AND(B621='111'!$L$11,OR($N621=$Q$7,$O621=$Q$7)),"x","")</f>
        <v/>
      </c>
      <c r="R621" s="85" t="str">
        <f>IF(AND($N621=$Q$7,$B621&lt;'111'!$L$11),"x","")</f>
        <v/>
      </c>
      <c r="S621" s="85" t="str">
        <f>IF(AND($O621=$Q$7,$B621&lt;'111'!$L$11),"x","")</f>
        <v/>
      </c>
      <c r="T621" s="85" t="str">
        <f>IF(ISERROR(FIND('112'!$M$9,G621,1)),"",IF((AND(FIND('112'!$M$9,G621,1)&gt;=1,B621='112'!$K$9,OR($N621='112'!$I$6,$O621='112'!$I$6))),"x",""))</f>
        <v/>
      </c>
      <c r="U621" s="85" t="str">
        <f>IF(ISERROR(FIND('112'!$M$9,G621,1)),"",IF((AND(LEFT(G621,2)=LEFT('112'!$M$9,2),B621&lt;'112'!$K$9,$N621='112'!$I$6)),"x",""))</f>
        <v/>
      </c>
      <c r="V621" s="85" t="str">
        <f>IF(ISERROR(FIND('112'!$M$9,G621,1)),"",IF((AND(RIGHT(G621,2)=RIGHT('112'!$M$9,2),B621&lt;'112'!$K$9,$O621='112'!$I$6)),"x",""))</f>
        <v/>
      </c>
      <c r="W621" s="85" t="str">
        <f>IF(AND('341-CT'!$H$9=H621,OR(LEFT(N621,3)=$W$7,LEFT(O621,3)=$W$7)),"x","")</f>
        <v/>
      </c>
      <c r="X621" s="85" t="str">
        <f>IF(OR(TH!N621=TH!$X$7,O621=TH!$X$7),"x","")</f>
        <v/>
      </c>
      <c r="Y621" s="85" t="str">
        <f>IF(AND(OR(N621="131",O621="131"),H621='131-CT'!$H$9),"x","")</f>
        <v/>
      </c>
      <c r="Z621" s="85"/>
      <c r="AA621" s="85" t="str">
        <f>IF(AND(MONTH(E621)='IN-NX'!$J$5,'IN-NX'!$D$7=D621),"x","")</f>
        <v/>
      </c>
      <c r="AB621" s="85" t="str">
        <f>IF(AND(OR(LEFT(TH!N621,2)="15",LEFT(TH!O621,2)="15"),'152-CT'!$J$8=TH!F621),"x","")</f>
        <v/>
      </c>
      <c r="AC621" s="85" t="str">
        <f>IF(AND(OR(LEFT(TH!N621,2)="15",LEFT(TH!O621,2)="15"),TK!$E$7=TH!F621),"x","")</f>
        <v/>
      </c>
      <c r="AD621" s="85" t="str">
        <f>IF(AND(N621="1521",MONTH(C621)='BK-NL'!$M$11),"x","")</f>
        <v/>
      </c>
    </row>
    <row r="622" spans="1:31" ht="15.75" customHeight="1">
      <c r="A622" s="343" t="str">
        <f>IF(B622&lt;&gt;"",IF(AND(B622='IN-TC'!$S$4,OR(TH!N622="1111",TH!O622="1111")),TH!D622,""),"")</f>
        <v/>
      </c>
      <c r="B622" s="1169">
        <f t="shared" si="61"/>
        <v>3</v>
      </c>
      <c r="C622" s="95">
        <v>42452</v>
      </c>
      <c r="D622" s="1170" t="s">
        <v>709</v>
      </c>
      <c r="E622" s="95">
        <v>42452</v>
      </c>
      <c r="F622" s="96" t="s">
        <v>1236</v>
      </c>
      <c r="G622" s="1176" t="s">
        <v>930</v>
      </c>
      <c r="H622" s="97" t="s">
        <v>1237</v>
      </c>
      <c r="I622" s="453"/>
      <c r="J622" s="453"/>
      <c r="K622" s="444"/>
      <c r="L622" s="453"/>
      <c r="M622" s="98">
        <v>2520000</v>
      </c>
      <c r="N622" s="86" t="s">
        <v>92</v>
      </c>
      <c r="O622" s="86" t="s">
        <v>26</v>
      </c>
      <c r="P622" s="85" t="str">
        <f>IF(AND('331-CT'!$E$7=TH!H622,OR(N622="331",O622="331")),"x","")</f>
        <v/>
      </c>
      <c r="Q622" s="85" t="str">
        <f>IF(AND(B622='111'!$L$11,OR($N622=$Q$7,$O622=$Q$7)),"x","")</f>
        <v/>
      </c>
      <c r="R622" s="85" t="str">
        <f>IF(AND($N622=$Q$7,$B622&lt;'111'!$L$11),"x","")</f>
        <v/>
      </c>
      <c r="S622" s="85" t="str">
        <f>IF(AND($O622=$Q$7,$B622&lt;'111'!$L$11),"x","")</f>
        <v/>
      </c>
      <c r="T622" s="85" t="str">
        <f>IF(ISERROR(FIND('112'!$M$9,G622,1)),"",IF((AND(FIND('112'!$M$9,G622,1)&gt;=1,B622='112'!$K$9,OR($N622='112'!$I$6,$O622='112'!$I$6))),"x",""))</f>
        <v/>
      </c>
      <c r="U622" s="85" t="str">
        <f>IF(ISERROR(FIND('112'!$M$9,G622,1)),"",IF((AND(LEFT(G622,2)=LEFT('112'!$M$9,2),B622&lt;'112'!$K$9,$N622='112'!$I$6)),"x",""))</f>
        <v/>
      </c>
      <c r="V622" s="85" t="str">
        <f>IF(ISERROR(FIND('112'!$M$9,G622,1)),"",IF((AND(RIGHT(G622,2)=RIGHT('112'!$M$9,2),B622&lt;'112'!$K$9,$O622='112'!$I$6)),"x",""))</f>
        <v/>
      </c>
      <c r="W622" s="85" t="str">
        <f>IF(AND('341-CT'!$H$9=H622,OR(LEFT(N622,3)=$W$7,LEFT(O622,3)=$W$7)),"x","")</f>
        <v/>
      </c>
      <c r="X622" s="85" t="str">
        <f>IF(OR(TH!N622=TH!$X$7,O622=TH!$X$7),"x","")</f>
        <v/>
      </c>
      <c r="Y622" s="85" t="str">
        <f>IF(AND(OR(N622="131",O622="131"),H622='131-CT'!$H$9),"x","")</f>
        <v/>
      </c>
      <c r="Z622" s="85"/>
      <c r="AA622" s="85" t="str">
        <f>IF(AND(MONTH(E622)='IN-NX'!$J$5,'IN-NX'!$D$7=D622),"x","")</f>
        <v/>
      </c>
      <c r="AB622" s="85" t="str">
        <f>IF(AND(OR(LEFT(TH!N622,2)="15",LEFT(TH!O622,2)="15"),'152-CT'!$J$8=TH!F622),"x","")</f>
        <v/>
      </c>
      <c r="AC622" s="85" t="str">
        <f>IF(AND(OR(LEFT(TH!N622,2)="15",LEFT(TH!O622,2)="15"),TK!$E$7=TH!F622),"x","")</f>
        <v/>
      </c>
      <c r="AD622" s="85" t="str">
        <f>IF(AND(N622="1521",MONTH(C622)='BK-NL'!$M$11),"x","")</f>
        <v/>
      </c>
      <c r="AE622" s="357"/>
    </row>
    <row r="623" spans="1:31" s="357" customFormat="1" ht="15.75" customHeight="1">
      <c r="A623" s="343" t="str">
        <f>IF(B623&lt;&gt;"",IF(AND(B623='IN-TC'!$S$4,OR(TH!N623="1111",TH!O623="1111")),TH!D623,""),"")</f>
        <v/>
      </c>
      <c r="B623" s="63">
        <f t="shared" si="61"/>
        <v>3</v>
      </c>
      <c r="C623" s="320">
        <f>E623</f>
        <v>42453</v>
      </c>
      <c r="D623" s="64" t="s">
        <v>912</v>
      </c>
      <c r="E623" s="64">
        <v>42453</v>
      </c>
      <c r="F623" s="82" t="s">
        <v>975</v>
      </c>
      <c r="G623" s="82"/>
      <c r="H623" s="83" t="s">
        <v>974</v>
      </c>
      <c r="I623" s="445"/>
      <c r="J623" s="445"/>
      <c r="K623" s="436"/>
      <c r="L623" s="445"/>
      <c r="M623" s="84">
        <v>300000000</v>
      </c>
      <c r="N623" s="85" t="s">
        <v>273</v>
      </c>
      <c r="O623" s="85" t="s">
        <v>63</v>
      </c>
      <c r="P623" s="85" t="str">
        <f>IF(AND('331-CT'!$E$7=TH!H623,OR(N623="331",O623="331")),"x","")</f>
        <v/>
      </c>
      <c r="Q623" s="85" t="str">
        <f>IF(AND(B623='111'!$L$11,OR($N623=$Q$7,$O623=$Q$7)),"x","")</f>
        <v/>
      </c>
      <c r="R623" s="85" t="str">
        <f>IF(AND($N623=$Q$7,$B623&lt;'111'!$L$11),"x","")</f>
        <v/>
      </c>
      <c r="S623" s="85" t="str">
        <f>IF(AND($O623=$Q$7,$B623&lt;'111'!$L$11),"x","")</f>
        <v/>
      </c>
      <c r="T623" s="85" t="str">
        <f>IF(ISERROR(FIND('112'!$M$9,G623,1)),"",IF((AND(FIND('112'!$M$9,G623,1)&gt;=1,B623='112'!$K$9,OR($N623='112'!$I$6,$O623='112'!$I$6))),"x",""))</f>
        <v/>
      </c>
      <c r="U623" s="85" t="str">
        <f>IF(ISERROR(FIND('112'!$M$9,G623,1)),"",IF((AND(LEFT(G623,2)=LEFT('112'!$M$9,2),B623&lt;'112'!$K$9,$N623='112'!$I$6)),"x",""))</f>
        <v/>
      </c>
      <c r="V623" s="85" t="str">
        <f>IF(ISERROR(FIND('112'!$M$9,G623,1)),"",IF((AND(RIGHT(G623,2)=RIGHT('112'!$M$9,2),B623&lt;'112'!$K$9,$O623='112'!$I$6)),"x",""))</f>
        <v/>
      </c>
      <c r="W623" s="85" t="str">
        <f>IF(AND('341-CT'!$H$9=H623,OR(LEFT(N623,3)=$W$7,LEFT(O623,3)=$W$7)),"x","")</f>
        <v/>
      </c>
      <c r="X623" s="85" t="str">
        <f>IF(OR(TH!N623=TH!$X$7,O623=TH!$X$7),"x","")</f>
        <v/>
      </c>
      <c r="Y623" s="85" t="str">
        <f>IF(AND(OR(N623="131",O623="131"),H623='131-CT'!$H$9),"x","")</f>
        <v/>
      </c>
      <c r="Z623" s="85"/>
      <c r="AA623" s="85" t="str">
        <f>IF(AND(MONTH(E623)='IN-NX'!$J$5,'IN-NX'!$D$7=D623),"x","")</f>
        <v/>
      </c>
      <c r="AB623" s="85" t="str">
        <f>IF(AND(OR(LEFT(TH!N623,2)="15",LEFT(TH!O623,2)="15"),'152-CT'!$J$8=TH!F623),"x","")</f>
        <v/>
      </c>
      <c r="AC623" s="85" t="str">
        <f>IF(AND(OR(LEFT(TH!N623,2)="15",LEFT(TH!O623,2)="15"),TK!$E$7=TH!F623),"x","")</f>
        <v/>
      </c>
      <c r="AD623" s="85" t="str">
        <f>IF(AND(N623="1521",MONTH(C623)='BK-NL'!$M$11),"x","")</f>
        <v/>
      </c>
      <c r="AE623" s="333"/>
    </row>
    <row r="624" spans="1:31" ht="15.75" customHeight="1">
      <c r="A624" s="343" t="str">
        <f>IF(B624&lt;&gt;"",IF(AND(B624='IN-TC'!$S$4,OR(TH!N624="1111",TH!O624="1111")),TH!D624,""),"")</f>
        <v/>
      </c>
      <c r="B624" s="63">
        <f t="shared" si="61"/>
        <v>3</v>
      </c>
      <c r="C624" s="64">
        <v>42453</v>
      </c>
      <c r="D624" s="64" t="s">
        <v>913</v>
      </c>
      <c r="E624" s="64">
        <v>42453</v>
      </c>
      <c r="F624" s="67" t="s">
        <v>1126</v>
      </c>
      <c r="G624" s="996" t="s">
        <v>1366</v>
      </c>
      <c r="H624" s="74" t="s">
        <v>819</v>
      </c>
      <c r="I624" s="447"/>
      <c r="J624" s="447"/>
      <c r="K624" s="438"/>
      <c r="L624" s="447"/>
      <c r="M624" s="65">
        <v>673527</v>
      </c>
      <c r="N624" s="66" t="s">
        <v>101</v>
      </c>
      <c r="O624" s="66" t="s">
        <v>63</v>
      </c>
      <c r="P624" s="85" t="str">
        <f>IF(AND('331-CT'!$E$7=TH!H624,OR(N624="331",O624="331")),"x","")</f>
        <v/>
      </c>
      <c r="Q624" s="85" t="str">
        <f>IF(AND(B624='111'!$L$11,OR($N624=$Q$7,$O624=$Q$7)),"x","")</f>
        <v/>
      </c>
      <c r="R624" s="85" t="str">
        <f>IF(AND($N624=$Q$7,$B624&lt;'111'!$L$11),"x","")</f>
        <v/>
      </c>
      <c r="S624" s="85" t="str">
        <f>IF(AND($O624=$Q$7,$B624&lt;'111'!$L$11),"x","")</f>
        <v/>
      </c>
      <c r="T624" s="85" t="str">
        <f>IF(ISERROR(FIND('112'!$M$9,G624,1)),"",IF((AND(FIND('112'!$M$9,G624,1)&gt;=1,B624='112'!$K$9,OR($N624='112'!$I$6,$O624='112'!$I$6))),"x",""))</f>
        <v/>
      </c>
      <c r="U624" s="85" t="str">
        <f>IF(ISERROR(FIND('112'!$M$9,G624,1)),"",IF((AND(LEFT(G624,2)=LEFT('112'!$M$9,2),B624&lt;'112'!$K$9,$N624='112'!$I$6)),"x",""))</f>
        <v/>
      </c>
      <c r="V624" s="85" t="str">
        <f>IF(ISERROR(FIND('112'!$M$9,G624,1)),"",IF((AND(RIGHT(G624,2)=RIGHT('112'!$M$9,2),B624&lt;'112'!$K$9,$O624='112'!$I$6)),"x",""))</f>
        <v/>
      </c>
      <c r="W624" s="85" t="str">
        <f>IF(AND('341-CT'!$H$9=H624,OR(LEFT(N624,3)=$W$7,LEFT(O624,3)=$W$7)),"x","")</f>
        <v/>
      </c>
      <c r="X624" s="85" t="str">
        <f>IF(OR(TH!N624=TH!$X$7,O624=TH!$X$7),"x","")</f>
        <v/>
      </c>
      <c r="Y624" s="85" t="str">
        <f>IF(AND(OR(N624="131",O624="131"),H624='131-CT'!$H$9),"x","")</f>
        <v/>
      </c>
      <c r="Z624" s="85"/>
      <c r="AA624" s="85" t="str">
        <f>IF(AND(MONTH(E624)='IN-NX'!$J$5,'IN-NX'!$D$7=D624),"x","")</f>
        <v/>
      </c>
      <c r="AB624" s="85" t="str">
        <f>IF(AND(OR(LEFT(TH!N624,2)="15",LEFT(TH!O624,2)="15"),'152-CT'!$J$8=TH!F624),"x","")</f>
        <v/>
      </c>
      <c r="AC624" s="85" t="str">
        <f>IF(AND(OR(LEFT(TH!N624,2)="15",LEFT(TH!O624,2)="15"),TK!$E$7=TH!F624),"x","")</f>
        <v/>
      </c>
      <c r="AD624" s="85" t="str">
        <f>IF(AND(N624="1521",MONTH(C624)='BK-NL'!$M$11),"x","")</f>
        <v/>
      </c>
    </row>
    <row r="625" spans="1:31" ht="15.75" customHeight="1">
      <c r="A625" s="343" t="str">
        <f>IF(B625&lt;&gt;"",IF(AND(B625='IN-TC'!$S$4,OR(TH!N625="1111",TH!O625="1111")),TH!D625,""),"")</f>
        <v/>
      </c>
      <c r="B625" s="63">
        <f t="shared" si="61"/>
        <v>3</v>
      </c>
      <c r="C625" s="64">
        <v>42453</v>
      </c>
      <c r="D625" s="64" t="s">
        <v>913</v>
      </c>
      <c r="E625" s="64">
        <v>42453</v>
      </c>
      <c r="F625" s="67" t="s">
        <v>1363</v>
      </c>
      <c r="G625" s="1000" t="s">
        <v>1366</v>
      </c>
      <c r="H625" s="7" t="s">
        <v>819</v>
      </c>
      <c r="I625" s="447"/>
      <c r="J625" s="447"/>
      <c r="K625" s="438"/>
      <c r="L625" s="447"/>
      <c r="M625" s="65">
        <v>67353</v>
      </c>
      <c r="N625" s="66" t="s">
        <v>9</v>
      </c>
      <c r="O625" s="66" t="s">
        <v>63</v>
      </c>
      <c r="P625" s="85" t="str">
        <f>IF(AND('331-CT'!$E$7=TH!H625,OR(N625="331",O625="331")),"x","")</f>
        <v/>
      </c>
      <c r="Q625" s="85" t="str">
        <f>IF(AND(B625='111'!$L$11,OR($N625=$Q$7,$O625=$Q$7)),"x","")</f>
        <v/>
      </c>
      <c r="R625" s="85" t="str">
        <f>IF(AND($N625=$Q$7,$B625&lt;'111'!$L$11),"x","")</f>
        <v/>
      </c>
      <c r="S625" s="85" t="str">
        <f>IF(AND($O625=$Q$7,$B625&lt;'111'!$L$11),"x","")</f>
        <v/>
      </c>
      <c r="T625" s="85" t="str">
        <f>IF(ISERROR(FIND('112'!$M$9,G625,1)),"",IF((AND(FIND('112'!$M$9,G625,1)&gt;=1,B625='112'!$K$9,OR($N625='112'!$I$6,$O625='112'!$I$6))),"x",""))</f>
        <v/>
      </c>
      <c r="U625" s="85" t="str">
        <f>IF(ISERROR(FIND('112'!$M$9,G625,1)),"",IF((AND(LEFT(G625,2)=LEFT('112'!$M$9,2),B625&lt;'112'!$K$9,$N625='112'!$I$6)),"x",""))</f>
        <v/>
      </c>
      <c r="V625" s="85" t="str">
        <f>IF(ISERROR(FIND('112'!$M$9,G625,1)),"",IF((AND(RIGHT(G625,2)=RIGHT('112'!$M$9,2),B625&lt;'112'!$K$9,$O625='112'!$I$6)),"x",""))</f>
        <v/>
      </c>
      <c r="W625" s="85" t="str">
        <f>IF(AND('341-CT'!$H$9=H625,OR(LEFT(N625,3)=$W$7,LEFT(O625,3)=$W$7)),"x","")</f>
        <v/>
      </c>
      <c r="X625" s="85" t="str">
        <f>IF(OR(TH!N625=TH!$X$7,O625=TH!$X$7),"x","")</f>
        <v/>
      </c>
      <c r="Y625" s="85" t="str">
        <f>IF(AND(OR(N625="131",O625="131"),H625='131-CT'!$H$9),"x","")</f>
        <v/>
      </c>
      <c r="Z625" s="85"/>
      <c r="AA625" s="85" t="str">
        <f>IF(AND(MONTH(E625)='IN-NX'!$J$5,'IN-NX'!$D$7=D625),"x","")</f>
        <v/>
      </c>
      <c r="AB625" s="85" t="str">
        <f>IF(AND(OR(LEFT(TH!N625,2)="15",LEFT(TH!O625,2)="15"),'152-CT'!$J$8=TH!F625),"x","")</f>
        <v/>
      </c>
      <c r="AC625" s="85" t="str">
        <f>IF(AND(OR(LEFT(TH!N625,2)="15",LEFT(TH!O625,2)="15"),TK!$E$7=TH!F625),"x","")</f>
        <v/>
      </c>
      <c r="AD625" s="85" t="str">
        <f>IF(AND(N625="1521",MONTH(C625)='BK-NL'!$M$11),"x","")</f>
        <v/>
      </c>
      <c r="AE625" s="358"/>
    </row>
    <row r="626" spans="1:31" ht="15.75" customHeight="1">
      <c r="A626" s="343" t="str">
        <f>IF(B626&lt;&gt;"",IF(AND(B626='IN-TC'!$S$4,OR(TH!N626="1111",TH!O626="1111")),TH!D626,""),"")</f>
        <v/>
      </c>
      <c r="B626" s="63">
        <f t="shared" si="61"/>
        <v>3</v>
      </c>
      <c r="C626" s="81">
        <v>42454</v>
      </c>
      <c r="D626" s="64" t="s">
        <v>915</v>
      </c>
      <c r="E626" s="81">
        <v>42454</v>
      </c>
      <c r="F626" s="82" t="s">
        <v>781</v>
      </c>
      <c r="G626" s="1027" t="s">
        <v>1367</v>
      </c>
      <c r="H626" s="83" t="s">
        <v>819</v>
      </c>
      <c r="I626" s="445"/>
      <c r="J626" s="445"/>
      <c r="K626" s="436"/>
      <c r="L626" s="445"/>
      <c r="M626" s="84">
        <v>376855</v>
      </c>
      <c r="N626" s="85" t="s">
        <v>101</v>
      </c>
      <c r="O626" s="85" t="s">
        <v>63</v>
      </c>
      <c r="P626" s="85" t="str">
        <f>IF(AND('331-CT'!$E$7=TH!H626,OR(N626="331",O626="331")),"x","")</f>
        <v/>
      </c>
      <c r="Q626" s="85" t="str">
        <f>IF(AND(B626='111'!$L$11,OR($N626=$Q$7,$O626=$Q$7)),"x","")</f>
        <v/>
      </c>
      <c r="R626" s="85" t="str">
        <f>IF(AND($N626=$Q$7,$B626&lt;'111'!$L$11),"x","")</f>
        <v/>
      </c>
      <c r="S626" s="85" t="str">
        <f>IF(AND($O626=$Q$7,$B626&lt;'111'!$L$11),"x","")</f>
        <v/>
      </c>
      <c r="T626" s="85" t="str">
        <f>IF(ISERROR(FIND('112'!$M$9,G626,1)),"",IF((AND(FIND('112'!$M$9,G626,1)&gt;=1,B626='112'!$K$9,OR($N626='112'!$I$6,$O626='112'!$I$6))),"x",""))</f>
        <v/>
      </c>
      <c r="U626" s="85" t="str">
        <f>IF(ISERROR(FIND('112'!$M$9,G626,1)),"",IF((AND(LEFT(G626,2)=LEFT('112'!$M$9,2),B626&lt;'112'!$K$9,$N626='112'!$I$6)),"x",""))</f>
        <v/>
      </c>
      <c r="V626" s="85" t="str">
        <f>IF(ISERROR(FIND('112'!$M$9,G626,1)),"",IF((AND(RIGHT(G626,2)=RIGHT('112'!$M$9,2),B626&lt;'112'!$K$9,$O626='112'!$I$6)),"x",""))</f>
        <v/>
      </c>
      <c r="W626" s="85" t="str">
        <f>IF(AND('341-CT'!$H$9=H626,OR(LEFT(N626,3)=$W$7,LEFT(O626,3)=$W$7)),"x","")</f>
        <v/>
      </c>
      <c r="X626" s="85" t="str">
        <f>IF(OR(TH!N626=TH!$X$7,O626=TH!$X$7),"x","")</f>
        <v/>
      </c>
      <c r="Y626" s="85" t="str">
        <f>IF(AND(OR(N626="131",O626="131"),H626='131-CT'!$H$9),"x","")</f>
        <v/>
      </c>
      <c r="Z626" s="85"/>
      <c r="AA626" s="85" t="str">
        <f>IF(AND(MONTH(E626)='IN-NX'!$J$5,'IN-NX'!$D$7=D626),"x","")</f>
        <v/>
      </c>
      <c r="AB626" s="85" t="str">
        <f>IF(AND(OR(LEFT(TH!N626,2)="15",LEFT(TH!O626,2)="15"),'152-CT'!$J$8=TH!F626),"x","")</f>
        <v/>
      </c>
      <c r="AC626" s="85" t="str">
        <f>IF(AND(OR(LEFT(TH!N626,2)="15",LEFT(TH!O626,2)="15"),TK!$E$7=TH!F626),"x","")</f>
        <v/>
      </c>
      <c r="AD626" s="85" t="str">
        <f>IF(AND(N626="1521",MONTH(C626)='BK-NL'!$M$11),"x","")</f>
        <v/>
      </c>
      <c r="AE626" s="354"/>
    </row>
    <row r="627" spans="1:31" ht="15.75" customHeight="1">
      <c r="A627" s="343" t="str">
        <f>IF(B627&lt;&gt;"",IF(AND(B627='IN-TC'!$S$4,OR(TH!N627="1111",TH!O627="1111")),TH!D627,""),"")</f>
        <v/>
      </c>
      <c r="B627" s="63">
        <f t="shared" si="61"/>
        <v>3</v>
      </c>
      <c r="C627" s="81">
        <v>42454</v>
      </c>
      <c r="D627" s="64" t="s">
        <v>915</v>
      </c>
      <c r="E627" s="81">
        <v>42454</v>
      </c>
      <c r="F627" s="82" t="s">
        <v>782</v>
      </c>
      <c r="G627" s="1027" t="s">
        <v>1367</v>
      </c>
      <c r="H627" s="83" t="s">
        <v>819</v>
      </c>
      <c r="I627" s="445"/>
      <c r="J627" s="445"/>
      <c r="K627" s="436"/>
      <c r="L627" s="445"/>
      <c r="M627" s="84">
        <v>37685</v>
      </c>
      <c r="N627" s="85" t="s">
        <v>9</v>
      </c>
      <c r="O627" s="85" t="s">
        <v>63</v>
      </c>
      <c r="P627" s="85" t="str">
        <f>IF(AND('331-CT'!$E$7=TH!H627,OR(N627="331",O627="331")),"x","")</f>
        <v/>
      </c>
      <c r="Q627" s="85" t="str">
        <f>IF(AND(B627='111'!$L$11,OR($N627=$Q$7,$O627=$Q$7)),"x","")</f>
        <v/>
      </c>
      <c r="R627" s="85" t="str">
        <f>IF(AND($N627=$Q$7,$B627&lt;'111'!$L$11),"x","")</f>
        <v/>
      </c>
      <c r="S627" s="85" t="str">
        <f>IF(AND($O627=$Q$7,$B627&lt;'111'!$L$11),"x","")</f>
        <v/>
      </c>
      <c r="T627" s="85" t="str">
        <f>IF(ISERROR(FIND('112'!$M$9,G627,1)),"",IF((AND(FIND('112'!$M$9,G627,1)&gt;=1,B627='112'!$K$9,OR($N627='112'!$I$6,$O627='112'!$I$6))),"x",""))</f>
        <v/>
      </c>
      <c r="U627" s="85" t="str">
        <f>IF(ISERROR(FIND('112'!$M$9,G627,1)),"",IF((AND(LEFT(G627,2)=LEFT('112'!$M$9,2),B627&lt;'112'!$K$9,$N627='112'!$I$6)),"x",""))</f>
        <v/>
      </c>
      <c r="V627" s="85" t="str">
        <f>IF(ISERROR(FIND('112'!$M$9,G627,1)),"",IF((AND(RIGHT(G627,2)=RIGHT('112'!$M$9,2),B627&lt;'112'!$K$9,$O627='112'!$I$6)),"x",""))</f>
        <v/>
      </c>
      <c r="W627" s="85" t="str">
        <f>IF(AND('341-CT'!$H$9=H627,OR(LEFT(N627,3)=$W$7,LEFT(O627,3)=$W$7)),"x","")</f>
        <v/>
      </c>
      <c r="X627" s="85" t="str">
        <f>IF(OR(TH!N627=TH!$X$7,O627=TH!$X$7),"x","")</f>
        <v/>
      </c>
      <c r="Y627" s="85" t="str">
        <f>IF(AND(OR(N627="131",O627="131"),H627='131-CT'!$H$9),"x","")</f>
        <v/>
      </c>
      <c r="Z627" s="85"/>
      <c r="AA627" s="85" t="str">
        <f>IF(AND(MONTH(E627)='IN-NX'!$J$5,'IN-NX'!$D$7=D627),"x","")</f>
        <v/>
      </c>
      <c r="AB627" s="85" t="str">
        <f>IF(AND(OR(LEFT(TH!N627,2)="15",LEFT(TH!O627,2)="15"),'152-CT'!$J$8=TH!F627),"x","")</f>
        <v/>
      </c>
      <c r="AC627" s="85" t="str">
        <f>IF(AND(OR(LEFT(TH!N627,2)="15",LEFT(TH!O627,2)="15"),TK!$E$7=TH!F627),"x","")</f>
        <v/>
      </c>
      <c r="AD627" s="85" t="str">
        <f>IF(AND(N627="1521",MONTH(C627)='BK-NL'!$M$11),"x","")</f>
        <v/>
      </c>
      <c r="AE627" s="354"/>
    </row>
    <row r="628" spans="1:31" ht="15.75" customHeight="1">
      <c r="A628" s="343" t="str">
        <f>IF(B628&lt;&gt;"",IF(AND(B628='IN-TC'!$S$4,OR(TH!N628="1111",TH!O628="1111")),TH!D628,""),"")</f>
        <v/>
      </c>
      <c r="B628" s="63">
        <f t="shared" si="61"/>
        <v>3</v>
      </c>
      <c r="C628" s="81">
        <v>42454</v>
      </c>
      <c r="D628" s="81" t="s">
        <v>709</v>
      </c>
      <c r="E628" s="81">
        <v>42454</v>
      </c>
      <c r="F628" s="82" t="s">
        <v>1238</v>
      </c>
      <c r="G628" s="1027" t="s">
        <v>930</v>
      </c>
      <c r="H628" s="83"/>
      <c r="I628" s="445"/>
      <c r="J628" s="445"/>
      <c r="K628" s="436"/>
      <c r="L628" s="445"/>
      <c r="M628" s="84">
        <v>50000</v>
      </c>
      <c r="N628" s="85" t="s">
        <v>101</v>
      </c>
      <c r="O628" s="85" t="s">
        <v>26</v>
      </c>
      <c r="P628" s="85" t="str">
        <f>IF(AND('331-CT'!$E$7=TH!H628,OR(N628="331",O628="331")),"x","")</f>
        <v/>
      </c>
      <c r="Q628" s="85" t="str">
        <f>IF(AND(B628='111'!$L$11,OR($N628=$Q$7,$O628=$Q$7)),"x","")</f>
        <v/>
      </c>
      <c r="R628" s="85" t="str">
        <f>IF(AND($N628=$Q$7,$B628&lt;'111'!$L$11),"x","")</f>
        <v/>
      </c>
      <c r="S628" s="85" t="str">
        <f>IF(AND($O628=$Q$7,$B628&lt;'111'!$L$11),"x","")</f>
        <v/>
      </c>
      <c r="T628" s="85" t="str">
        <f>IF(ISERROR(FIND('112'!$M$9,G628,1)),"",IF((AND(FIND('112'!$M$9,G628,1)&gt;=1,B628='112'!$K$9,OR($N628='112'!$I$6,$O628='112'!$I$6))),"x",""))</f>
        <v/>
      </c>
      <c r="U628" s="85" t="str">
        <f>IF(ISERROR(FIND('112'!$M$9,G628,1)),"",IF((AND(LEFT(G628,2)=LEFT('112'!$M$9,2),B628&lt;'112'!$K$9,$N628='112'!$I$6)),"x",""))</f>
        <v/>
      </c>
      <c r="V628" s="85" t="str">
        <f>IF(ISERROR(FIND('112'!$M$9,G628,1)),"",IF((AND(RIGHT(G628,2)=RIGHT('112'!$M$9,2),B628&lt;'112'!$K$9,$O628='112'!$I$6)),"x",""))</f>
        <v/>
      </c>
      <c r="W628" s="85" t="str">
        <f>IF(AND('341-CT'!$H$9=H628,OR(LEFT(N628,3)=$W$7,LEFT(O628,3)=$W$7)),"x","")</f>
        <v/>
      </c>
      <c r="X628" s="85" t="str">
        <f>IF(OR(TH!N628=TH!$X$7,O628=TH!$X$7),"x","")</f>
        <v/>
      </c>
      <c r="Y628" s="85" t="str">
        <f>IF(AND(OR(N628="131",O628="131"),H628='131-CT'!$H$9),"x","")</f>
        <v/>
      </c>
      <c r="Z628" s="85"/>
      <c r="AA628" s="85" t="str">
        <f>IF(AND(MONTH(E628)='IN-NX'!$J$5,'IN-NX'!$D$7=D628),"x","")</f>
        <v/>
      </c>
      <c r="AB628" s="85" t="str">
        <f>IF(AND(OR(LEFT(TH!N628,2)="15",LEFT(TH!O628,2)="15"),'152-CT'!$J$8=TH!F628),"x","")</f>
        <v/>
      </c>
      <c r="AC628" s="85" t="str">
        <f>IF(AND(OR(LEFT(TH!N628,2)="15",LEFT(TH!O628,2)="15"),TK!$E$7=TH!F628),"x","")</f>
        <v/>
      </c>
      <c r="AD628" s="85" t="str">
        <f>IF(AND(N628="1521",MONTH(C628)='BK-NL'!$M$11),"x","")</f>
        <v/>
      </c>
      <c r="AE628" s="354"/>
    </row>
    <row r="629" spans="1:31" ht="15.75" customHeight="1">
      <c r="A629" s="343" t="str">
        <f>IF(B629&lt;&gt;"",IF(AND(B629='IN-TC'!$S$4,OR(TH!N629="1111",TH!O629="1111")),TH!D629,""),"")</f>
        <v/>
      </c>
      <c r="B629" s="63">
        <f t="shared" si="61"/>
        <v>3</v>
      </c>
      <c r="C629" s="81">
        <v>42454</v>
      </c>
      <c r="D629" s="81" t="s">
        <v>709</v>
      </c>
      <c r="E629" s="81">
        <v>42454</v>
      </c>
      <c r="F629" s="82" t="s">
        <v>1220</v>
      </c>
      <c r="G629" s="1027" t="s">
        <v>930</v>
      </c>
      <c r="H629" s="83"/>
      <c r="I629" s="445"/>
      <c r="J629" s="445"/>
      <c r="K629" s="436"/>
      <c r="L629" s="445"/>
      <c r="M629" s="84">
        <v>5000</v>
      </c>
      <c r="N629" s="85" t="s">
        <v>9</v>
      </c>
      <c r="O629" s="85" t="s">
        <v>26</v>
      </c>
      <c r="P629" s="85" t="str">
        <f>IF(AND('331-CT'!$E$7=TH!H629,OR(N629="331",O629="331")),"x","")</f>
        <v/>
      </c>
      <c r="Q629" s="85" t="str">
        <f>IF(AND(B629='111'!$L$11,OR($N629=$Q$7,$O629=$Q$7)),"x","")</f>
        <v/>
      </c>
      <c r="R629" s="85" t="str">
        <f>IF(AND($N629=$Q$7,$B629&lt;'111'!$L$11),"x","")</f>
        <v/>
      </c>
      <c r="S629" s="85" t="str">
        <f>IF(AND($O629=$Q$7,$B629&lt;'111'!$L$11),"x","")</f>
        <v/>
      </c>
      <c r="T629" s="85" t="str">
        <f>IF(ISERROR(FIND('112'!$M$9,G629,1)),"",IF((AND(FIND('112'!$M$9,G629,1)&gt;=1,B629='112'!$K$9,OR($N629='112'!$I$6,$O629='112'!$I$6))),"x",""))</f>
        <v/>
      </c>
      <c r="U629" s="85" t="str">
        <f>IF(ISERROR(FIND('112'!$M$9,G629,1)),"",IF((AND(LEFT(G629,2)=LEFT('112'!$M$9,2),B629&lt;'112'!$K$9,$N629='112'!$I$6)),"x",""))</f>
        <v/>
      </c>
      <c r="V629" s="85" t="str">
        <f>IF(ISERROR(FIND('112'!$M$9,G629,1)),"",IF((AND(RIGHT(G629,2)=RIGHT('112'!$M$9,2),B629&lt;'112'!$K$9,$O629='112'!$I$6)),"x",""))</f>
        <v/>
      </c>
      <c r="W629" s="85" t="str">
        <f>IF(AND('341-CT'!$H$9=H629,OR(LEFT(N629,3)=$W$7,LEFT(O629,3)=$W$7)),"x","")</f>
        <v/>
      </c>
      <c r="X629" s="85" t="str">
        <f>IF(OR(TH!N629=TH!$X$7,O629=TH!$X$7),"x","")</f>
        <v/>
      </c>
      <c r="Y629" s="85" t="str">
        <f>IF(AND(OR(N629="131",O629="131"),H629='131-CT'!$H$9),"x","")</f>
        <v/>
      </c>
      <c r="Z629" s="85"/>
      <c r="AA629" s="85" t="str">
        <f>IF(AND(MONTH(E629)='IN-NX'!$J$5,'IN-NX'!$D$7=D629),"x","")</f>
        <v/>
      </c>
      <c r="AB629" s="85" t="str">
        <f>IF(AND(OR(LEFT(TH!N629,2)="15",LEFT(TH!O629,2)="15"),'152-CT'!$J$8=TH!F629),"x","")</f>
        <v/>
      </c>
      <c r="AC629" s="85" t="str">
        <f>IF(AND(OR(LEFT(TH!N629,2)="15",LEFT(TH!O629,2)="15"),TK!$E$7=TH!F629),"x","")</f>
        <v/>
      </c>
      <c r="AD629" s="85" t="str">
        <f>IF(AND(N629="1521",MONTH(C629)='BK-NL'!$M$11),"x","")</f>
        <v/>
      </c>
      <c r="AE629" s="354"/>
    </row>
    <row r="630" spans="1:31" ht="15.75" customHeight="1">
      <c r="A630" s="343" t="str">
        <f>IF(B630&lt;&gt;"",IF(AND(B630='IN-TC'!$S$4,OR(TH!N630="1111",TH!O630="1111")),TH!D630,""),"")</f>
        <v/>
      </c>
      <c r="B630" s="63">
        <f t="shared" si="61"/>
        <v>3</v>
      </c>
      <c r="C630" s="64">
        <v>42454</v>
      </c>
      <c r="D630" s="320" t="s">
        <v>709</v>
      </c>
      <c r="E630" s="64">
        <v>42454</v>
      </c>
      <c r="F630" s="67" t="s">
        <v>1218</v>
      </c>
      <c r="G630" s="1000" t="s">
        <v>930</v>
      </c>
      <c r="H630" s="74"/>
      <c r="I630" s="447"/>
      <c r="J630" s="447"/>
      <c r="K630" s="438"/>
      <c r="L630" s="447"/>
      <c r="M630" s="65">
        <v>50000</v>
      </c>
      <c r="N630" s="66" t="s">
        <v>101</v>
      </c>
      <c r="O630" s="66" t="s">
        <v>26</v>
      </c>
      <c r="P630" s="85" t="str">
        <f>IF(AND('331-CT'!$E$7=TH!H630,OR(N630="331",O630="331")),"x","")</f>
        <v/>
      </c>
      <c r="Q630" s="85" t="str">
        <f>IF(AND(B630='111'!$L$11,OR($N630=$Q$7,$O630=$Q$7)),"x","")</f>
        <v/>
      </c>
      <c r="R630" s="85" t="str">
        <f>IF(AND($N630=$Q$7,$B630&lt;'111'!$L$11),"x","")</f>
        <v/>
      </c>
      <c r="S630" s="85" t="str">
        <f>IF(AND($O630=$Q$7,$B630&lt;'111'!$L$11),"x","")</f>
        <v/>
      </c>
      <c r="T630" s="85" t="str">
        <f>IF(ISERROR(FIND('112'!$M$9,G630,1)),"",IF((AND(FIND('112'!$M$9,G630,1)&gt;=1,B630='112'!$K$9,OR($N630='112'!$I$6,$O630='112'!$I$6))),"x",""))</f>
        <v/>
      </c>
      <c r="U630" s="85" t="str">
        <f>IF(ISERROR(FIND('112'!$M$9,G630,1)),"",IF((AND(LEFT(G630,2)=LEFT('112'!$M$9,2),B630&lt;'112'!$K$9,$N630='112'!$I$6)),"x",""))</f>
        <v/>
      </c>
      <c r="V630" s="85" t="str">
        <f>IF(ISERROR(FIND('112'!$M$9,G630,1)),"",IF((AND(RIGHT(G630,2)=RIGHT('112'!$M$9,2),B630&lt;'112'!$K$9,$O630='112'!$I$6)),"x",""))</f>
        <v/>
      </c>
      <c r="W630" s="85" t="str">
        <f>IF(AND('341-CT'!$H$9=H630,OR(LEFT(N630,3)=$W$7,LEFT(O630,3)=$W$7)),"x","")</f>
        <v/>
      </c>
      <c r="X630" s="85" t="str">
        <f>IF(OR(TH!N630=TH!$X$7,O630=TH!$X$7),"x","")</f>
        <v/>
      </c>
      <c r="Y630" s="85" t="str">
        <f>IF(AND(OR(N630="131",O630="131"),H630='131-CT'!$H$9),"x","")</f>
        <v/>
      </c>
      <c r="Z630" s="85"/>
      <c r="AA630" s="85" t="str">
        <f>IF(AND(MONTH(E630)='IN-NX'!$J$5,'IN-NX'!$D$7=D630),"x","")</f>
        <v/>
      </c>
      <c r="AB630" s="85" t="str">
        <f>IF(AND(OR(LEFT(TH!N630,2)="15",LEFT(TH!O630,2)="15"),'152-CT'!$J$8=TH!F630),"x","")</f>
        <v/>
      </c>
      <c r="AC630" s="85" t="str">
        <f>IF(AND(OR(LEFT(TH!N630,2)="15",LEFT(TH!O630,2)="15"),TK!$E$7=TH!F630),"x","")</f>
        <v/>
      </c>
      <c r="AD630" s="85" t="str">
        <f>IF(AND(N630="1521",MONTH(C630)='BK-NL'!$M$11),"x","")</f>
        <v/>
      </c>
      <c r="AE630" s="358"/>
    </row>
    <row r="631" spans="1:31" ht="15.75" customHeight="1">
      <c r="A631" s="343" t="str">
        <f>IF(B631&lt;&gt;"",IF(AND(B631='IN-TC'!$S$4,OR(TH!N631="1111",TH!O631="1111")),TH!D631,""),"")</f>
        <v/>
      </c>
      <c r="B631" s="63">
        <f t="shared" si="61"/>
        <v>3</v>
      </c>
      <c r="C631" s="64">
        <v>42454</v>
      </c>
      <c r="D631" s="320" t="s">
        <v>709</v>
      </c>
      <c r="E631" s="64">
        <v>42454</v>
      </c>
      <c r="F631" s="67" t="s">
        <v>1220</v>
      </c>
      <c r="G631" s="1000" t="s">
        <v>930</v>
      </c>
      <c r="H631" s="74"/>
      <c r="I631" s="447"/>
      <c r="J631" s="447"/>
      <c r="K631" s="438"/>
      <c r="L631" s="447"/>
      <c r="M631" s="65">
        <v>5000</v>
      </c>
      <c r="N631" s="66" t="s">
        <v>9</v>
      </c>
      <c r="O631" s="66" t="s">
        <v>26</v>
      </c>
      <c r="P631" s="85" t="str">
        <f>IF(AND('331-CT'!$E$7=TH!H631,OR(N631="331",O631="331")),"x","")</f>
        <v/>
      </c>
      <c r="Q631" s="85" t="str">
        <f>IF(AND(B631='111'!$L$11,OR($N631=$Q$7,$O631=$Q$7)),"x","")</f>
        <v/>
      </c>
      <c r="R631" s="85" t="str">
        <f>IF(AND($N631=$Q$7,$B631&lt;'111'!$L$11),"x","")</f>
        <v/>
      </c>
      <c r="S631" s="85" t="str">
        <f>IF(AND($O631=$Q$7,$B631&lt;'111'!$L$11),"x","")</f>
        <v/>
      </c>
      <c r="T631" s="85" t="str">
        <f>IF(ISERROR(FIND('112'!$M$9,G631,1)),"",IF((AND(FIND('112'!$M$9,G631,1)&gt;=1,B631='112'!$K$9,OR($N631='112'!$I$6,$O631='112'!$I$6))),"x",""))</f>
        <v/>
      </c>
      <c r="U631" s="85" t="str">
        <f>IF(ISERROR(FIND('112'!$M$9,G631,1)),"",IF((AND(LEFT(G631,2)=LEFT('112'!$M$9,2),B631&lt;'112'!$K$9,$N631='112'!$I$6)),"x",""))</f>
        <v/>
      </c>
      <c r="V631" s="85" t="str">
        <f>IF(ISERROR(FIND('112'!$M$9,G631,1)),"",IF((AND(RIGHT(G631,2)=RIGHT('112'!$M$9,2),B631&lt;'112'!$K$9,$O631='112'!$I$6)),"x",""))</f>
        <v/>
      </c>
      <c r="W631" s="85" t="str">
        <f>IF(AND('341-CT'!$H$9=H631,OR(LEFT(N631,3)=$W$7,LEFT(O631,3)=$W$7)),"x","")</f>
        <v/>
      </c>
      <c r="X631" s="85" t="str">
        <f>IF(OR(TH!N631=TH!$X$7,O631=TH!$X$7),"x","")</f>
        <v/>
      </c>
      <c r="Y631" s="85" t="str">
        <f>IF(AND(OR(N631="131",O631="131"),H631='131-CT'!$H$9),"x","")</f>
        <v/>
      </c>
      <c r="Z631" s="85"/>
      <c r="AA631" s="85" t="str">
        <f>IF(AND(MONTH(E631)='IN-NX'!$J$5,'IN-NX'!$D$7=D631),"x","")</f>
        <v/>
      </c>
      <c r="AB631" s="85" t="str">
        <f>IF(AND(OR(LEFT(TH!N631,2)="15",LEFT(TH!O631,2)="15"),'152-CT'!$J$8=TH!F631),"x","")</f>
        <v/>
      </c>
      <c r="AC631" s="85" t="str">
        <f>IF(AND(OR(LEFT(TH!N631,2)="15",LEFT(TH!O631,2)="15"),TK!$E$7=TH!F631),"x","")</f>
        <v/>
      </c>
      <c r="AD631" s="85" t="str">
        <f>IF(AND(N631="1521",MONTH(C631)='BK-NL'!$M$11),"x","")</f>
        <v/>
      </c>
      <c r="AE631" s="358"/>
    </row>
    <row r="632" spans="1:31" ht="15.75" customHeight="1">
      <c r="A632" s="343" t="str">
        <f>IF(B632&lt;&gt;"",IF(AND(B632='IN-TC'!$S$4,OR(TH!N632="1111",TH!O632="1111")),TH!D632,""),"")</f>
        <v/>
      </c>
      <c r="B632" s="63">
        <f t="shared" si="61"/>
        <v>3</v>
      </c>
      <c r="C632" s="64">
        <v>42454</v>
      </c>
      <c r="D632" s="320" t="s">
        <v>709</v>
      </c>
      <c r="E632" s="64">
        <v>42454</v>
      </c>
      <c r="F632" s="67" t="s">
        <v>1219</v>
      </c>
      <c r="G632" s="1000" t="s">
        <v>930</v>
      </c>
      <c r="H632" s="74"/>
      <c r="I632" s="447"/>
      <c r="J632" s="447"/>
      <c r="K632" s="438"/>
      <c r="L632" s="447"/>
      <c r="M632" s="65">
        <v>50000</v>
      </c>
      <c r="N632" s="66" t="s">
        <v>101</v>
      </c>
      <c r="O632" s="66" t="s">
        <v>26</v>
      </c>
      <c r="P632" s="85" t="str">
        <f>IF(AND('331-CT'!$E$7=TH!H632,OR(N632="331",O632="331")),"x","")</f>
        <v/>
      </c>
      <c r="Q632" s="85" t="str">
        <f>IF(AND(B632='111'!$L$11,OR($N632=$Q$7,$O632=$Q$7)),"x","")</f>
        <v/>
      </c>
      <c r="R632" s="85" t="str">
        <f>IF(AND($N632=$Q$7,$B632&lt;'111'!$L$11),"x","")</f>
        <v/>
      </c>
      <c r="S632" s="85" t="str">
        <f>IF(AND($O632=$Q$7,$B632&lt;'111'!$L$11),"x","")</f>
        <v/>
      </c>
      <c r="T632" s="85" t="str">
        <f>IF(ISERROR(FIND('112'!$M$9,G632,1)),"",IF((AND(FIND('112'!$M$9,G632,1)&gt;=1,B632='112'!$K$9,OR($N632='112'!$I$6,$O632='112'!$I$6))),"x",""))</f>
        <v/>
      </c>
      <c r="U632" s="85" t="str">
        <f>IF(ISERROR(FIND('112'!$M$9,G632,1)),"",IF((AND(LEFT(G632,2)=LEFT('112'!$M$9,2),B632&lt;'112'!$K$9,$N632='112'!$I$6)),"x",""))</f>
        <v/>
      </c>
      <c r="V632" s="85" t="str">
        <f>IF(ISERROR(FIND('112'!$M$9,G632,1)),"",IF((AND(RIGHT(G632,2)=RIGHT('112'!$M$9,2),B632&lt;'112'!$K$9,$O632='112'!$I$6)),"x",""))</f>
        <v/>
      </c>
      <c r="W632" s="85" t="str">
        <f>IF(AND('341-CT'!$H$9=H632,OR(LEFT(N632,3)=$W$7,LEFT(O632,3)=$W$7)),"x","")</f>
        <v/>
      </c>
      <c r="X632" s="85" t="str">
        <f>IF(OR(TH!N632=TH!$X$7,O632=TH!$X$7),"x","")</f>
        <v/>
      </c>
      <c r="Y632" s="85" t="str">
        <f>IF(AND(OR(N632="131",O632="131"),H632='131-CT'!$H$9),"x","")</f>
        <v/>
      </c>
      <c r="Z632" s="85"/>
      <c r="AA632" s="85" t="str">
        <f>IF(AND(MONTH(E632)='IN-NX'!$J$5,'IN-NX'!$D$7=D632),"x","")</f>
        <v/>
      </c>
      <c r="AB632" s="85" t="str">
        <f>IF(AND(OR(LEFT(TH!N632,2)="15",LEFT(TH!O632,2)="15"),'152-CT'!$J$8=TH!F632),"x","")</f>
        <v/>
      </c>
      <c r="AC632" s="85" t="str">
        <f>IF(AND(OR(LEFT(TH!N632,2)="15",LEFT(TH!O632,2)="15"),TK!$E$7=TH!F632),"x","")</f>
        <v/>
      </c>
      <c r="AD632" s="85" t="str">
        <f>IF(AND(N632="1521",MONTH(C632)='BK-NL'!$M$11),"x","")</f>
        <v/>
      </c>
      <c r="AE632" s="358"/>
    </row>
    <row r="633" spans="1:31" ht="15.75" customHeight="1">
      <c r="A633" s="343" t="str">
        <f>IF(B633&lt;&gt;"",IF(AND(B633='IN-TC'!$S$4,OR(TH!N633="1111",TH!O633="1111")),TH!D633,""),"")</f>
        <v/>
      </c>
      <c r="B633" s="63">
        <f t="shared" si="61"/>
        <v>3</v>
      </c>
      <c r="C633" s="320">
        <v>42454</v>
      </c>
      <c r="D633" s="320" t="s">
        <v>709</v>
      </c>
      <c r="E633" s="320">
        <v>42454</v>
      </c>
      <c r="F633" s="321" t="s">
        <v>1220</v>
      </c>
      <c r="G633" s="321" t="s">
        <v>930</v>
      </c>
      <c r="H633" s="322"/>
      <c r="I633" s="447"/>
      <c r="J633" s="447"/>
      <c r="K633" s="438"/>
      <c r="L633" s="447"/>
      <c r="M633" s="65">
        <v>5000</v>
      </c>
      <c r="N633" s="323" t="s">
        <v>9</v>
      </c>
      <c r="O633" s="66" t="s">
        <v>26</v>
      </c>
      <c r="P633" s="85" t="str">
        <f>IF(AND('331-CT'!$E$7=TH!H633,OR(N633="331",O633="331")),"x","")</f>
        <v/>
      </c>
      <c r="Q633" s="85" t="str">
        <f>IF(AND(B633='111'!$L$11,OR($N633=$Q$7,$O633=$Q$7)),"x","")</f>
        <v/>
      </c>
      <c r="R633" s="85" t="str">
        <f>IF(AND($N633=$Q$7,$B633&lt;'111'!$L$11),"x","")</f>
        <v/>
      </c>
      <c r="S633" s="85" t="str">
        <f>IF(AND($O633=$Q$7,$B633&lt;'111'!$L$11),"x","")</f>
        <v/>
      </c>
      <c r="T633" s="85" t="str">
        <f>IF(ISERROR(FIND('112'!$M$9,G633,1)),"",IF((AND(FIND('112'!$M$9,G633,1)&gt;=1,B633='112'!$K$9,OR($N633='112'!$I$6,$O633='112'!$I$6))),"x",""))</f>
        <v/>
      </c>
      <c r="U633" s="85" t="str">
        <f>IF(ISERROR(FIND('112'!$M$9,G633,1)),"",IF((AND(LEFT(G633,2)=LEFT('112'!$M$9,2),B633&lt;'112'!$K$9,$N633='112'!$I$6)),"x",""))</f>
        <v/>
      </c>
      <c r="V633" s="85" t="str">
        <f>IF(ISERROR(FIND('112'!$M$9,G633,1)),"",IF((AND(RIGHT(G633,2)=RIGHT('112'!$M$9,2),B633&lt;'112'!$K$9,$O633='112'!$I$6)),"x",""))</f>
        <v/>
      </c>
      <c r="W633" s="85" t="str">
        <f>IF(AND('341-CT'!$H$9=H633,OR(LEFT(N633,3)=$W$7,LEFT(O633,3)=$W$7)),"x","")</f>
        <v/>
      </c>
      <c r="X633" s="85" t="str">
        <f>IF(OR(TH!N633=TH!$X$7,O633=TH!$X$7),"x","")</f>
        <v/>
      </c>
      <c r="Y633" s="85" t="str">
        <f>IF(AND(OR(N633="131",O633="131"),H633='131-CT'!$H$9),"x","")</f>
        <v/>
      </c>
      <c r="Z633" s="85"/>
      <c r="AA633" s="85" t="str">
        <f>IF(AND(MONTH(E633)='IN-NX'!$J$5,'IN-NX'!$D$7=D633),"x","")</f>
        <v/>
      </c>
      <c r="AB633" s="85" t="str">
        <f>IF(AND(OR(LEFT(TH!N633,2)="15",LEFT(TH!O633,2)="15"),'152-CT'!$J$8=TH!F633),"x","")</f>
        <v/>
      </c>
      <c r="AC633" s="85" t="str">
        <f>IF(AND(OR(LEFT(TH!N633,2)="15",LEFT(TH!O633,2)="15"),TK!$E$7=TH!F633),"x","")</f>
        <v/>
      </c>
      <c r="AD633" s="85" t="str">
        <f>IF(AND(N633="1521",MONTH(C633)='BK-NL'!$M$11),"x","")</f>
        <v/>
      </c>
    </row>
    <row r="634" spans="1:31" ht="15.75" customHeight="1">
      <c r="A634" s="343" t="str">
        <f>IF(B634&lt;&gt;"",IF(AND(B634='IN-TC'!$S$4,OR(TH!N634="1111",TH!O634="1111")),TH!D634,""),"")</f>
        <v/>
      </c>
      <c r="B634" s="63">
        <f t="shared" si="61"/>
        <v>3</v>
      </c>
      <c r="C634" s="320">
        <v>42454</v>
      </c>
      <c r="D634" s="320" t="s">
        <v>709</v>
      </c>
      <c r="E634" s="320">
        <v>42454</v>
      </c>
      <c r="F634" s="321" t="s">
        <v>1239</v>
      </c>
      <c r="G634" s="1000" t="s">
        <v>930</v>
      </c>
      <c r="H634" s="322"/>
      <c r="I634" s="447"/>
      <c r="J634" s="447"/>
      <c r="K634" s="438"/>
      <c r="L634" s="447"/>
      <c r="M634" s="65">
        <v>50000</v>
      </c>
      <c r="N634" s="323" t="s">
        <v>101</v>
      </c>
      <c r="O634" s="66" t="s">
        <v>26</v>
      </c>
      <c r="P634" s="85" t="str">
        <f>IF(AND('331-CT'!$E$7=TH!H634,OR(N634="331",O634="331")),"x","")</f>
        <v/>
      </c>
      <c r="Q634" s="85" t="str">
        <f>IF(AND(B634='111'!$L$11,OR($N634=$Q$7,$O634=$Q$7)),"x","")</f>
        <v/>
      </c>
      <c r="R634" s="85" t="str">
        <f>IF(AND($N634=$Q$7,$B634&lt;'111'!$L$11),"x","")</f>
        <v/>
      </c>
      <c r="S634" s="85" t="str">
        <f>IF(AND($O634=$Q$7,$B634&lt;'111'!$L$11),"x","")</f>
        <v/>
      </c>
      <c r="T634" s="85" t="str">
        <f>IF(ISERROR(FIND('112'!$M$9,G634,1)),"",IF((AND(FIND('112'!$M$9,G634,1)&gt;=1,B634='112'!$K$9,OR($N634='112'!$I$6,$O634='112'!$I$6))),"x",""))</f>
        <v/>
      </c>
      <c r="U634" s="85" t="str">
        <f>IF(ISERROR(FIND('112'!$M$9,G634,1)),"",IF((AND(LEFT(G634,2)=LEFT('112'!$M$9,2),B634&lt;'112'!$K$9,$N634='112'!$I$6)),"x",""))</f>
        <v/>
      </c>
      <c r="V634" s="85" t="str">
        <f>IF(ISERROR(FIND('112'!$M$9,G634,1)),"",IF((AND(RIGHT(G634,2)=RIGHT('112'!$M$9,2),B634&lt;'112'!$K$9,$O634='112'!$I$6)),"x",""))</f>
        <v/>
      </c>
      <c r="W634" s="85" t="str">
        <f>IF(AND('341-CT'!$H$9=H634,OR(LEFT(N634,3)=$W$7,LEFT(O634,3)=$W$7)),"x","")</f>
        <v/>
      </c>
      <c r="X634" s="85" t="str">
        <f>IF(OR(TH!N634=TH!$X$7,O634=TH!$X$7),"x","")</f>
        <v/>
      </c>
      <c r="Y634" s="85" t="str">
        <f>IF(AND(OR(N634="131",O634="131"),H634='131-CT'!$H$9),"x","")</f>
        <v/>
      </c>
      <c r="Z634" s="85"/>
      <c r="AA634" s="85" t="str">
        <f>IF(AND(MONTH(E634)='IN-NX'!$J$5,'IN-NX'!$D$7=D634),"x","")</f>
        <v/>
      </c>
      <c r="AB634" s="85" t="str">
        <f>IF(AND(OR(LEFT(TH!N634,2)="15",LEFT(TH!O634,2)="15"),'152-CT'!$J$8=TH!F634),"x","")</f>
        <v/>
      </c>
      <c r="AC634" s="85" t="str">
        <f>IF(AND(OR(LEFT(TH!N634,2)="15",LEFT(TH!O634,2)="15"),TK!$E$7=TH!F634),"x","")</f>
        <v/>
      </c>
      <c r="AD634" s="85" t="str">
        <f>IF(AND(N634="1521",MONTH(C634)='BK-NL'!$M$11),"x","")</f>
        <v/>
      </c>
    </row>
    <row r="635" spans="1:31" ht="15.75" customHeight="1">
      <c r="A635" s="343" t="str">
        <f>IF(B635&lt;&gt;"",IF(AND(B635='IN-TC'!$S$4,OR(TH!N635="1111",TH!O635="1111")),TH!D635,""),"")</f>
        <v/>
      </c>
      <c r="B635" s="63">
        <f t="shared" si="61"/>
        <v>3</v>
      </c>
      <c r="C635" s="320">
        <v>42454</v>
      </c>
      <c r="D635" s="320" t="s">
        <v>709</v>
      </c>
      <c r="E635" s="320">
        <v>42454</v>
      </c>
      <c r="F635" s="321" t="s">
        <v>1220</v>
      </c>
      <c r="G635" s="1000" t="s">
        <v>930</v>
      </c>
      <c r="H635" s="322"/>
      <c r="I635" s="447"/>
      <c r="J635" s="447"/>
      <c r="K635" s="438"/>
      <c r="L635" s="447"/>
      <c r="M635" s="65">
        <v>5000</v>
      </c>
      <c r="N635" s="323" t="s">
        <v>9</v>
      </c>
      <c r="O635" s="66" t="s">
        <v>26</v>
      </c>
      <c r="P635" s="85" t="str">
        <f>IF(AND('331-CT'!$E$7=TH!H635,OR(N635="331",O635="331")),"x","")</f>
        <v/>
      </c>
      <c r="Q635" s="85" t="str">
        <f>IF(AND(B635='111'!$L$11,OR($N635=$Q$7,$O635=$Q$7)),"x","")</f>
        <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IF(AND('341-CT'!$H$9=H635,OR(LEFT(N635,3)=$W$7,LEFT(O635,3)=$W$7)),"x","")</f>
        <v/>
      </c>
      <c r="X635" s="85" t="str">
        <f>IF(OR(TH!N635=TH!$X$7,O635=TH!$X$7),"x","")</f>
        <v/>
      </c>
      <c r="Y635" s="85" t="str">
        <f>IF(AND(OR(N635="131",O635="131"),H635='131-CT'!$H$9),"x","")</f>
        <v/>
      </c>
      <c r="Z635" s="85"/>
      <c r="AA635" s="85" t="str">
        <f>IF(AND(MONTH(E635)='IN-NX'!$J$5,'IN-NX'!$D$7=D635),"x","")</f>
        <v/>
      </c>
      <c r="AB635" s="85" t="str">
        <f>IF(AND(OR(LEFT(TH!N635,2)="15",LEFT(TH!O635,2)="15"),'152-CT'!$J$8=TH!F635),"x","")</f>
        <v/>
      </c>
      <c r="AC635" s="85" t="str">
        <f>IF(AND(OR(LEFT(TH!N635,2)="15",LEFT(TH!O635,2)="15"),TK!$E$7=TH!F635),"x","")</f>
        <v/>
      </c>
      <c r="AD635" s="85" t="str">
        <f>IF(AND(N635="1521",MONTH(C635)='BK-NL'!$M$11),"x","")</f>
        <v/>
      </c>
    </row>
    <row r="636" spans="1:31" ht="15.75" customHeight="1">
      <c r="A636" s="343" t="str">
        <f>IF(B636&lt;&gt;"",IF(AND(B636='IN-TC'!$S$4,OR(TH!N636="1111",TH!O636="1111")),TH!D636,""),"")</f>
        <v/>
      </c>
      <c r="B636" s="63">
        <f t="shared" si="61"/>
        <v>3</v>
      </c>
      <c r="C636" s="64">
        <v>42456</v>
      </c>
      <c r="D636" s="320" t="s">
        <v>916</v>
      </c>
      <c r="E636" s="64">
        <v>42456</v>
      </c>
      <c r="F636" s="67" t="s">
        <v>781</v>
      </c>
      <c r="G636" s="67" t="s">
        <v>1368</v>
      </c>
      <c r="H636" s="7" t="s">
        <v>819</v>
      </c>
      <c r="I636" s="447"/>
      <c r="J636" s="447"/>
      <c r="K636" s="438"/>
      <c r="L636" s="447"/>
      <c r="M636" s="65">
        <v>385827</v>
      </c>
      <c r="N636" s="66" t="s">
        <v>101</v>
      </c>
      <c r="O636" s="66" t="s">
        <v>63</v>
      </c>
      <c r="P636" s="85" t="str">
        <f>IF(AND('331-CT'!$E$7=TH!H636,OR(N636="331",O636="331")),"x","")</f>
        <v/>
      </c>
      <c r="Q636" s="85" t="str">
        <f>IF(AND(B636='111'!$L$11,OR($N636=$Q$7,$O636=$Q$7)),"x","")</f>
        <v/>
      </c>
      <c r="R636" s="85" t="str">
        <f>IF(AND($N636=$Q$7,$B636&lt;'111'!$L$11),"x","")</f>
        <v/>
      </c>
      <c r="S636" s="85" t="str">
        <f>IF(AND($O636=$Q$7,$B636&lt;'111'!$L$11),"x","")</f>
        <v/>
      </c>
      <c r="T636" s="85" t="str">
        <f>IF(ISERROR(FIND('112'!$M$9,G636,1)),"",IF((AND(FIND('112'!$M$9,G636,1)&gt;=1,B636='112'!$K$9,OR($N636='112'!$I$6,$O636='112'!$I$6))),"x",""))</f>
        <v/>
      </c>
      <c r="U636" s="85" t="str">
        <f>IF(ISERROR(FIND('112'!$M$9,G636,1)),"",IF((AND(LEFT(G636,2)=LEFT('112'!$M$9,2),B636&lt;'112'!$K$9,$N636='112'!$I$6)),"x",""))</f>
        <v/>
      </c>
      <c r="V636" s="85" t="str">
        <f>IF(ISERROR(FIND('112'!$M$9,G636,1)),"",IF((AND(RIGHT(G636,2)=RIGHT('112'!$M$9,2),B636&lt;'112'!$K$9,$O636='112'!$I$6)),"x",""))</f>
        <v/>
      </c>
      <c r="W636" s="85" t="str">
        <f>IF(AND('341-CT'!$H$9=H636,OR(LEFT(N636,3)=$W$7,LEFT(O636,3)=$W$7)),"x","")</f>
        <v/>
      </c>
      <c r="X636" s="85" t="str">
        <f>IF(OR(TH!N636=TH!$X$7,O636=TH!$X$7),"x","")</f>
        <v/>
      </c>
      <c r="Y636" s="85" t="str">
        <f>IF(AND(OR(N636="131",O636="131"),H636='131-CT'!$H$9),"x","")</f>
        <v/>
      </c>
      <c r="Z636" s="85"/>
      <c r="AA636" s="85" t="str">
        <f>IF(AND(MONTH(E636)='IN-NX'!$J$5,'IN-NX'!$D$7=D636),"x","")</f>
        <v/>
      </c>
      <c r="AB636" s="85" t="str">
        <f>IF(AND(OR(LEFT(TH!N636,2)="15",LEFT(TH!O636,2)="15"),'152-CT'!$J$8=TH!F636),"x","")</f>
        <v/>
      </c>
      <c r="AC636" s="85" t="str">
        <f>IF(AND(OR(LEFT(TH!N636,2)="15",LEFT(TH!O636,2)="15"),TK!$E$7=TH!F636),"x","")</f>
        <v/>
      </c>
      <c r="AD636" s="85" t="str">
        <f>IF(AND(N636="1521",MONTH(C636)='BK-NL'!$M$11),"x","")</f>
        <v/>
      </c>
    </row>
    <row r="637" spans="1:31" ht="15.75" customHeight="1">
      <c r="A637" s="343" t="str">
        <f>IF(B637&lt;&gt;"",IF(AND(B637='IN-TC'!$S$4,OR(TH!N637="1111",TH!O637="1111")),TH!D637,""),"")</f>
        <v/>
      </c>
      <c r="B637" s="63">
        <f t="shared" si="61"/>
        <v>3</v>
      </c>
      <c r="C637" s="64">
        <v>42456</v>
      </c>
      <c r="D637" s="320" t="s">
        <v>916</v>
      </c>
      <c r="E637" s="64">
        <v>42456</v>
      </c>
      <c r="F637" s="67" t="s">
        <v>782</v>
      </c>
      <c r="G637" s="67" t="s">
        <v>1368</v>
      </c>
      <c r="H637" s="74" t="s">
        <v>819</v>
      </c>
      <c r="I637" s="447"/>
      <c r="J637" s="447"/>
      <c r="K637" s="438"/>
      <c r="L637" s="447"/>
      <c r="M637" s="65">
        <v>38583</v>
      </c>
      <c r="N637" s="66" t="s">
        <v>9</v>
      </c>
      <c r="O637" s="66" t="s">
        <v>63</v>
      </c>
      <c r="P637" s="85" t="str">
        <f>IF(AND('331-CT'!$E$7=TH!H637,OR(N637="331",O637="331")),"x","")</f>
        <v/>
      </c>
      <c r="Q637" s="85" t="str">
        <f>IF(AND(B637='111'!$L$11,OR($N637=$Q$7,$O637=$Q$7)),"x","")</f>
        <v/>
      </c>
      <c r="R637" s="85" t="str">
        <f>IF(AND($N637=$Q$7,$B637&lt;'111'!$L$11),"x","")</f>
        <v/>
      </c>
      <c r="S637" s="85" t="str">
        <f>IF(AND($O637=$Q$7,$B637&lt;'111'!$L$11),"x","")</f>
        <v/>
      </c>
      <c r="T637" s="85" t="str">
        <f>IF(ISERROR(FIND('112'!$M$9,G637,1)),"",IF((AND(FIND('112'!$M$9,G637,1)&gt;=1,B637='112'!$K$9,OR($N637='112'!$I$6,$O637='112'!$I$6))),"x",""))</f>
        <v/>
      </c>
      <c r="U637" s="85" t="str">
        <f>IF(ISERROR(FIND('112'!$M$9,G637,1)),"",IF((AND(LEFT(G637,2)=LEFT('112'!$M$9,2),B637&lt;'112'!$K$9,$N637='112'!$I$6)),"x",""))</f>
        <v/>
      </c>
      <c r="V637" s="85" t="str">
        <f>IF(ISERROR(FIND('112'!$M$9,G637,1)),"",IF((AND(RIGHT(G637,2)=RIGHT('112'!$M$9,2),B637&lt;'112'!$K$9,$O637='112'!$I$6)),"x",""))</f>
        <v/>
      </c>
      <c r="W637" s="85" t="str">
        <f>IF(AND('341-CT'!$H$9=H637,OR(LEFT(N637,3)=$W$7,LEFT(O637,3)=$W$7)),"x","")</f>
        <v/>
      </c>
      <c r="X637" s="85" t="str">
        <f>IF(OR(TH!N637=TH!$X$7,O637=TH!$X$7),"x","")</f>
        <v/>
      </c>
      <c r="Y637" s="85" t="str">
        <f>IF(AND(OR(N637="131",O637="131"),H637='131-CT'!$H$9),"x","")</f>
        <v/>
      </c>
      <c r="Z637" s="85"/>
      <c r="AA637" s="85" t="str">
        <f>IF(AND(MONTH(E637)='IN-NX'!$J$5,'IN-NX'!$D$7=D637),"x","")</f>
        <v/>
      </c>
      <c r="AB637" s="85" t="str">
        <f>IF(AND(OR(LEFT(TH!N637,2)="15",LEFT(TH!O637,2)="15"),'152-CT'!$J$8=TH!F637),"x","")</f>
        <v/>
      </c>
      <c r="AC637" s="85" t="str">
        <f>IF(AND(OR(LEFT(TH!N637,2)="15",LEFT(TH!O637,2)="15"),TK!$E$7=TH!F637),"x","")</f>
        <v/>
      </c>
      <c r="AD637" s="85" t="str">
        <f>IF(AND(N637="1521",MONTH(C637)='BK-NL'!$M$11),"x","")</f>
        <v/>
      </c>
    </row>
    <row r="638" spans="1:31" ht="15.75" customHeight="1">
      <c r="A638" s="343" t="str">
        <f>IF(B638&lt;&gt;"",IF(AND(B638='IN-TC'!$S$4,OR(TH!N638="1111",TH!O638="1111")),TH!D638,""),"")</f>
        <v/>
      </c>
      <c r="B638" s="63">
        <f t="shared" si="61"/>
        <v>3</v>
      </c>
      <c r="C638" s="64">
        <v>42457</v>
      </c>
      <c r="D638" s="320" t="s">
        <v>918</v>
      </c>
      <c r="E638" s="64">
        <v>42457</v>
      </c>
      <c r="F638" s="67" t="s">
        <v>1339</v>
      </c>
      <c r="G638" s="67" t="s">
        <v>1341</v>
      </c>
      <c r="H638" s="74" t="s">
        <v>850</v>
      </c>
      <c r="I638" s="447"/>
      <c r="J638" s="447"/>
      <c r="K638" s="438"/>
      <c r="L638" s="447"/>
      <c r="M638" s="65">
        <v>15000000</v>
      </c>
      <c r="N638" s="66" t="s">
        <v>101</v>
      </c>
      <c r="O638" s="66" t="s">
        <v>63</v>
      </c>
      <c r="P638" s="85" t="str">
        <f>IF(AND('331-CT'!$E$7=TH!H638,OR(N638="331",O638="331")),"x","")</f>
        <v/>
      </c>
      <c r="Q638" s="85" t="str">
        <f>IF(AND(B638='111'!$L$11,OR($N638=$Q$7,$O638=$Q$7)),"x","")</f>
        <v/>
      </c>
      <c r="R638" s="85" t="str">
        <f>IF(AND($N638=$Q$7,$B638&lt;'111'!$L$11),"x","")</f>
        <v/>
      </c>
      <c r="S638" s="85" t="str">
        <f>IF(AND($O638=$Q$7,$B638&lt;'111'!$L$11),"x","")</f>
        <v/>
      </c>
      <c r="T638" s="85" t="str">
        <f>IF(ISERROR(FIND('112'!$M$9,G638,1)),"",IF((AND(FIND('112'!$M$9,G638,1)&gt;=1,B638='112'!$K$9,OR($N638='112'!$I$6,$O638='112'!$I$6))),"x",""))</f>
        <v/>
      </c>
      <c r="U638" s="85" t="str">
        <f>IF(ISERROR(FIND('112'!$M$9,G638,1)),"",IF((AND(LEFT(G638,2)=LEFT('112'!$M$9,2),B638&lt;'112'!$K$9,$N638='112'!$I$6)),"x",""))</f>
        <v/>
      </c>
      <c r="V638" s="85" t="str">
        <f>IF(ISERROR(FIND('112'!$M$9,G638,1)),"",IF((AND(RIGHT(G638,2)=RIGHT('112'!$M$9,2),B638&lt;'112'!$K$9,$O638='112'!$I$6)),"x",""))</f>
        <v/>
      </c>
      <c r="W638" s="85" t="str">
        <f>IF(AND('341-CT'!$H$9=H638,OR(LEFT(N638,3)=$W$7,LEFT(O638,3)=$W$7)),"x","")</f>
        <v/>
      </c>
      <c r="X638" s="85" t="str">
        <f>IF(OR(TH!N638=TH!$X$7,O638=TH!$X$7),"x","")</f>
        <v/>
      </c>
      <c r="Y638" s="85" t="str">
        <f>IF(AND(OR(N638="131",O638="131"),H638='131-CT'!$H$9),"x","")</f>
        <v/>
      </c>
      <c r="Z638" s="85"/>
      <c r="AA638" s="85" t="str">
        <f>IF(AND(MONTH(E638)='IN-NX'!$J$5,'IN-NX'!$D$7=D638),"x","")</f>
        <v/>
      </c>
      <c r="AB638" s="85" t="str">
        <f>IF(AND(OR(LEFT(TH!N638,2)="15",LEFT(TH!O638,2)="15"),'152-CT'!$J$8=TH!F638),"x","")</f>
        <v/>
      </c>
      <c r="AC638" s="85" t="str">
        <f>IF(AND(OR(LEFT(TH!N638,2)="15",LEFT(TH!O638,2)="15"),TK!$E$7=TH!F638),"x","")</f>
        <v/>
      </c>
      <c r="AD638" s="85" t="str">
        <f>IF(AND(N638="1521",MONTH(C638)='BK-NL'!$M$11),"x","")</f>
        <v/>
      </c>
    </row>
    <row r="639" spans="1:31" ht="15.75" customHeight="1">
      <c r="A639" s="343" t="str">
        <f>IF(B639&lt;&gt;"",IF(AND(B639='IN-TC'!$S$4,OR(TH!N639="1111",TH!O639="1111")),TH!D639,""),"")</f>
        <v/>
      </c>
      <c r="B639" s="63">
        <f t="shared" si="61"/>
        <v>3</v>
      </c>
      <c r="C639" s="64">
        <v>42457</v>
      </c>
      <c r="D639" s="320" t="s">
        <v>918</v>
      </c>
      <c r="E639" s="64">
        <v>42457</v>
      </c>
      <c r="F639" s="67" t="s">
        <v>1340</v>
      </c>
      <c r="G639" s="67" t="s">
        <v>1341</v>
      </c>
      <c r="H639" s="351" t="s">
        <v>850</v>
      </c>
      <c r="I639" s="449"/>
      <c r="J639" s="449"/>
      <c r="K639" s="440"/>
      <c r="L639" s="449"/>
      <c r="M639" s="65">
        <v>1500000</v>
      </c>
      <c r="N639" s="66" t="s">
        <v>9</v>
      </c>
      <c r="O639" s="66" t="s">
        <v>63</v>
      </c>
      <c r="P639" s="85" t="str">
        <f>IF(AND('331-CT'!$E$7=TH!H639,OR(N639="331",O639="331")),"x","")</f>
        <v/>
      </c>
      <c r="Q639" s="85" t="str">
        <f>IF(AND(B639='111'!$L$11,OR($N639=$Q$7,$O639=$Q$7)),"x","")</f>
        <v/>
      </c>
      <c r="R639" s="85" t="str">
        <f>IF(AND($N639=$Q$7,$B639&lt;'111'!$L$11),"x","")</f>
        <v/>
      </c>
      <c r="S639" s="85" t="str">
        <f>IF(AND($O639=$Q$7,$B639&lt;'111'!$L$11),"x","")</f>
        <v/>
      </c>
      <c r="T639" s="85" t="str">
        <f>IF(ISERROR(FIND('112'!$M$9,G639,1)),"",IF((AND(FIND('112'!$M$9,G639,1)&gt;=1,B639='112'!$K$9,OR($N639='112'!$I$6,$O639='112'!$I$6))),"x",""))</f>
        <v/>
      </c>
      <c r="U639" s="85" t="str">
        <f>IF(ISERROR(FIND('112'!$M$9,G639,1)),"",IF((AND(LEFT(G639,2)=LEFT('112'!$M$9,2),B639&lt;'112'!$K$9,$N639='112'!$I$6)),"x",""))</f>
        <v/>
      </c>
      <c r="V639" s="85" t="str">
        <f>IF(ISERROR(FIND('112'!$M$9,G639,1)),"",IF((AND(RIGHT(G639,2)=RIGHT('112'!$M$9,2),B639&lt;'112'!$K$9,$O639='112'!$I$6)),"x",""))</f>
        <v/>
      </c>
      <c r="W639" s="85" t="str">
        <f>IF(AND('341-CT'!$H$9=H639,OR(LEFT(N639,3)=$W$7,LEFT(O639,3)=$W$7)),"x","")</f>
        <v/>
      </c>
      <c r="X639" s="85" t="str">
        <f>IF(OR(TH!N639=TH!$X$7,O639=TH!$X$7),"x","")</f>
        <v/>
      </c>
      <c r="Y639" s="85" t="str">
        <f>IF(AND(OR(N639="131",O639="131"),H639='131-CT'!$H$9),"x","")</f>
        <v/>
      </c>
      <c r="Z639" s="85"/>
      <c r="AA639" s="85" t="str">
        <f>IF(AND(MONTH(E639)='IN-NX'!$J$5,'IN-NX'!$D$7=D639),"x","")</f>
        <v/>
      </c>
      <c r="AB639" s="85" t="str">
        <f>IF(AND(OR(LEFT(TH!N639,2)="15",LEFT(TH!O639,2)="15"),'152-CT'!$J$8=TH!F639),"x","")</f>
        <v/>
      </c>
      <c r="AC639" s="85" t="str">
        <f>IF(AND(OR(LEFT(TH!N639,2)="15",LEFT(TH!O639,2)="15"),TK!$E$7=TH!F639),"x","")</f>
        <v/>
      </c>
      <c r="AD639" s="85" t="str">
        <f>IF(AND(N639="1521",MONTH(C639)='BK-NL'!$M$11),"x","")</f>
        <v/>
      </c>
    </row>
    <row r="640" spans="1:31" ht="15.75" customHeight="1">
      <c r="A640" s="343" t="str">
        <f>IF(B640&lt;&gt;"",IF(AND(B640='IN-TC'!$S$4,OR(TH!N640="1111",TH!O640="1111")),TH!D640,""),"")</f>
        <v/>
      </c>
      <c r="B640" s="63">
        <f t="shared" si="61"/>
        <v>3</v>
      </c>
      <c r="C640" s="64">
        <v>42457</v>
      </c>
      <c r="D640" s="320" t="s">
        <v>919</v>
      </c>
      <c r="E640" s="64">
        <v>42457</v>
      </c>
      <c r="F640" s="67" t="s">
        <v>790</v>
      </c>
      <c r="G640" s="67" t="s">
        <v>1369</v>
      </c>
      <c r="H640" s="74" t="s">
        <v>679</v>
      </c>
      <c r="I640" s="447"/>
      <c r="J640" s="447"/>
      <c r="K640" s="438"/>
      <c r="L640" s="447"/>
      <c r="M640" s="65">
        <v>14800000</v>
      </c>
      <c r="N640" s="66" t="s">
        <v>8</v>
      </c>
      <c r="O640" s="66" t="s">
        <v>63</v>
      </c>
      <c r="P640" s="85" t="str">
        <f>IF(AND('331-CT'!$E$7=TH!H640,OR(N640="331",O640="331")),"x","")</f>
        <v/>
      </c>
      <c r="Q640" s="85" t="str">
        <f>IF(AND(B640='111'!$L$11,OR($N640=$Q$7,$O640=$Q$7)),"x","")</f>
        <v/>
      </c>
      <c r="R640" s="85" t="str">
        <f>IF(AND($N640=$Q$7,$B640&lt;'111'!$L$11),"x","")</f>
        <v/>
      </c>
      <c r="S640" s="85" t="str">
        <f>IF(AND($O640=$Q$7,$B640&lt;'111'!$L$11),"x","")</f>
        <v/>
      </c>
      <c r="T640" s="85" t="str">
        <f>IF(ISERROR(FIND('112'!$M$9,G640,1)),"",IF((AND(FIND('112'!$M$9,G640,1)&gt;=1,B640='112'!$K$9,OR($N640='112'!$I$6,$O640='112'!$I$6))),"x",""))</f>
        <v/>
      </c>
      <c r="U640" s="85" t="str">
        <f>IF(ISERROR(FIND('112'!$M$9,G640,1)),"",IF((AND(LEFT(G640,2)=LEFT('112'!$M$9,2),B640&lt;'112'!$K$9,$N640='112'!$I$6)),"x",""))</f>
        <v/>
      </c>
      <c r="V640" s="85" t="str">
        <f>IF(ISERROR(FIND('112'!$M$9,G640,1)),"",IF((AND(RIGHT(G640,2)=RIGHT('112'!$M$9,2),B640&lt;'112'!$K$9,$O640='112'!$I$6)),"x",""))</f>
        <v/>
      </c>
      <c r="W640" s="85" t="str">
        <f>IF(AND('341-CT'!$H$9=H640,OR(LEFT(N640,3)=$W$7,LEFT(O640,3)=$W$7)),"x","")</f>
        <v/>
      </c>
      <c r="X640" s="85" t="str">
        <f>IF(OR(TH!N640=TH!$X$7,O640=TH!$X$7),"x","")</f>
        <v/>
      </c>
      <c r="Y640" s="85" t="str">
        <f>IF(AND(OR(N640="131",O640="131"),H640='131-CT'!$H$9),"x","")</f>
        <v/>
      </c>
      <c r="Z640" s="85"/>
      <c r="AA640" s="85" t="str">
        <f>IF(AND(MONTH(E640)='IN-NX'!$J$5,'IN-NX'!$D$7=D640),"x","")</f>
        <v/>
      </c>
      <c r="AB640" s="85" t="str">
        <f>IF(AND(OR(LEFT(TH!N640,2)="15",LEFT(TH!O640,2)="15"),'152-CT'!$J$8=TH!F640),"x","")</f>
        <v/>
      </c>
      <c r="AC640" s="85" t="str">
        <f>IF(AND(OR(LEFT(TH!N640,2)="15",LEFT(TH!O640,2)="15"),TK!$E$7=TH!F640),"x","")</f>
        <v/>
      </c>
      <c r="AD640" s="85" t="str">
        <f>IF(AND(N640="1521",MONTH(C640)='BK-NL'!$M$11),"x","")</f>
        <v/>
      </c>
    </row>
    <row r="641" spans="1:30" ht="15.75" customHeight="1">
      <c r="A641" s="343" t="str">
        <f>IF(B641&lt;&gt;"",IF(AND(B641='IN-TC'!$S$4,OR(TH!N641="1111",TH!O641="1111")),TH!D641,""),"")</f>
        <v/>
      </c>
      <c r="B641" s="63">
        <f t="shared" si="61"/>
        <v>3</v>
      </c>
      <c r="C641" s="64">
        <v>42458</v>
      </c>
      <c r="D641" s="320" t="s">
        <v>922</v>
      </c>
      <c r="E641" s="64">
        <v>42458</v>
      </c>
      <c r="F641" s="67" t="s">
        <v>1126</v>
      </c>
      <c r="G641" s="67" t="s">
        <v>1370</v>
      </c>
      <c r="H641" s="74" t="s">
        <v>819</v>
      </c>
      <c r="I641" s="447"/>
      <c r="J641" s="447"/>
      <c r="K641" s="438"/>
      <c r="L641" s="447"/>
      <c r="M641" s="65">
        <v>714764</v>
      </c>
      <c r="N641" s="66" t="s">
        <v>101</v>
      </c>
      <c r="O641" s="66" t="s">
        <v>63</v>
      </c>
      <c r="P641" s="85" t="str">
        <f>IF(AND('331-CT'!$E$7=TH!H641,OR(N641="331",O641="331")),"x","")</f>
        <v/>
      </c>
      <c r="Q641" s="85" t="str">
        <f>IF(AND(B641='111'!$L$11,OR($N641=$Q$7,$O641=$Q$7)),"x","")</f>
        <v/>
      </c>
      <c r="R641" s="85" t="str">
        <f>IF(AND($N641=$Q$7,$B641&lt;'111'!$L$11),"x","")</f>
        <v/>
      </c>
      <c r="S641" s="85" t="str">
        <f>IF(AND($O641=$Q$7,$B641&lt;'111'!$L$11),"x","")</f>
        <v/>
      </c>
      <c r="T641" s="85" t="str">
        <f>IF(ISERROR(FIND('112'!$M$9,G641,1)),"",IF((AND(FIND('112'!$M$9,G641,1)&gt;=1,B641='112'!$K$9,OR($N641='112'!$I$6,$O641='112'!$I$6))),"x",""))</f>
        <v/>
      </c>
      <c r="U641" s="85" t="str">
        <f>IF(ISERROR(FIND('112'!$M$9,G641,1)),"",IF((AND(LEFT(G641,2)=LEFT('112'!$M$9,2),B641&lt;'112'!$K$9,$N641='112'!$I$6)),"x",""))</f>
        <v/>
      </c>
      <c r="V641" s="85" t="str">
        <f>IF(ISERROR(FIND('112'!$M$9,G641,1)),"",IF((AND(RIGHT(G641,2)=RIGHT('112'!$M$9,2),B641&lt;'112'!$K$9,$O641='112'!$I$6)),"x",""))</f>
        <v/>
      </c>
      <c r="W641" s="85" t="str">
        <f>IF(AND('341-CT'!$H$9=H641,OR(LEFT(N641,3)=$W$7,LEFT(O641,3)=$W$7)),"x","")</f>
        <v/>
      </c>
      <c r="X641" s="85" t="str">
        <f>IF(OR(TH!N641=TH!$X$7,O641=TH!$X$7),"x","")</f>
        <v/>
      </c>
      <c r="Y641" s="85" t="str">
        <f>IF(AND(OR(N641="131",O641="131"),H641='131-CT'!$H$9),"x","")</f>
        <v/>
      </c>
      <c r="Z641" s="85"/>
      <c r="AA641" s="85" t="str">
        <f>IF(AND(MONTH(E641)='IN-NX'!$J$5,'IN-NX'!$D$7=D641),"x","")</f>
        <v/>
      </c>
      <c r="AB641" s="85" t="str">
        <f>IF(AND(OR(LEFT(TH!N641,2)="15",LEFT(TH!O641,2)="15"),'152-CT'!$J$8=TH!F641),"x","")</f>
        <v/>
      </c>
      <c r="AC641" s="85" t="str">
        <f>IF(AND(OR(LEFT(TH!N641,2)="15",LEFT(TH!O641,2)="15"),TK!$E$7=TH!F641),"x","")</f>
        <v/>
      </c>
      <c r="AD641" s="85" t="str">
        <f>IF(AND(N641="1521",MONTH(C641)='BK-NL'!$M$11),"x","")</f>
        <v/>
      </c>
    </row>
    <row r="642" spans="1:30" ht="15.75" customHeight="1">
      <c r="A642" s="343" t="str">
        <f>IF(B642&lt;&gt;"",IF(AND(B642='IN-TC'!$S$4,OR(TH!N642="1111",TH!O642="1111")),TH!D642,""),"")</f>
        <v/>
      </c>
      <c r="B642" s="63">
        <f t="shared" si="61"/>
        <v>3</v>
      </c>
      <c r="C642" s="64">
        <v>42458</v>
      </c>
      <c r="D642" s="320" t="s">
        <v>922</v>
      </c>
      <c r="E642" s="64">
        <v>42458</v>
      </c>
      <c r="F642" s="67" t="s">
        <v>1363</v>
      </c>
      <c r="G642" s="67" t="s">
        <v>1370</v>
      </c>
      <c r="H642" s="74" t="s">
        <v>819</v>
      </c>
      <c r="I642" s="447"/>
      <c r="J642" s="447"/>
      <c r="K642" s="438"/>
      <c r="L642" s="447"/>
      <c r="M642" s="65">
        <v>71476</v>
      </c>
      <c r="N642" s="66" t="s">
        <v>9</v>
      </c>
      <c r="O642" s="66" t="s">
        <v>63</v>
      </c>
      <c r="P642" s="85" t="str">
        <f>IF(AND('331-CT'!$E$7=TH!H642,OR(N642="331",O642="331")),"x","")</f>
        <v/>
      </c>
      <c r="Q642" s="85" t="str">
        <f>IF(AND(B642='111'!$L$11,OR($N642=$Q$7,$O642=$Q$7)),"x","")</f>
        <v/>
      </c>
      <c r="R642" s="85" t="str">
        <f>IF(AND($N642=$Q$7,$B642&lt;'111'!$L$11),"x","")</f>
        <v/>
      </c>
      <c r="S642" s="85" t="str">
        <f>IF(AND($O642=$Q$7,$B642&lt;'111'!$L$11),"x","")</f>
        <v/>
      </c>
      <c r="T642" s="85" t="str">
        <f>IF(ISERROR(FIND('112'!$M$9,G642,1)),"",IF((AND(FIND('112'!$M$9,G642,1)&gt;=1,B642='112'!$K$9,OR($N642='112'!$I$6,$O642='112'!$I$6))),"x",""))</f>
        <v/>
      </c>
      <c r="U642" s="85" t="str">
        <f>IF(ISERROR(FIND('112'!$M$9,G642,1)),"",IF((AND(LEFT(G642,2)=LEFT('112'!$M$9,2),B642&lt;'112'!$K$9,$N642='112'!$I$6)),"x",""))</f>
        <v/>
      </c>
      <c r="V642" s="85" t="str">
        <f>IF(ISERROR(FIND('112'!$M$9,G642,1)),"",IF((AND(RIGHT(G642,2)=RIGHT('112'!$M$9,2),B642&lt;'112'!$K$9,$O642='112'!$I$6)),"x",""))</f>
        <v/>
      </c>
      <c r="W642" s="85" t="str">
        <f>IF(AND('341-CT'!$H$9=H642,OR(LEFT(N642,3)=$W$7,LEFT(O642,3)=$W$7)),"x","")</f>
        <v/>
      </c>
      <c r="X642" s="85" t="str">
        <f>IF(OR(TH!N642=TH!$X$7,O642=TH!$X$7),"x","")</f>
        <v/>
      </c>
      <c r="Y642" s="85" t="str">
        <f>IF(AND(OR(N642="131",O642="131"),H642='131-CT'!$H$9),"x","")</f>
        <v/>
      </c>
      <c r="Z642" s="85"/>
      <c r="AA642" s="85" t="str">
        <f>IF(AND(MONTH(E642)='IN-NX'!$J$5,'IN-NX'!$D$7=D642),"x","")</f>
        <v/>
      </c>
      <c r="AB642" s="85" t="str">
        <f>IF(AND(OR(LEFT(TH!N642,2)="15",LEFT(TH!O642,2)="15"),'152-CT'!$J$8=TH!F642),"x","")</f>
        <v/>
      </c>
      <c r="AC642" s="85" t="str">
        <f>IF(AND(OR(LEFT(TH!N642,2)="15",LEFT(TH!O642,2)="15"),TK!$E$7=TH!F642),"x","")</f>
        <v/>
      </c>
      <c r="AD642" s="85" t="str">
        <f>IF(AND(N642="1521",MONTH(C642)='BK-NL'!$M$11),"x","")</f>
        <v/>
      </c>
    </row>
    <row r="643" spans="1:30" ht="15.75" customHeight="1">
      <c r="A643" s="343" t="str">
        <f>IF(B643&lt;&gt;"",IF(AND(B643='IN-TC'!$S$4,OR(TH!N643="1111",TH!O643="1111")),TH!D643,""),"")</f>
        <v/>
      </c>
      <c r="B643" s="63">
        <f t="shared" si="61"/>
        <v>3</v>
      </c>
      <c r="C643" s="64">
        <v>42458</v>
      </c>
      <c r="D643" s="64" t="s">
        <v>706</v>
      </c>
      <c r="E643" s="64">
        <v>42458</v>
      </c>
      <c r="F643" s="67" t="s">
        <v>1213</v>
      </c>
      <c r="G643" s="67" t="s">
        <v>929</v>
      </c>
      <c r="H643" s="74" t="s">
        <v>602</v>
      </c>
      <c r="I643" s="447"/>
      <c r="J643" s="447"/>
      <c r="K643" s="438">
        <v>4930.13</v>
      </c>
      <c r="L643" s="447">
        <v>22295</v>
      </c>
      <c r="M643" s="65">
        <v>109917248</v>
      </c>
      <c r="N643" s="66" t="s">
        <v>267</v>
      </c>
      <c r="O643" s="66" t="s">
        <v>591</v>
      </c>
      <c r="P643" s="85" t="str">
        <f>IF(AND('331-CT'!$E$7=TH!H643,OR(N643="331",O643="331")),"x","")</f>
        <v/>
      </c>
      <c r="Q643" s="85" t="str">
        <f>IF(AND(B643='111'!$L$11,OR($N643=$Q$7,$O643=$Q$7)),"x","")</f>
        <v/>
      </c>
      <c r="R643" s="85" t="str">
        <f>IF(AND($N643=$Q$7,$B643&lt;'111'!$L$11),"x","")</f>
        <v/>
      </c>
      <c r="S643" s="85" t="str">
        <f>IF(AND($O643=$Q$7,$B643&lt;'111'!$L$11),"x","")</f>
        <v/>
      </c>
      <c r="T643" s="85" t="str">
        <f>IF(ISERROR(FIND('112'!$M$9,G643,1)),"",IF((AND(FIND('112'!$M$9,G643,1)&gt;=1,B643='112'!$K$9,OR($N643='112'!$I$6,$O643='112'!$I$6))),"x",""))</f>
        <v/>
      </c>
      <c r="U643" s="85" t="str">
        <f>IF(ISERROR(FIND('112'!$M$9,G643,1)),"",IF((AND(LEFT(G643,2)=LEFT('112'!$M$9,2),B643&lt;'112'!$K$9,$N643='112'!$I$6)),"x",""))</f>
        <v/>
      </c>
      <c r="V643" s="85" t="str">
        <f>IF(ISERROR(FIND('112'!$M$9,G643,1)),"",IF((AND(RIGHT(G643,2)=RIGHT('112'!$M$9,2),B643&lt;'112'!$K$9,$O643='112'!$I$6)),"x",""))</f>
        <v/>
      </c>
      <c r="W643" s="85" t="str">
        <f>IF(AND('341-CT'!$H$9=H643,OR(LEFT(N643,3)=$W$7,LEFT(O643,3)=$W$7)),"x","")</f>
        <v/>
      </c>
      <c r="X643" s="85" t="str">
        <f>IF(OR(TH!N643=TH!$X$7,O643=TH!$X$7),"x","")</f>
        <v/>
      </c>
      <c r="Y643" s="85" t="str">
        <f>IF(AND(OR(N643="131",O643="131"),H643='131-CT'!$H$9),"x","")</f>
        <v>x</v>
      </c>
      <c r="Z643" s="85"/>
      <c r="AA643" s="85" t="str">
        <f>IF(AND(MONTH(E643)='IN-NX'!$J$5,'IN-NX'!$D$7=D643),"x","")</f>
        <v/>
      </c>
      <c r="AB643" s="85" t="str">
        <f>IF(AND(OR(LEFT(TH!N643,2)="15",LEFT(TH!O643,2)="15"),'152-CT'!$J$8=TH!F643),"x","")</f>
        <v/>
      </c>
      <c r="AC643" s="85" t="str">
        <f>IF(AND(OR(LEFT(TH!N643,2)="15",LEFT(TH!O643,2)="15"),TK!$E$7=TH!F643),"x","")</f>
        <v/>
      </c>
      <c r="AD643" s="85" t="str">
        <f>IF(AND(N643="1521",MONTH(C643)='BK-NL'!$M$11),"x","")</f>
        <v/>
      </c>
    </row>
    <row r="644" spans="1:30" s="354" customFormat="1" ht="15.75" customHeight="1">
      <c r="A644" s="343" t="str">
        <f>IF(B644&lt;&gt;"",IF(AND(B644='IN-TC'!$S$4,OR(TH!N644="1111",TH!O644="1111")),TH!D644,""),"")</f>
        <v/>
      </c>
      <c r="B644" s="1026">
        <f t="shared" si="61"/>
        <v>3</v>
      </c>
      <c r="C644" s="81">
        <v>42458</v>
      </c>
      <c r="D644" s="81" t="s">
        <v>585</v>
      </c>
      <c r="E644" s="81">
        <v>42458</v>
      </c>
      <c r="F644" s="82" t="s">
        <v>1083</v>
      </c>
      <c r="G644" s="82" t="s">
        <v>929</v>
      </c>
      <c r="H644" s="83"/>
      <c r="I644" s="445"/>
      <c r="J644" s="445"/>
      <c r="K644" s="436"/>
      <c r="L644" s="445">
        <v>22295</v>
      </c>
      <c r="M644" s="84">
        <v>0</v>
      </c>
      <c r="N644" s="85" t="s">
        <v>101</v>
      </c>
      <c r="O644" s="85" t="s">
        <v>591</v>
      </c>
      <c r="P644" s="85" t="str">
        <f>IF(AND('331-CT'!$E$7=TH!H644,OR(N644="331",O644="331")),"x","")</f>
        <v/>
      </c>
      <c r="Q644" s="85" t="str">
        <f>IF(AND(B644='111'!$L$11,OR($N644=$Q$7,$O644=$Q$7)),"x","")</f>
        <v/>
      </c>
      <c r="R644" s="85" t="str">
        <f>IF(AND($N644=$Q$7,$B644&lt;'111'!$L$11),"x","")</f>
        <v/>
      </c>
      <c r="S644" s="85" t="str">
        <f>IF(AND($O644=$Q$7,$B644&lt;'111'!$L$11),"x","")</f>
        <v/>
      </c>
      <c r="T644" s="85" t="str">
        <f>IF(ISERROR(FIND('112'!$M$9,G644,1)),"",IF((AND(FIND('112'!$M$9,G644,1)&gt;=1,B644='112'!$K$9,OR($N644='112'!$I$6,$O644='112'!$I$6))),"x",""))</f>
        <v/>
      </c>
      <c r="U644" s="85" t="str">
        <f>IF(ISERROR(FIND('112'!$M$9,G644,1)),"",IF((AND(LEFT(G644,2)=LEFT('112'!$M$9,2),B644&lt;'112'!$K$9,$N644='112'!$I$6)),"x",""))</f>
        <v/>
      </c>
      <c r="V644" s="85" t="str">
        <f>IF(ISERROR(FIND('112'!$M$9,G644,1)),"",IF((AND(RIGHT(G644,2)=RIGHT('112'!$M$9,2),B644&lt;'112'!$K$9,$O644='112'!$I$6)),"x",""))</f>
        <v/>
      </c>
      <c r="W644" s="85" t="str">
        <f>IF(AND('341-CT'!$H$9=H644,OR(LEFT(N644,3)=$W$7,LEFT(O644,3)=$W$7)),"x","")</f>
        <v/>
      </c>
      <c r="X644" s="85" t="str">
        <f>IF(OR(TH!N644=TH!$X$7,O644=TH!$X$7),"x","")</f>
        <v/>
      </c>
      <c r="Y644" s="85" t="str">
        <f>IF(AND(OR(N644="131",O644="131"),H644='131-CT'!$H$9),"x","")</f>
        <v/>
      </c>
      <c r="Z644" s="85"/>
      <c r="AA644" s="85" t="str">
        <f>IF(AND(MONTH(E644)='IN-NX'!$J$5,'IN-NX'!$D$7=D644),"x","")</f>
        <v/>
      </c>
      <c r="AB644" s="85" t="str">
        <f>IF(AND(OR(LEFT(TH!N644,2)="15",LEFT(TH!O644,2)="15"),'152-CT'!$J$8=TH!F644),"x","")</f>
        <v/>
      </c>
      <c r="AC644" s="85" t="str">
        <f>IF(AND(OR(LEFT(TH!N644,2)="15",LEFT(TH!O644,2)="15"),TK!$E$7=TH!F644),"x","")</f>
        <v/>
      </c>
      <c r="AD644" s="85" t="str">
        <f>IF(AND(N644="1521",MONTH(C644)='BK-NL'!$M$11),"x","")</f>
        <v/>
      </c>
    </row>
    <row r="645" spans="1:30" s="354" customFormat="1" ht="15.75" customHeight="1">
      <c r="A645" s="343" t="str">
        <f>IF(B645&lt;&gt;"",IF(AND(B645='IN-TC'!$S$4,OR(TH!N645="1111",TH!O645="1111")),TH!D645,""),"")</f>
        <v/>
      </c>
      <c r="B645" s="1026">
        <f t="shared" si="61"/>
        <v>3</v>
      </c>
      <c r="C645" s="81">
        <v>42458</v>
      </c>
      <c r="D645" s="81" t="s">
        <v>585</v>
      </c>
      <c r="E645" s="81">
        <v>42458</v>
      </c>
      <c r="F645" s="82" t="s">
        <v>1084</v>
      </c>
      <c r="G645" s="999" t="s">
        <v>929</v>
      </c>
      <c r="H645" s="83"/>
      <c r="I645" s="445"/>
      <c r="J645" s="445"/>
      <c r="K645" s="436"/>
      <c r="L645" s="445">
        <v>22295</v>
      </c>
      <c r="M645" s="84">
        <v>0</v>
      </c>
      <c r="N645" s="85" t="s">
        <v>9</v>
      </c>
      <c r="O645" s="85" t="s">
        <v>591</v>
      </c>
      <c r="P645" s="85" t="str">
        <f>IF(AND('331-CT'!$E$7=TH!H645,OR(N645="331",O645="331")),"x","")</f>
        <v/>
      </c>
      <c r="Q645" s="85" t="str">
        <f>IF(AND(B645='111'!$L$11,OR($N645=$Q$7,$O645=$Q$7)),"x","")</f>
        <v/>
      </c>
      <c r="R645" s="85" t="str">
        <f>IF(AND($N645=$Q$7,$B645&lt;'111'!$L$11),"x","")</f>
        <v/>
      </c>
      <c r="S645" s="85" t="str">
        <f>IF(AND($O645=$Q$7,$B645&lt;'111'!$L$11),"x","")</f>
        <v/>
      </c>
      <c r="T645" s="85" t="str">
        <f>IF(ISERROR(FIND('112'!$M$9,G645,1)),"",IF((AND(FIND('112'!$M$9,G645,1)&gt;=1,B645='112'!$K$9,OR($N645='112'!$I$6,$O645='112'!$I$6))),"x",""))</f>
        <v/>
      </c>
      <c r="U645" s="85" t="str">
        <f>IF(ISERROR(FIND('112'!$M$9,G645,1)),"",IF((AND(LEFT(G645,2)=LEFT('112'!$M$9,2),B645&lt;'112'!$K$9,$N645='112'!$I$6)),"x",""))</f>
        <v/>
      </c>
      <c r="V645" s="85" t="str">
        <f>IF(ISERROR(FIND('112'!$M$9,G645,1)),"",IF((AND(RIGHT(G645,2)=RIGHT('112'!$M$9,2),B645&lt;'112'!$K$9,$O645='112'!$I$6)),"x",""))</f>
        <v/>
      </c>
      <c r="W645" s="85" t="str">
        <f>IF(AND('341-CT'!$H$9=H645,OR(LEFT(N645,3)=$W$7,LEFT(O645,3)=$W$7)),"x","")</f>
        <v/>
      </c>
      <c r="X645" s="85" t="str">
        <f>IF(OR(TH!N645=TH!$X$7,O645=TH!$X$7),"x","")</f>
        <v/>
      </c>
      <c r="Y645" s="85" t="str">
        <f>IF(AND(OR(N645="131",O645="131"),H645='131-CT'!$H$9),"x","")</f>
        <v/>
      </c>
      <c r="Z645" s="85"/>
      <c r="AA645" s="85" t="str">
        <f>IF(AND(MONTH(E645)='IN-NX'!$J$5,'IN-NX'!$D$7=D645),"x","")</f>
        <v/>
      </c>
      <c r="AB645" s="85" t="str">
        <f>IF(AND(OR(LEFT(TH!N645,2)="15",LEFT(TH!O645,2)="15"),'152-CT'!$J$8=TH!F645),"x","")</f>
        <v/>
      </c>
      <c r="AC645" s="85" t="str">
        <f>IF(AND(OR(LEFT(TH!N645,2)="15",LEFT(TH!O645,2)="15"),TK!$E$7=TH!F645),"x","")</f>
        <v/>
      </c>
      <c r="AD645" s="85" t="str">
        <f>IF(AND(N645="1521",MONTH(C645)='BK-NL'!$M$11),"x","")</f>
        <v/>
      </c>
    </row>
    <row r="646" spans="1:30" s="354" customFormat="1" ht="15.75" customHeight="1">
      <c r="A646" s="343" t="str">
        <f>IF(B646&lt;&gt;"",IF(AND(B646='IN-TC'!$S$4,OR(TH!N646="1111",TH!O646="1111")),TH!D646,""),"")</f>
        <v/>
      </c>
      <c r="B646" s="1026">
        <f t="shared" si="61"/>
        <v>3</v>
      </c>
      <c r="C646" s="81">
        <v>42458</v>
      </c>
      <c r="D646" s="81" t="s">
        <v>585</v>
      </c>
      <c r="E646" s="81">
        <v>42458</v>
      </c>
      <c r="F646" s="82" t="s">
        <v>1086</v>
      </c>
      <c r="G646" s="999" t="s">
        <v>929</v>
      </c>
      <c r="H646" s="83"/>
      <c r="I646" s="445"/>
      <c r="J646" s="445"/>
      <c r="K646" s="436"/>
      <c r="L646" s="445">
        <v>22295</v>
      </c>
      <c r="M646" s="84">
        <v>0</v>
      </c>
      <c r="N646" s="85" t="s">
        <v>101</v>
      </c>
      <c r="O646" s="85" t="s">
        <v>591</v>
      </c>
      <c r="P646" s="85" t="str">
        <f>IF(AND('331-CT'!$E$7=TH!H646,OR(N646="331",O646="331")),"x","")</f>
        <v/>
      </c>
      <c r="Q646" s="85" t="str">
        <f>IF(AND(B646='111'!$L$11,OR($N646=$Q$7,$O646=$Q$7)),"x","")</f>
        <v/>
      </c>
      <c r="R646" s="85" t="str">
        <f>IF(AND($N646=$Q$7,$B646&lt;'111'!$L$11),"x","")</f>
        <v/>
      </c>
      <c r="S646" s="85" t="str">
        <f>IF(AND($O646=$Q$7,$B646&lt;'111'!$L$11),"x","")</f>
        <v/>
      </c>
      <c r="T646" s="85" t="str">
        <f>IF(ISERROR(FIND('112'!$M$9,G646,1)),"",IF((AND(FIND('112'!$M$9,G646,1)&gt;=1,B646='112'!$K$9,OR($N646='112'!$I$6,$O646='112'!$I$6))),"x",""))</f>
        <v/>
      </c>
      <c r="U646" s="85" t="str">
        <f>IF(ISERROR(FIND('112'!$M$9,G646,1)),"",IF((AND(LEFT(G646,2)=LEFT('112'!$M$9,2),B646&lt;'112'!$K$9,$N646='112'!$I$6)),"x",""))</f>
        <v/>
      </c>
      <c r="V646" s="85" t="str">
        <f>IF(ISERROR(FIND('112'!$M$9,G646,1)),"",IF((AND(RIGHT(G646,2)=RIGHT('112'!$M$9,2),B646&lt;'112'!$K$9,$O646='112'!$I$6)),"x",""))</f>
        <v/>
      </c>
      <c r="W646" s="85" t="str">
        <f>IF(AND('341-CT'!$H$9=H646,OR(LEFT(N646,3)=$W$7,LEFT(O646,3)=$W$7)),"x","")</f>
        <v/>
      </c>
      <c r="X646" s="85" t="str">
        <f>IF(OR(TH!N646=TH!$X$7,O646=TH!$X$7),"x","")</f>
        <v/>
      </c>
      <c r="Y646" s="85" t="str">
        <f>IF(AND(OR(N646="131",O646="131"),H646='131-CT'!$H$9),"x","")</f>
        <v/>
      </c>
      <c r="Z646" s="85"/>
      <c r="AA646" s="85" t="str">
        <f>IF(AND(MONTH(E646)='IN-NX'!$J$5,'IN-NX'!$D$7=D646),"x","")</f>
        <v/>
      </c>
      <c r="AB646" s="85" t="str">
        <f>IF(AND(OR(LEFT(TH!N646,2)="15",LEFT(TH!O646,2)="15"),'152-CT'!$J$8=TH!F646),"x","")</f>
        <v/>
      </c>
      <c r="AC646" s="85" t="str">
        <f>IF(AND(OR(LEFT(TH!N646,2)="15",LEFT(TH!O646,2)="15"),TK!$E$7=TH!F646),"x","")</f>
        <v/>
      </c>
      <c r="AD646" s="85" t="str">
        <f>IF(AND(N646="1521",MONTH(C646)='BK-NL'!$M$11),"x","")</f>
        <v/>
      </c>
    </row>
    <row r="647" spans="1:30" s="354" customFormat="1" ht="15.75" customHeight="1">
      <c r="A647" s="343" t="str">
        <f>IF(B647&lt;&gt;"",IF(AND(B647='IN-TC'!$S$4,OR(TH!N647="1111",TH!O647="1111")),TH!D647,""),"")</f>
        <v/>
      </c>
      <c r="B647" s="1026">
        <f t="shared" si="61"/>
        <v>3</v>
      </c>
      <c r="C647" s="81">
        <v>42458</v>
      </c>
      <c r="D647" s="81" t="s">
        <v>585</v>
      </c>
      <c r="E647" s="81">
        <v>42458</v>
      </c>
      <c r="F647" s="82" t="s">
        <v>1080</v>
      </c>
      <c r="G647" s="999"/>
      <c r="H647" s="83"/>
      <c r="I647" s="445"/>
      <c r="J647" s="445"/>
      <c r="K647" s="436"/>
      <c r="L647" s="445"/>
      <c r="M647" s="84"/>
      <c r="N647" s="1151" t="s">
        <v>99</v>
      </c>
      <c r="O647" s="85" t="s">
        <v>591</v>
      </c>
      <c r="P647" s="85" t="str">
        <f>IF(AND('331-CT'!$E$7=TH!H647,OR(N647="331",O647="331")),"x","")</f>
        <v/>
      </c>
      <c r="Q647" s="85" t="str">
        <f>IF(AND(B647='111'!$L$11,OR($N647=$Q$7,$O647=$Q$7)),"x","")</f>
        <v/>
      </c>
      <c r="R647" s="85" t="str">
        <f>IF(AND($N647=$Q$7,$B647&lt;'111'!$L$11),"x","")</f>
        <v/>
      </c>
      <c r="S647" s="85" t="str">
        <f>IF(AND($O647=$Q$7,$B647&lt;'111'!$L$11),"x","")</f>
        <v/>
      </c>
      <c r="T647" s="85" t="str">
        <f>IF(ISERROR(FIND('112'!$M$9,G647,1)),"",IF((AND(FIND('112'!$M$9,G647,1)&gt;=1,B647='112'!$K$9,OR($N647='112'!$I$6,$O647='112'!$I$6))),"x",""))</f>
        <v/>
      </c>
      <c r="U647" s="85" t="str">
        <f>IF(ISERROR(FIND('112'!$M$9,G647,1)),"",IF((AND(LEFT(G647,2)=LEFT('112'!$M$9,2),B647&lt;'112'!$K$9,$N647='112'!$I$6)),"x",""))</f>
        <v/>
      </c>
      <c r="V647" s="85" t="str">
        <f>IF(ISERROR(FIND('112'!$M$9,G647,1)),"",IF((AND(RIGHT(G647,2)=RIGHT('112'!$M$9,2),B647&lt;'112'!$K$9,$O647='112'!$I$6)),"x",""))</f>
        <v/>
      </c>
      <c r="W647" s="85" t="str">
        <f>IF(AND('341-CT'!$H$9=H647,OR(LEFT(N647,3)=$W$7,LEFT(O647,3)=$W$7)),"x","")</f>
        <v/>
      </c>
      <c r="X647" s="85" t="str">
        <f>IF(OR(TH!N647=TH!$X$7,O647=TH!$X$7),"x","")</f>
        <v/>
      </c>
      <c r="Y647" s="85" t="str">
        <f>IF(AND(OR(N647="131",O647="131"),H647='131-CT'!$H$9),"x","")</f>
        <v/>
      </c>
      <c r="Z647" s="85"/>
      <c r="AA647" s="85" t="str">
        <f>IF(AND(MONTH(E647)='IN-NX'!$J$5,'IN-NX'!$D$7=D647),"x","")</f>
        <v/>
      </c>
      <c r="AB647" s="85" t="str">
        <f>IF(AND(OR(LEFT(TH!N647,2)="15",LEFT(TH!O647,2)="15"),'152-CT'!$J$8=TH!F647),"x","")</f>
        <v/>
      </c>
      <c r="AC647" s="85" t="str">
        <f>IF(AND(OR(LEFT(TH!N647,2)="15",LEFT(TH!O647,2)="15"),TK!$E$7=TH!F647),"x","")</f>
        <v/>
      </c>
      <c r="AD647" s="85" t="str">
        <f>IF(AND(N647="1521",MONTH(C647)='BK-NL'!$M$11),"x","")</f>
        <v/>
      </c>
    </row>
    <row r="648" spans="1:30" ht="15.75" customHeight="1">
      <c r="A648" s="343" t="str">
        <f>IF(B648&lt;&gt;"",IF(AND(B648='IN-TC'!$S$4,OR(TH!N648="1111",TH!O648="1111")),TH!D648,""),"")</f>
        <v/>
      </c>
      <c r="B648" s="63">
        <f t="shared" si="61"/>
        <v>3</v>
      </c>
      <c r="C648" s="64">
        <v>42458</v>
      </c>
      <c r="D648" s="64" t="s">
        <v>709</v>
      </c>
      <c r="E648" s="64">
        <v>42458</v>
      </c>
      <c r="F648" s="67" t="s">
        <v>1078</v>
      </c>
      <c r="G648" s="996" t="s">
        <v>929</v>
      </c>
      <c r="H648" s="74"/>
      <c r="I648" s="447"/>
      <c r="J648" s="447"/>
      <c r="K648" s="438">
        <v>136.25</v>
      </c>
      <c r="L648" s="447">
        <v>22295</v>
      </c>
      <c r="M648" s="65">
        <v>3037694</v>
      </c>
      <c r="N648" s="323" t="s">
        <v>99</v>
      </c>
      <c r="O648" s="66" t="s">
        <v>267</v>
      </c>
      <c r="P648" s="85" t="str">
        <f>IF(AND('331-CT'!$E$7=TH!H648,OR(N648="331",O648="331")),"x","")</f>
        <v/>
      </c>
      <c r="Q648" s="85" t="str">
        <f>IF(AND(B648='111'!$L$11,OR($N648=$Q$7,$O648=$Q$7)),"x","")</f>
        <v/>
      </c>
      <c r="R648" s="85" t="str">
        <f>IF(AND($N648=$Q$7,$B648&lt;'111'!$L$11),"x","")</f>
        <v/>
      </c>
      <c r="S648" s="85" t="str">
        <f>IF(AND($O648=$Q$7,$B648&lt;'111'!$L$11),"x","")</f>
        <v/>
      </c>
      <c r="T648" s="85" t="str">
        <f>IF(ISERROR(FIND('112'!$M$9,G648,1)),"",IF((AND(FIND('112'!$M$9,G648,1)&gt;=1,B648='112'!$K$9,OR($N648='112'!$I$6,$O648='112'!$I$6))),"x",""))</f>
        <v/>
      </c>
      <c r="U648" s="85" t="str">
        <f>IF(ISERROR(FIND('112'!$M$9,G648,1)),"",IF((AND(LEFT(G648,2)=LEFT('112'!$M$9,2),B648&lt;'112'!$K$9,$N648='112'!$I$6)),"x",""))</f>
        <v/>
      </c>
      <c r="V648" s="85" t="str">
        <f>IF(ISERROR(FIND('112'!$M$9,G648,1)),"",IF((AND(RIGHT(G648,2)=RIGHT('112'!$M$9,2),B648&lt;'112'!$K$9,$O648='112'!$I$6)),"x",""))</f>
        <v/>
      </c>
      <c r="W648" s="85" t="str">
        <f>IF(AND('341-CT'!$H$9=H648,OR(LEFT(N648,3)=$W$7,LEFT(O648,3)=$W$7)),"x","")</f>
        <v/>
      </c>
      <c r="X648" s="85" t="str">
        <f>IF(OR(TH!N648=TH!$X$7,O648=TH!$X$7),"x","")</f>
        <v/>
      </c>
      <c r="Y648" s="85" t="str">
        <f>IF(AND(OR(N648="131",O648="131"),H648='131-CT'!$H$9),"x","")</f>
        <v/>
      </c>
      <c r="Z648" s="85"/>
      <c r="AA648" s="85" t="str">
        <f>IF(AND(MONTH(E648)='IN-NX'!$J$5,'IN-NX'!$D$7=D648),"x","")</f>
        <v/>
      </c>
      <c r="AB648" s="85" t="str">
        <f>IF(AND(OR(LEFT(TH!N648,2)="15",LEFT(TH!O648,2)="15"),'152-CT'!$J$8=TH!F648),"x","")</f>
        <v/>
      </c>
      <c r="AC648" s="85" t="str">
        <f>IF(AND(OR(LEFT(TH!N648,2)="15",LEFT(TH!O648,2)="15"),TK!$E$7=TH!F648),"x","")</f>
        <v/>
      </c>
      <c r="AD648" s="85" t="str">
        <f>IF(AND(N648="1521",MONTH(C648)='BK-NL'!$M$11),"x","")</f>
        <v/>
      </c>
    </row>
    <row r="649" spans="1:30" ht="15.75" customHeight="1">
      <c r="A649" s="343" t="str">
        <f>IF(B649&lt;&gt;"",IF(AND(B649='IN-TC'!$S$4,OR(TH!N649="1111",TH!O649="1111")),TH!D649,""),"")</f>
        <v/>
      </c>
      <c r="B649" s="63">
        <f t="shared" si="61"/>
        <v>3</v>
      </c>
      <c r="C649" s="64">
        <v>42458</v>
      </c>
      <c r="D649" s="64" t="s">
        <v>709</v>
      </c>
      <c r="E649" s="64">
        <v>42458</v>
      </c>
      <c r="F649" s="67" t="s">
        <v>619</v>
      </c>
      <c r="G649" s="996" t="s">
        <v>929</v>
      </c>
      <c r="H649" s="74"/>
      <c r="I649" s="447"/>
      <c r="J649" s="447"/>
      <c r="K649" s="438">
        <v>5</v>
      </c>
      <c r="L649" s="447">
        <v>22295</v>
      </c>
      <c r="M649" s="65">
        <v>111475</v>
      </c>
      <c r="N649" s="66" t="s">
        <v>101</v>
      </c>
      <c r="O649" s="66" t="s">
        <v>267</v>
      </c>
      <c r="P649" s="85" t="str">
        <f>IF(AND('331-CT'!$E$7=TH!H649,OR(N649="331",O649="331")),"x","")</f>
        <v/>
      </c>
      <c r="Q649" s="85" t="str">
        <f>IF(AND(B649='111'!$L$11,OR($N649=$Q$7,$O649=$Q$7)),"x","")</f>
        <v/>
      </c>
      <c r="R649" s="85" t="str">
        <f>IF(AND($N649=$Q$7,$B649&lt;'111'!$L$11),"x","")</f>
        <v/>
      </c>
      <c r="S649" s="85" t="str">
        <f>IF(AND($O649=$Q$7,$B649&lt;'111'!$L$11),"x","")</f>
        <v/>
      </c>
      <c r="T649" s="85" t="str">
        <f>IF(ISERROR(FIND('112'!$M$9,G649,1)),"",IF((AND(FIND('112'!$M$9,G649,1)&gt;=1,B649='112'!$K$9,OR($N649='112'!$I$6,$O649='112'!$I$6))),"x",""))</f>
        <v/>
      </c>
      <c r="U649" s="85" t="str">
        <f>IF(ISERROR(FIND('112'!$M$9,G649,1)),"",IF((AND(LEFT(G649,2)=LEFT('112'!$M$9,2),B649&lt;'112'!$K$9,$N649='112'!$I$6)),"x",""))</f>
        <v/>
      </c>
      <c r="V649" s="85" t="str">
        <f>IF(ISERROR(FIND('112'!$M$9,G649,1)),"",IF((AND(RIGHT(G649,2)=RIGHT('112'!$M$9,2),B649&lt;'112'!$K$9,$O649='112'!$I$6)),"x",""))</f>
        <v/>
      </c>
      <c r="W649" s="85" t="str">
        <f>IF(AND('341-CT'!$H$9=H649,OR(LEFT(N649,3)=$W$7,LEFT(O649,3)=$W$7)),"x","")</f>
        <v/>
      </c>
      <c r="X649" s="85" t="str">
        <f>IF(OR(TH!N649=TH!$X$7,O649=TH!$X$7),"x","")</f>
        <v/>
      </c>
      <c r="Y649" s="85" t="str">
        <f>IF(AND(OR(N649="131",O649="131"),H649='131-CT'!$H$9),"x","")</f>
        <v/>
      </c>
      <c r="Z649" s="85"/>
      <c r="AA649" s="85" t="str">
        <f>IF(AND(MONTH(E649)='IN-NX'!$J$5,'IN-NX'!$D$7=D649),"x","")</f>
        <v/>
      </c>
      <c r="AB649" s="85" t="str">
        <f>IF(AND(OR(LEFT(TH!N649,2)="15",LEFT(TH!O649,2)="15"),'152-CT'!$J$8=TH!F649),"x","")</f>
        <v/>
      </c>
      <c r="AC649" s="85" t="str">
        <f>IF(AND(OR(LEFT(TH!N649,2)="15",LEFT(TH!O649,2)="15"),TK!$E$7=TH!F649),"x","")</f>
        <v/>
      </c>
      <c r="AD649" s="85" t="str">
        <f>IF(AND(N649="1521",MONTH(C649)='BK-NL'!$M$11),"x","")</f>
        <v/>
      </c>
    </row>
    <row r="650" spans="1:30" ht="15.75" customHeight="1">
      <c r="A650" s="343" t="str">
        <f>IF(B650&lt;&gt;"",IF(AND(B650='IN-TC'!$S$4,OR(TH!N650="1111",TH!O650="1111")),TH!D650,""),"")</f>
        <v/>
      </c>
      <c r="B650" s="63">
        <f t="shared" si="61"/>
        <v>3</v>
      </c>
      <c r="C650" s="64">
        <v>42458</v>
      </c>
      <c r="D650" s="64" t="s">
        <v>709</v>
      </c>
      <c r="E650" s="64">
        <v>42458</v>
      </c>
      <c r="F650" s="67" t="s">
        <v>1214</v>
      </c>
      <c r="G650" s="996" t="s">
        <v>929</v>
      </c>
      <c r="H650" s="74"/>
      <c r="I650" s="447"/>
      <c r="J650" s="447"/>
      <c r="K650" s="438">
        <v>0.5</v>
      </c>
      <c r="L650" s="447">
        <v>22295</v>
      </c>
      <c r="M650" s="65">
        <v>11148</v>
      </c>
      <c r="N650" s="66" t="s">
        <v>9</v>
      </c>
      <c r="O650" s="66" t="s">
        <v>267</v>
      </c>
      <c r="P650" s="85" t="str">
        <f>IF(AND('331-CT'!$E$7=TH!H650,OR(N650="331",O650="331")),"x","")</f>
        <v/>
      </c>
      <c r="Q650" s="85" t="str">
        <f>IF(AND(B650='111'!$L$11,OR($N650=$Q$7,$O650=$Q$7)),"x","")</f>
        <v/>
      </c>
      <c r="R650" s="85" t="str">
        <f>IF(AND($N650=$Q$7,$B650&lt;'111'!$L$11),"x","")</f>
        <v/>
      </c>
      <c r="S650" s="85" t="str">
        <f>IF(AND($O650=$Q$7,$B650&lt;'111'!$L$11),"x","")</f>
        <v/>
      </c>
      <c r="T650" s="85" t="str">
        <f>IF(ISERROR(FIND('112'!$M$9,G650,1)),"",IF((AND(FIND('112'!$M$9,G650,1)&gt;=1,B650='112'!$K$9,OR($N650='112'!$I$6,$O650='112'!$I$6))),"x",""))</f>
        <v/>
      </c>
      <c r="U650" s="85" t="str">
        <f>IF(ISERROR(FIND('112'!$M$9,G650,1)),"",IF((AND(LEFT(G650,2)=LEFT('112'!$M$9,2),B650&lt;'112'!$K$9,$N650='112'!$I$6)),"x",""))</f>
        <v/>
      </c>
      <c r="V650" s="85" t="str">
        <f>IF(ISERROR(FIND('112'!$M$9,G650,1)),"",IF((AND(RIGHT(G650,2)=RIGHT('112'!$M$9,2),B650&lt;'112'!$K$9,$O650='112'!$I$6)),"x",""))</f>
        <v/>
      </c>
      <c r="W650" s="85" t="str">
        <f>IF(AND('341-CT'!$H$9=H650,OR(LEFT(N650,3)=$W$7,LEFT(O650,3)=$W$7)),"x","")</f>
        <v/>
      </c>
      <c r="X650" s="85" t="str">
        <f>IF(OR(TH!N650=TH!$X$7,O650=TH!$X$7),"x","")</f>
        <v/>
      </c>
      <c r="Y650" s="85" t="str">
        <f>IF(AND(OR(N650="131",O650="131"),H650='131-CT'!$H$9),"x","")</f>
        <v/>
      </c>
      <c r="Z650" s="85"/>
      <c r="AA650" s="85" t="str">
        <f>IF(AND(MONTH(E650)='IN-NX'!$J$5,'IN-NX'!$D$7=D650),"x","")</f>
        <v/>
      </c>
      <c r="AB650" s="85" t="str">
        <f>IF(AND(OR(LEFT(TH!N650,2)="15",LEFT(TH!O650,2)="15"),'152-CT'!$J$8=TH!F650),"x","")</f>
        <v/>
      </c>
      <c r="AC650" s="85" t="str">
        <f>IF(AND(OR(LEFT(TH!N650,2)="15",LEFT(TH!O650,2)="15"),TK!$E$7=TH!F650),"x","")</f>
        <v/>
      </c>
      <c r="AD650" s="85" t="str">
        <f>IF(AND(N650="1521",MONTH(C650)='BK-NL'!$M$11),"x","")</f>
        <v/>
      </c>
    </row>
    <row r="651" spans="1:30" s="1156" customFormat="1" ht="15.75" customHeight="1">
      <c r="A651" s="343" t="str">
        <f>IF(B651&lt;&gt;"",IF(AND(B651='IN-TC'!$S$4,OR(TH!N651="1111",TH!O651="1111")),TH!D651,""),"")</f>
        <v/>
      </c>
      <c r="B651" s="1152">
        <f t="shared" ref="B651:B785" si="62">IF(C651&lt;&gt;"",MONTH(C651),"")</f>
        <v>3</v>
      </c>
      <c r="C651" s="989">
        <v>42458</v>
      </c>
      <c r="D651" s="989" t="s">
        <v>585</v>
      </c>
      <c r="E651" s="989">
        <v>42458</v>
      </c>
      <c r="F651" s="1153" t="s">
        <v>1371</v>
      </c>
      <c r="G651" s="994"/>
      <c r="H651" s="985"/>
      <c r="I651" s="986"/>
      <c r="J651" s="986"/>
      <c r="K651" s="987"/>
      <c r="L651" s="986"/>
      <c r="M651" s="1154">
        <v>3842009.4000008553</v>
      </c>
      <c r="N651" s="1155" t="s">
        <v>267</v>
      </c>
      <c r="O651" s="1155" t="s">
        <v>43</v>
      </c>
      <c r="P651" s="85" t="str">
        <f>IF(AND('331-CT'!$E$7=TH!H651,OR(N651="331",O651="331")),"x","")</f>
        <v/>
      </c>
      <c r="Q651" s="85" t="str">
        <f>IF(AND(B651='111'!$L$11,OR($N651=$Q$7,$O651=$Q$7)),"x","")</f>
        <v/>
      </c>
      <c r="R651" s="85" t="str">
        <f>IF(AND($N651=$Q$7,$B651&lt;'111'!$L$11),"x","")</f>
        <v/>
      </c>
      <c r="S651" s="85" t="str">
        <f>IF(AND($O651=$Q$7,$B651&lt;'111'!$L$11),"x","")</f>
        <v/>
      </c>
      <c r="T651" s="85" t="str">
        <f>IF(ISERROR(FIND('112'!$M$9,G651,1)),"",IF((AND(FIND('112'!$M$9,G651,1)&gt;=1,B651='112'!$K$9,OR($N651='112'!$I$6,$O651='112'!$I$6))),"x",""))</f>
        <v/>
      </c>
      <c r="U651" s="85" t="str">
        <f>IF(ISERROR(FIND('112'!$M$9,G651,1)),"",IF((AND(LEFT(G651,2)=LEFT('112'!$M$9,2),B651&lt;'112'!$K$9,$N651='112'!$I$6)),"x",""))</f>
        <v/>
      </c>
      <c r="V651" s="85" t="str">
        <f>IF(ISERROR(FIND('112'!$M$9,G651,1)),"",IF((AND(RIGHT(G651,2)=RIGHT('112'!$M$9,2),B651&lt;'112'!$K$9,$O651='112'!$I$6)),"x",""))</f>
        <v/>
      </c>
      <c r="W651" s="85" t="str">
        <f>IF(AND('341-CT'!$H$9=H651,OR(LEFT(N651,3)=$W$7,LEFT(O651,3)=$W$7)),"x","")</f>
        <v/>
      </c>
      <c r="X651" s="85" t="str">
        <f>IF(OR(TH!N651=TH!$X$7,O651=TH!$X$7),"x","")</f>
        <v/>
      </c>
      <c r="Y651" s="85" t="str">
        <f>IF(AND(OR(N651="131",O651="131"),H651='131-CT'!$H$9),"x","")</f>
        <v/>
      </c>
      <c r="Z651" s="85"/>
      <c r="AA651" s="85" t="str">
        <f>IF(AND(MONTH(E651)='IN-NX'!$J$5,'IN-NX'!$D$7=D651),"x","")</f>
        <v/>
      </c>
      <c r="AB651" s="85" t="str">
        <f>IF(AND(OR(LEFT(TH!N651,2)="15",LEFT(TH!O651,2)="15"),'152-CT'!$J$8=TH!F651),"x","")</f>
        <v/>
      </c>
      <c r="AC651" s="85" t="str">
        <f>IF(AND(OR(LEFT(TH!N651,2)="15",LEFT(TH!O651,2)="15"),TK!$E$7=TH!F651),"x","")</f>
        <v/>
      </c>
      <c r="AD651" s="85" t="str">
        <f>IF(AND(N651="1521",MONTH(C651)='BK-NL'!$M$11),"x","")</f>
        <v/>
      </c>
    </row>
    <row r="652" spans="1:30" ht="15.75" customHeight="1">
      <c r="A652" s="343" t="str">
        <f>IF(B652&lt;&gt;"",IF(AND(B652='IN-TC'!$S$4,OR(TH!N652="1111",TH!O652="1111")),TH!D652,""),"")</f>
        <v/>
      </c>
      <c r="B652" s="63">
        <f t="shared" si="62"/>
        <v>3</v>
      </c>
      <c r="C652" s="64">
        <v>42459</v>
      </c>
      <c r="D652" s="64" t="s">
        <v>923</v>
      </c>
      <c r="E652" s="64">
        <v>42459</v>
      </c>
      <c r="F652" s="67" t="s">
        <v>1119</v>
      </c>
      <c r="G652" s="996" t="s">
        <v>930</v>
      </c>
      <c r="H652" s="74" t="s">
        <v>773</v>
      </c>
      <c r="I652" s="447"/>
      <c r="J652" s="447"/>
      <c r="K652" s="438"/>
      <c r="L652" s="447"/>
      <c r="M652" s="65">
        <v>25000000</v>
      </c>
      <c r="N652" s="66" t="s">
        <v>26</v>
      </c>
      <c r="O652" s="66" t="s">
        <v>63</v>
      </c>
      <c r="P652" s="85" t="str">
        <f>IF(AND('331-CT'!$E$7=TH!H652,OR(N652="331",O652="331")),"x","")</f>
        <v/>
      </c>
      <c r="Q652" s="85" t="str">
        <f>IF(AND(B652='111'!$L$11,OR($N652=$Q$7,$O652=$Q$7)),"x","")</f>
        <v/>
      </c>
      <c r="R652" s="85" t="str">
        <f>IF(AND($N652=$Q$7,$B652&lt;'111'!$L$11),"x","")</f>
        <v/>
      </c>
      <c r="S652" s="85" t="str">
        <f>IF(AND($O652=$Q$7,$B652&lt;'111'!$L$11),"x","")</f>
        <v/>
      </c>
      <c r="T652" s="85" t="str">
        <f>IF(ISERROR(FIND('112'!$M$9,G652,1)),"",IF((AND(FIND('112'!$M$9,G652,1)&gt;=1,B652='112'!$K$9,OR($N652='112'!$I$6,$O652='112'!$I$6))),"x",""))</f>
        <v/>
      </c>
      <c r="U652" s="85" t="str">
        <f>IF(ISERROR(FIND('112'!$M$9,G652,1)),"",IF((AND(LEFT(G652,2)=LEFT('112'!$M$9,2),B652&lt;'112'!$K$9,$N652='112'!$I$6)),"x",""))</f>
        <v/>
      </c>
      <c r="V652" s="85" t="str">
        <f>IF(ISERROR(FIND('112'!$M$9,G652,1)),"",IF((AND(RIGHT(G652,2)=RIGHT('112'!$M$9,2),B652&lt;'112'!$K$9,$O652='112'!$I$6)),"x",""))</f>
        <v/>
      </c>
      <c r="W652" s="85" t="str">
        <f>IF(AND('341-CT'!$H$9=H652,OR(LEFT(N652,3)=$W$7,LEFT(O652,3)=$W$7)),"x","")</f>
        <v/>
      </c>
      <c r="X652" s="85" t="str">
        <f>IF(OR(TH!N652=TH!$X$7,O652=TH!$X$7),"x","")</f>
        <v/>
      </c>
      <c r="Y652" s="85" t="str">
        <f>IF(AND(OR(N652="131",O652="131"),H652='131-CT'!$H$9),"x","")</f>
        <v/>
      </c>
      <c r="Z652" s="85"/>
      <c r="AA652" s="85" t="str">
        <f>IF(AND(MONTH(E652)='IN-NX'!$J$5,'IN-NX'!$D$7=D652),"x","")</f>
        <v/>
      </c>
      <c r="AB652" s="85" t="str">
        <f>IF(AND(OR(LEFT(TH!N652,2)="15",LEFT(TH!O652,2)="15"),'152-CT'!$J$8=TH!F652),"x","")</f>
        <v/>
      </c>
      <c r="AC652" s="85" t="str">
        <f>IF(AND(OR(LEFT(TH!N652,2)="15",LEFT(TH!O652,2)="15"),TK!$E$7=TH!F652),"x","")</f>
        <v/>
      </c>
      <c r="AD652" s="85" t="str">
        <f>IF(AND(N652="1521",MONTH(C652)='BK-NL'!$M$11),"x","")</f>
        <v/>
      </c>
    </row>
    <row r="653" spans="1:30" ht="15.75" customHeight="1">
      <c r="A653" s="343" t="str">
        <f>IF(B653&lt;&gt;"",IF(AND(B653='IN-TC'!$S$4,OR(TH!N653="1111",TH!O653="1111")),TH!D653,""),"")</f>
        <v/>
      </c>
      <c r="B653" s="63">
        <f t="shared" si="62"/>
        <v>3</v>
      </c>
      <c r="C653" s="64">
        <v>42459</v>
      </c>
      <c r="D653" s="64" t="s">
        <v>924</v>
      </c>
      <c r="E653" s="64">
        <v>42459</v>
      </c>
      <c r="F653" s="67" t="s">
        <v>1028</v>
      </c>
      <c r="G653" s="996" t="s">
        <v>1338</v>
      </c>
      <c r="H653" s="74" t="s">
        <v>1054</v>
      </c>
      <c r="I653" s="447"/>
      <c r="J653" s="447"/>
      <c r="K653" s="438"/>
      <c r="L653" s="447"/>
      <c r="M653" s="65">
        <v>462727</v>
      </c>
      <c r="N653" s="66" t="s">
        <v>101</v>
      </c>
      <c r="O653" s="66" t="s">
        <v>63</v>
      </c>
      <c r="P653" s="85" t="str">
        <f>IF(AND('331-CT'!$E$7=TH!H653,OR(N653="331",O653="331")),"x","")</f>
        <v/>
      </c>
      <c r="Q653" s="85" t="str">
        <f>IF(AND(B653='111'!$L$11,OR($N653=$Q$7,$O653=$Q$7)),"x","")</f>
        <v/>
      </c>
      <c r="R653" s="85" t="str">
        <f>IF(AND($N653=$Q$7,$B653&lt;'111'!$L$11),"x","")</f>
        <v/>
      </c>
      <c r="S653" s="85" t="str">
        <f>IF(AND($O653=$Q$7,$B653&lt;'111'!$L$11),"x","")</f>
        <v/>
      </c>
      <c r="T653" s="85" t="str">
        <f>IF(ISERROR(FIND('112'!$M$9,G653,1)),"",IF((AND(FIND('112'!$M$9,G653,1)&gt;=1,B653='112'!$K$9,OR($N653='112'!$I$6,$O653='112'!$I$6))),"x",""))</f>
        <v/>
      </c>
      <c r="U653" s="85" t="str">
        <f>IF(ISERROR(FIND('112'!$M$9,G653,1)),"",IF((AND(LEFT(G653,2)=LEFT('112'!$M$9,2),B653&lt;'112'!$K$9,$N653='112'!$I$6)),"x",""))</f>
        <v/>
      </c>
      <c r="V653" s="85" t="str">
        <f>IF(ISERROR(FIND('112'!$M$9,G653,1)),"",IF((AND(RIGHT(G653,2)=RIGHT('112'!$M$9,2),B653&lt;'112'!$K$9,$O653='112'!$I$6)),"x",""))</f>
        <v/>
      </c>
      <c r="W653" s="85" t="str">
        <f>IF(AND('341-CT'!$H$9=H653,OR(LEFT(N653,3)=$W$7,LEFT(O653,3)=$W$7)),"x","")</f>
        <v/>
      </c>
      <c r="X653" s="85" t="str">
        <f>IF(OR(TH!N653=TH!$X$7,O653=TH!$X$7),"x","")</f>
        <v/>
      </c>
      <c r="Y653" s="85" t="str">
        <f>IF(AND(OR(N653="131",O653="131"),H653='131-CT'!$H$9),"x","")</f>
        <v/>
      </c>
      <c r="Z653" s="85"/>
      <c r="AA653" s="85" t="str">
        <f>IF(AND(MONTH(E653)='IN-NX'!$J$5,'IN-NX'!$D$7=D653),"x","")</f>
        <v/>
      </c>
      <c r="AB653" s="85" t="str">
        <f>IF(AND(OR(LEFT(TH!N653,2)="15",LEFT(TH!O653,2)="15"),'152-CT'!$J$8=TH!F653),"x","")</f>
        <v/>
      </c>
      <c r="AC653" s="85" t="str">
        <f>IF(AND(OR(LEFT(TH!N653,2)="15",LEFT(TH!O653,2)="15"),TK!$E$7=TH!F653),"x","")</f>
        <v/>
      </c>
      <c r="AD653" s="85" t="str">
        <f>IF(AND(N653="1521",MONTH(C653)='BK-NL'!$M$11),"x","")</f>
        <v/>
      </c>
    </row>
    <row r="654" spans="1:30" ht="15.75" customHeight="1">
      <c r="A654" s="343" t="str">
        <f>IF(B654&lt;&gt;"",IF(AND(B654='IN-TC'!$S$4,OR(TH!N654="1111",TH!O654="1111")),TH!D654,""),"")</f>
        <v/>
      </c>
      <c r="B654" s="63">
        <f t="shared" si="62"/>
        <v>3</v>
      </c>
      <c r="C654" s="64">
        <v>42459</v>
      </c>
      <c r="D654" s="64" t="s">
        <v>924</v>
      </c>
      <c r="E654" s="64">
        <v>42459</v>
      </c>
      <c r="F654" s="67" t="s">
        <v>1029</v>
      </c>
      <c r="G654" s="996" t="s">
        <v>1338</v>
      </c>
      <c r="H654" s="74" t="s">
        <v>1054</v>
      </c>
      <c r="I654" s="447"/>
      <c r="J654" s="447"/>
      <c r="K654" s="438"/>
      <c r="L654" s="447"/>
      <c r="M654" s="65">
        <v>46273</v>
      </c>
      <c r="N654" s="66" t="s">
        <v>9</v>
      </c>
      <c r="O654" s="66" t="s">
        <v>63</v>
      </c>
      <c r="P654" s="85" t="str">
        <f>IF(AND('331-CT'!$E$7=TH!H654,OR(N654="331",O654="331")),"x","")</f>
        <v/>
      </c>
      <c r="Q654" s="85" t="str">
        <f>IF(AND(B654='111'!$L$11,OR($N654=$Q$7,$O654=$Q$7)),"x","")</f>
        <v/>
      </c>
      <c r="R654" s="85" t="str">
        <f>IF(AND($N654=$Q$7,$B654&lt;'111'!$L$11),"x","")</f>
        <v/>
      </c>
      <c r="S654" s="85" t="str">
        <f>IF(AND($O654=$Q$7,$B654&lt;'111'!$L$11),"x","")</f>
        <v/>
      </c>
      <c r="T654" s="85" t="str">
        <f>IF(ISERROR(FIND('112'!$M$9,G654,1)),"",IF((AND(FIND('112'!$M$9,G654,1)&gt;=1,B654='112'!$K$9,OR($N654='112'!$I$6,$O654='112'!$I$6))),"x",""))</f>
        <v/>
      </c>
      <c r="U654" s="85" t="str">
        <f>IF(ISERROR(FIND('112'!$M$9,G654,1)),"",IF((AND(LEFT(G654,2)=LEFT('112'!$M$9,2),B654&lt;'112'!$K$9,$N654='112'!$I$6)),"x",""))</f>
        <v/>
      </c>
      <c r="V654" s="85" t="str">
        <f>IF(ISERROR(FIND('112'!$M$9,G654,1)),"",IF((AND(RIGHT(G654,2)=RIGHT('112'!$M$9,2),B654&lt;'112'!$K$9,$O654='112'!$I$6)),"x",""))</f>
        <v/>
      </c>
      <c r="W654" s="85" t="str">
        <f>IF(AND('341-CT'!$H$9=H654,OR(LEFT(N654,3)=$W$7,LEFT(O654,3)=$W$7)),"x","")</f>
        <v/>
      </c>
      <c r="X654" s="85" t="str">
        <f>IF(OR(TH!N654=TH!$X$7,O654=TH!$X$7),"x","")</f>
        <v/>
      </c>
      <c r="Y654" s="85" t="str">
        <f>IF(AND(OR(N654="131",O654="131"),H654='131-CT'!$H$9),"x","")</f>
        <v/>
      </c>
      <c r="Z654" s="85"/>
      <c r="AA654" s="85" t="str">
        <f>IF(AND(MONTH(E654)='IN-NX'!$J$5,'IN-NX'!$D$7=D654),"x","")</f>
        <v/>
      </c>
      <c r="AB654" s="85" t="str">
        <f>IF(AND(OR(LEFT(TH!N654,2)="15",LEFT(TH!O654,2)="15"),'152-CT'!$J$8=TH!F654),"x","")</f>
        <v/>
      </c>
      <c r="AC654" s="85" t="str">
        <f>IF(AND(OR(LEFT(TH!N654,2)="15",LEFT(TH!O654,2)="15"),TK!$E$7=TH!F654),"x","")</f>
        <v/>
      </c>
      <c r="AD654" s="85" t="str">
        <f>IF(AND(N654="1521",MONTH(C654)='BK-NL'!$M$11),"x","")</f>
        <v/>
      </c>
    </row>
    <row r="655" spans="1:30" ht="15.75" customHeight="1">
      <c r="A655" s="343" t="str">
        <f>IF(B655&lt;&gt;"",IF(AND(B655='IN-TC'!$S$4,OR(TH!N655="1111",TH!O655="1111")),TH!D655,""),"")</f>
        <v/>
      </c>
      <c r="B655" s="63">
        <f t="shared" si="62"/>
        <v>3</v>
      </c>
      <c r="C655" s="64">
        <v>42459</v>
      </c>
      <c r="D655" s="64" t="s">
        <v>709</v>
      </c>
      <c r="E655" s="64">
        <v>42459</v>
      </c>
      <c r="F655" s="67" t="s">
        <v>1240</v>
      </c>
      <c r="G655" s="996" t="s">
        <v>930</v>
      </c>
      <c r="H655" s="74" t="s">
        <v>636</v>
      </c>
      <c r="I655" s="447"/>
      <c r="J655" s="447"/>
      <c r="K655" s="438"/>
      <c r="L655" s="447"/>
      <c r="M655" s="65">
        <v>23396120</v>
      </c>
      <c r="N655" s="66" t="s">
        <v>8</v>
      </c>
      <c r="O655" s="66" t="s">
        <v>26</v>
      </c>
      <c r="P655" s="85" t="str">
        <f>IF(AND('331-CT'!$E$7=TH!H655,OR(N655="331",O655="331")),"x","")</f>
        <v/>
      </c>
      <c r="Q655" s="85" t="str">
        <f>IF(AND(B655='111'!$L$11,OR($N655=$Q$7,$O655=$Q$7)),"x","")</f>
        <v/>
      </c>
      <c r="R655" s="85" t="str">
        <f>IF(AND($N655=$Q$7,$B655&lt;'111'!$L$11),"x","")</f>
        <v/>
      </c>
      <c r="S655" s="85" t="str">
        <f>IF(AND($O655=$Q$7,$B655&lt;'111'!$L$11),"x","")</f>
        <v/>
      </c>
      <c r="T655" s="85" t="str">
        <f>IF(ISERROR(FIND('112'!$M$9,G655,1)),"",IF((AND(FIND('112'!$M$9,G655,1)&gt;=1,B655='112'!$K$9,OR($N655='112'!$I$6,$O655='112'!$I$6))),"x",""))</f>
        <v/>
      </c>
      <c r="U655" s="85" t="str">
        <f>IF(ISERROR(FIND('112'!$M$9,G655,1)),"",IF((AND(LEFT(G655,2)=LEFT('112'!$M$9,2),B655&lt;'112'!$K$9,$N655='112'!$I$6)),"x",""))</f>
        <v/>
      </c>
      <c r="V655" s="85" t="str">
        <f>IF(ISERROR(FIND('112'!$M$9,G655,1)),"",IF((AND(RIGHT(G655,2)=RIGHT('112'!$M$9,2),B655&lt;'112'!$K$9,$O655='112'!$I$6)),"x",""))</f>
        <v/>
      </c>
      <c r="W655" s="85" t="str">
        <f>IF(AND('341-CT'!$H$9=H655,OR(LEFT(N655,3)=$W$7,LEFT(O655,3)=$W$7)),"x","")</f>
        <v/>
      </c>
      <c r="X655" s="85" t="str">
        <f>IF(OR(TH!N655=TH!$X$7,O655=TH!$X$7),"x","")</f>
        <v/>
      </c>
      <c r="Y655" s="85" t="str">
        <f>IF(AND(OR(N655="131",O655="131"),H655='131-CT'!$H$9),"x","")</f>
        <v/>
      </c>
      <c r="Z655" s="85"/>
      <c r="AA655" s="85" t="str">
        <f>IF(AND(MONTH(E655)='IN-NX'!$J$5,'IN-NX'!$D$7=D655),"x","")</f>
        <v/>
      </c>
      <c r="AB655" s="85" t="str">
        <f>IF(AND(OR(LEFT(TH!N655,2)="15",LEFT(TH!O655,2)="15"),'152-CT'!$J$8=TH!F655),"x","")</f>
        <v/>
      </c>
      <c r="AC655" s="85" t="str">
        <f>IF(AND(OR(LEFT(TH!N655,2)="15",LEFT(TH!O655,2)="15"),TK!$E$7=TH!F655),"x","")</f>
        <v/>
      </c>
      <c r="AD655" s="85" t="str">
        <f>IF(AND(N655="1521",MONTH(C655)='BK-NL'!$M$11),"x","")</f>
        <v/>
      </c>
    </row>
    <row r="656" spans="1:30" ht="15.75" customHeight="1">
      <c r="A656" s="343" t="str">
        <f>IF(B656&lt;&gt;"",IF(AND(B656='IN-TC'!$S$4,OR(TH!N656="1111",TH!O656="1111")),TH!D656,""),"")</f>
        <v/>
      </c>
      <c r="B656" s="63">
        <f t="shared" si="62"/>
        <v>3</v>
      </c>
      <c r="C656" s="64">
        <v>42459</v>
      </c>
      <c r="D656" s="64" t="s">
        <v>709</v>
      </c>
      <c r="E656" s="64">
        <v>42459</v>
      </c>
      <c r="F656" s="67" t="s">
        <v>1215</v>
      </c>
      <c r="G656" s="996" t="s">
        <v>930</v>
      </c>
      <c r="H656" s="74"/>
      <c r="I656" s="447"/>
      <c r="J656" s="447"/>
      <c r="K656" s="438"/>
      <c r="L656" s="447"/>
      <c r="M656" s="65">
        <v>45000</v>
      </c>
      <c r="N656" s="66" t="s">
        <v>101</v>
      </c>
      <c r="O656" s="66" t="s">
        <v>26</v>
      </c>
      <c r="P656" s="85" t="str">
        <f>IF(AND('331-CT'!$E$7=TH!H656,OR(N656="331",O656="331")),"x","")</f>
        <v/>
      </c>
      <c r="Q656" s="85" t="str">
        <f>IF(AND(B656='111'!$L$11,OR($N656=$Q$7,$O656=$Q$7)),"x","")</f>
        <v/>
      </c>
      <c r="R656" s="85" t="str">
        <f>IF(AND($N656=$Q$7,$B656&lt;'111'!$L$11),"x","")</f>
        <v/>
      </c>
      <c r="S656" s="85" t="str">
        <f>IF(AND($O656=$Q$7,$B656&lt;'111'!$L$11),"x","")</f>
        <v/>
      </c>
      <c r="T656" s="85" t="str">
        <f>IF(ISERROR(FIND('112'!$M$9,G656,1)),"",IF((AND(FIND('112'!$M$9,G656,1)&gt;=1,B656='112'!$K$9,OR($N656='112'!$I$6,$O656='112'!$I$6))),"x",""))</f>
        <v/>
      </c>
      <c r="U656" s="85" t="str">
        <f>IF(ISERROR(FIND('112'!$M$9,G656,1)),"",IF((AND(LEFT(G656,2)=LEFT('112'!$M$9,2),B656&lt;'112'!$K$9,$N656='112'!$I$6)),"x",""))</f>
        <v/>
      </c>
      <c r="V656" s="85" t="str">
        <f>IF(ISERROR(FIND('112'!$M$9,G656,1)),"",IF((AND(RIGHT(G656,2)=RIGHT('112'!$M$9,2),B656&lt;'112'!$K$9,$O656='112'!$I$6)),"x",""))</f>
        <v/>
      </c>
      <c r="W656" s="85" t="str">
        <f>IF(AND('341-CT'!$H$9=H656,OR(LEFT(N656,3)=$W$7,LEFT(O656,3)=$W$7)),"x","")</f>
        <v/>
      </c>
      <c r="X656" s="85" t="str">
        <f>IF(OR(TH!N656=TH!$X$7,O656=TH!$X$7),"x","")</f>
        <v/>
      </c>
      <c r="Y656" s="85" t="str">
        <f>IF(AND(OR(N656="131",O656="131"),H656='131-CT'!$H$9),"x","")</f>
        <v/>
      </c>
      <c r="Z656" s="85"/>
      <c r="AA656" s="85" t="str">
        <f>IF(AND(MONTH(E656)='IN-NX'!$J$5,'IN-NX'!$D$7=D656),"x","")</f>
        <v/>
      </c>
      <c r="AB656" s="85" t="str">
        <f>IF(AND(OR(LEFT(TH!N656,2)="15",LEFT(TH!O656,2)="15"),'152-CT'!$J$8=TH!F656),"x","")</f>
        <v/>
      </c>
      <c r="AC656" s="85" t="str">
        <f>IF(AND(OR(LEFT(TH!N656,2)="15",LEFT(TH!O656,2)="15"),TK!$E$7=TH!F656),"x","")</f>
        <v/>
      </c>
      <c r="AD656" s="85" t="str">
        <f>IF(AND(N656="1521",MONTH(C656)='BK-NL'!$M$11),"x","")</f>
        <v/>
      </c>
    </row>
    <row r="657" spans="1:30" ht="15.75" customHeight="1">
      <c r="A657" s="343" t="str">
        <f>IF(B657&lt;&gt;"",IF(AND(B657='IN-TC'!$S$4,OR(TH!N657="1111",TH!O657="1111")),TH!D657,""),"")</f>
        <v/>
      </c>
      <c r="B657" s="63">
        <f t="shared" si="62"/>
        <v>3</v>
      </c>
      <c r="C657" s="64">
        <v>42459</v>
      </c>
      <c r="D657" s="64" t="s">
        <v>709</v>
      </c>
      <c r="E657" s="64">
        <v>42459</v>
      </c>
      <c r="F657" s="67" t="s">
        <v>1216</v>
      </c>
      <c r="G657" s="996" t="s">
        <v>930</v>
      </c>
      <c r="H657" s="74"/>
      <c r="I657" s="447"/>
      <c r="J657" s="447"/>
      <c r="K657" s="438"/>
      <c r="L657" s="447"/>
      <c r="M657" s="65">
        <v>4500</v>
      </c>
      <c r="N657" s="66" t="s">
        <v>9</v>
      </c>
      <c r="O657" s="66" t="s">
        <v>26</v>
      </c>
      <c r="P657" s="85" t="str">
        <f>IF(AND('331-CT'!$E$7=TH!H657,OR(N657="331",O657="331")),"x","")</f>
        <v/>
      </c>
      <c r="Q657" s="85" t="str">
        <f>IF(AND(B657='111'!$L$11,OR($N657=$Q$7,$O657=$Q$7)),"x","")</f>
        <v/>
      </c>
      <c r="R657" s="85" t="str">
        <f>IF(AND($N657=$Q$7,$B657&lt;'111'!$L$11),"x","")</f>
        <v/>
      </c>
      <c r="S657" s="85" t="str">
        <f>IF(AND($O657=$Q$7,$B657&lt;'111'!$L$11),"x","")</f>
        <v/>
      </c>
      <c r="T657" s="85" t="str">
        <f>IF(ISERROR(FIND('112'!$M$9,G657,1)),"",IF((AND(FIND('112'!$M$9,G657,1)&gt;=1,B657='112'!$K$9,OR($N657='112'!$I$6,$O657='112'!$I$6))),"x",""))</f>
        <v/>
      </c>
      <c r="U657" s="85" t="str">
        <f>IF(ISERROR(FIND('112'!$M$9,G657,1)),"",IF((AND(LEFT(G657,2)=LEFT('112'!$M$9,2),B657&lt;'112'!$K$9,$N657='112'!$I$6)),"x",""))</f>
        <v/>
      </c>
      <c r="V657" s="85" t="str">
        <f>IF(ISERROR(FIND('112'!$M$9,G657,1)),"",IF((AND(RIGHT(G657,2)=RIGHT('112'!$M$9,2),B657&lt;'112'!$K$9,$O657='112'!$I$6)),"x",""))</f>
        <v/>
      </c>
      <c r="W657" s="85" t="str">
        <f>IF(AND('341-CT'!$H$9=H657,OR(LEFT(N657,3)=$W$7,LEFT(O657,3)=$W$7)),"x","")</f>
        <v/>
      </c>
      <c r="X657" s="85" t="str">
        <f>IF(OR(TH!N657=TH!$X$7,O657=TH!$X$7),"x","")</f>
        <v/>
      </c>
      <c r="Y657" s="85" t="str">
        <f>IF(AND(OR(N657="131",O657="131"),H657='131-CT'!$H$9),"x","")</f>
        <v/>
      </c>
      <c r="Z657" s="85"/>
      <c r="AA657" s="85" t="str">
        <f>IF(AND(MONTH(E657)='IN-NX'!$J$5,'IN-NX'!$D$7=D657),"x","")</f>
        <v/>
      </c>
      <c r="AB657" s="85" t="str">
        <f>IF(AND(OR(LEFT(TH!N657,2)="15",LEFT(TH!O657,2)="15"),'152-CT'!$J$8=TH!F657),"x","")</f>
        <v/>
      </c>
      <c r="AC657" s="85" t="str">
        <f>IF(AND(OR(LEFT(TH!N657,2)="15",LEFT(TH!O657,2)="15"),TK!$E$7=TH!F657),"x","")</f>
        <v/>
      </c>
      <c r="AD657" s="85" t="str">
        <f>IF(AND(N657="1521",MONTH(C657)='BK-NL'!$M$11),"x","")</f>
        <v/>
      </c>
    </row>
    <row r="658" spans="1:30" ht="15.75" customHeight="1">
      <c r="A658" s="343" t="str">
        <f>IF(B658&lt;&gt;"",IF(AND(B658='IN-TC'!$S$4,OR(TH!N658="1111",TH!O658="1111")),TH!D658,""),"")</f>
        <v/>
      </c>
      <c r="B658" s="63">
        <f t="shared" si="62"/>
        <v>3</v>
      </c>
      <c r="C658" s="64">
        <v>42459</v>
      </c>
      <c r="D658" s="64" t="s">
        <v>925</v>
      </c>
      <c r="E658" s="64">
        <f>C658</f>
        <v>42459</v>
      </c>
      <c r="F658" s="67" t="s">
        <v>1375</v>
      </c>
      <c r="G658" s="996" t="s">
        <v>1373</v>
      </c>
      <c r="H658" s="7" t="s">
        <v>624</v>
      </c>
      <c r="I658" s="447"/>
      <c r="J658" s="447"/>
      <c r="K658" s="438"/>
      <c r="L658" s="447"/>
      <c r="M658" s="65">
        <v>9114999</v>
      </c>
      <c r="N658" s="66" t="s">
        <v>8</v>
      </c>
      <c r="O658" s="66" t="s">
        <v>63</v>
      </c>
      <c r="P658" s="85" t="str">
        <f>IF(AND('331-CT'!$E$7=TH!H658,OR(N658="331",O658="331")),"x","")</f>
        <v/>
      </c>
      <c r="Q658" s="85" t="str">
        <f>IF(AND(B658='111'!$L$11,OR($N658=$Q$7,$O658=$Q$7)),"x","")</f>
        <v/>
      </c>
      <c r="R658" s="85" t="str">
        <f>IF(AND($N658=$Q$7,$B658&lt;'111'!$L$11),"x","")</f>
        <v/>
      </c>
      <c r="S658" s="85" t="str">
        <f>IF(AND($O658=$Q$7,$B658&lt;'111'!$L$11),"x","")</f>
        <v/>
      </c>
      <c r="T658" s="85" t="str">
        <f>IF(ISERROR(FIND('112'!$M$9,G658,1)),"",IF((AND(FIND('112'!$M$9,G658,1)&gt;=1,B658='112'!$K$9,OR($N658='112'!$I$6,$O658='112'!$I$6))),"x",""))</f>
        <v/>
      </c>
      <c r="U658" s="85" t="str">
        <f>IF(ISERROR(FIND('112'!$M$9,G658,1)),"",IF((AND(LEFT(G658,2)=LEFT('112'!$M$9,2),B658&lt;'112'!$K$9,$N658='112'!$I$6)),"x",""))</f>
        <v/>
      </c>
      <c r="V658" s="85" t="str">
        <f>IF(ISERROR(FIND('112'!$M$9,G658,1)),"",IF((AND(RIGHT(G658,2)=RIGHT('112'!$M$9,2),B658&lt;'112'!$K$9,$O658='112'!$I$6)),"x",""))</f>
        <v/>
      </c>
      <c r="W658" s="85" t="str">
        <f>IF(AND('341-CT'!$H$9=H658,OR(LEFT(N658,3)=$W$7,LEFT(O658,3)=$W$7)),"x","")</f>
        <v/>
      </c>
      <c r="X658" s="85" t="str">
        <f>IF(OR(TH!N658=TH!$X$7,O658=TH!$X$7),"x","")</f>
        <v/>
      </c>
      <c r="Y658" s="85" t="str">
        <f>IF(AND(OR(N658="131",O658="131"),H658='131-CT'!$H$9),"x","")</f>
        <v/>
      </c>
      <c r="Z658" s="85"/>
      <c r="AA658" s="85" t="str">
        <f>IF(AND(MONTH(E658)='IN-NX'!$J$5,'IN-NX'!$D$7=D658),"x","")</f>
        <v/>
      </c>
      <c r="AB658" s="85" t="str">
        <f>IF(AND(OR(LEFT(TH!N658,2)="15",LEFT(TH!O658,2)="15"),'152-CT'!$J$8=TH!F658),"x","")</f>
        <v/>
      </c>
      <c r="AC658" s="85" t="str">
        <f>IF(AND(OR(LEFT(TH!N658,2)="15",LEFT(TH!O658,2)="15"),TK!$E$7=TH!F658),"x","")</f>
        <v/>
      </c>
      <c r="AD658" s="85" t="str">
        <f>IF(AND(N658="1521",MONTH(C658)='BK-NL'!$M$11),"x","")</f>
        <v/>
      </c>
    </row>
    <row r="659" spans="1:30" ht="15.75" customHeight="1">
      <c r="A659" s="343" t="str">
        <f>IF(B659&lt;&gt;"",IF(AND(B659='IN-TC'!$S$4,OR(TH!N659="1111",TH!O659="1111")),TH!D659,""),"")</f>
        <v/>
      </c>
      <c r="B659" s="63">
        <f t="shared" si="62"/>
        <v>3</v>
      </c>
      <c r="C659" s="64">
        <v>42460</v>
      </c>
      <c r="D659" s="64" t="s">
        <v>926</v>
      </c>
      <c r="E659" s="64">
        <f>C659</f>
        <v>42460</v>
      </c>
      <c r="F659" s="67" t="s">
        <v>1380</v>
      </c>
      <c r="G659" s="996"/>
      <c r="H659" s="7" t="s">
        <v>1382</v>
      </c>
      <c r="I659" s="447"/>
      <c r="J659" s="447"/>
      <c r="K659" s="438"/>
      <c r="L659" s="447"/>
      <c r="M659" s="65">
        <v>1796363</v>
      </c>
      <c r="N659" s="66" t="s">
        <v>101</v>
      </c>
      <c r="O659" s="66" t="s">
        <v>63</v>
      </c>
      <c r="P659" s="85" t="str">
        <f>IF(AND('331-CT'!$E$7=TH!H659,OR(N659="331",O659="331")),"x","")</f>
        <v/>
      </c>
      <c r="Q659" s="85" t="str">
        <f>IF(AND(B659='111'!$L$11,OR($N659=$Q$7,$O659=$Q$7)),"x","")</f>
        <v/>
      </c>
      <c r="R659" s="85" t="str">
        <f>IF(AND($N659=$Q$7,$B659&lt;'111'!$L$11),"x","")</f>
        <v/>
      </c>
      <c r="S659" s="85" t="str">
        <f>IF(AND($O659=$Q$7,$B659&lt;'111'!$L$11),"x","")</f>
        <v/>
      </c>
      <c r="T659" s="85" t="str">
        <f>IF(ISERROR(FIND('112'!$M$9,G659,1)),"",IF((AND(FIND('112'!$M$9,G659,1)&gt;=1,B659='112'!$K$9,OR($N659='112'!$I$6,$O659='112'!$I$6))),"x",""))</f>
        <v/>
      </c>
      <c r="U659" s="85" t="str">
        <f>IF(ISERROR(FIND('112'!$M$9,G659,1)),"",IF((AND(LEFT(G659,2)=LEFT('112'!$M$9,2),B659&lt;'112'!$K$9,$N659='112'!$I$6)),"x",""))</f>
        <v/>
      </c>
      <c r="V659" s="85" t="str">
        <f>IF(ISERROR(FIND('112'!$M$9,G659,1)),"",IF((AND(RIGHT(G659,2)=RIGHT('112'!$M$9,2),B659&lt;'112'!$K$9,$O659='112'!$I$6)),"x",""))</f>
        <v/>
      </c>
      <c r="W659" s="85" t="str">
        <f>IF(AND('341-CT'!$H$9=H659,OR(LEFT(N659,3)=$W$7,LEFT(O659,3)=$W$7)),"x","")</f>
        <v/>
      </c>
      <c r="X659" s="85" t="str">
        <f>IF(OR(TH!N659=TH!$X$7,O659=TH!$X$7),"x","")</f>
        <v/>
      </c>
      <c r="Y659" s="85" t="str">
        <f>IF(AND(OR(N659="131",O659="131"),H659='131-CT'!$H$9),"x","")</f>
        <v/>
      </c>
      <c r="Z659" s="85"/>
      <c r="AA659" s="85" t="str">
        <f>IF(AND(MONTH(E659)='IN-NX'!$J$5,'IN-NX'!$D$7=D659),"x","")</f>
        <v/>
      </c>
      <c r="AB659" s="85" t="str">
        <f>IF(AND(OR(LEFT(TH!N659,2)="15",LEFT(TH!O659,2)="15"),'152-CT'!$J$8=TH!F659),"x","")</f>
        <v/>
      </c>
      <c r="AC659" s="85" t="str">
        <f>IF(AND(OR(LEFT(TH!N659,2)="15",LEFT(TH!O659,2)="15"),TK!$E$7=TH!F659),"x","")</f>
        <v/>
      </c>
      <c r="AD659" s="85" t="str">
        <f>IF(AND(N659="1521",MONTH(C659)='BK-NL'!$M$11),"x","")</f>
        <v/>
      </c>
    </row>
    <row r="660" spans="1:30" ht="15.75" customHeight="1">
      <c r="A660" s="343" t="str">
        <f>IF(B660&lt;&gt;"",IF(AND(B660='IN-TC'!$S$4,OR(TH!N660="1111",TH!O660="1111")),TH!D660,""),"")</f>
        <v/>
      </c>
      <c r="B660" s="63">
        <f t="shared" si="62"/>
        <v>3</v>
      </c>
      <c r="C660" s="64">
        <v>42460</v>
      </c>
      <c r="D660" s="64" t="s">
        <v>926</v>
      </c>
      <c r="E660" s="64">
        <f>C660</f>
        <v>42460</v>
      </c>
      <c r="F660" s="67" t="s">
        <v>1381</v>
      </c>
      <c r="G660" s="996"/>
      <c r="H660" s="7" t="s">
        <v>1382</v>
      </c>
      <c r="I660" s="447"/>
      <c r="J660" s="447"/>
      <c r="K660" s="438"/>
      <c r="L660" s="447"/>
      <c r="M660" s="65">
        <v>179637</v>
      </c>
      <c r="N660" s="66" t="s">
        <v>9</v>
      </c>
      <c r="O660" s="66" t="s">
        <v>63</v>
      </c>
      <c r="P660" s="85" t="str">
        <f>IF(AND('331-CT'!$E$7=TH!H660,OR(N660="331",O660="331")),"x","")</f>
        <v/>
      </c>
      <c r="Q660" s="85" t="str">
        <f>IF(AND(B660='111'!$L$11,OR($N660=$Q$7,$O660=$Q$7)),"x","")</f>
        <v/>
      </c>
      <c r="R660" s="85" t="str">
        <f>IF(AND($N660=$Q$7,$B660&lt;'111'!$L$11),"x","")</f>
        <v/>
      </c>
      <c r="S660" s="85" t="str">
        <f>IF(AND($O660=$Q$7,$B660&lt;'111'!$L$11),"x","")</f>
        <v/>
      </c>
      <c r="T660" s="85" t="str">
        <f>IF(ISERROR(FIND('112'!$M$9,G660,1)),"",IF((AND(FIND('112'!$M$9,G660,1)&gt;=1,B660='112'!$K$9,OR($N660='112'!$I$6,$O660='112'!$I$6))),"x",""))</f>
        <v/>
      </c>
      <c r="U660" s="85" t="str">
        <f>IF(ISERROR(FIND('112'!$M$9,G660,1)),"",IF((AND(LEFT(G660,2)=LEFT('112'!$M$9,2),B660&lt;'112'!$K$9,$N660='112'!$I$6)),"x",""))</f>
        <v/>
      </c>
      <c r="V660" s="85" t="str">
        <f>IF(ISERROR(FIND('112'!$M$9,G660,1)),"",IF((AND(RIGHT(G660,2)=RIGHT('112'!$M$9,2),B660&lt;'112'!$K$9,$O660='112'!$I$6)),"x",""))</f>
        <v/>
      </c>
      <c r="W660" s="85" t="str">
        <f>IF(AND('341-CT'!$H$9=H660,OR(LEFT(N660,3)=$W$7,LEFT(O660,3)=$W$7)),"x","")</f>
        <v/>
      </c>
      <c r="X660" s="85" t="str">
        <f>IF(OR(TH!N660=TH!$X$7,O660=TH!$X$7),"x","")</f>
        <v/>
      </c>
      <c r="Y660" s="85" t="str">
        <f>IF(AND(OR(N660="131",O660="131"),H660='131-CT'!$H$9),"x","")</f>
        <v/>
      </c>
      <c r="Z660" s="85"/>
      <c r="AA660" s="85" t="str">
        <f>IF(AND(MONTH(E660)='IN-NX'!$J$5,'IN-NX'!$D$7=D660),"x","")</f>
        <v/>
      </c>
      <c r="AB660" s="85" t="str">
        <f>IF(AND(OR(LEFT(TH!N660,2)="15",LEFT(TH!O660,2)="15"),'152-CT'!$J$8=TH!F660),"x","")</f>
        <v/>
      </c>
      <c r="AC660" s="85" t="str">
        <f>IF(AND(OR(LEFT(TH!N660,2)="15",LEFT(TH!O660,2)="15"),TK!$E$7=TH!F660),"x","")</f>
        <v/>
      </c>
      <c r="AD660" s="85" t="str">
        <f>IF(AND(N660="1521",MONTH(C660)='BK-NL'!$M$11),"x","")</f>
        <v/>
      </c>
    </row>
    <row r="661" spans="1:30" ht="15.75" customHeight="1">
      <c r="A661" s="343" t="str">
        <f>IF(B661&lt;&gt;"",IF(AND(B661='IN-TC'!$S$4,OR(TH!N661="1111",TH!O661="1111")),TH!D661,""),"")</f>
        <v/>
      </c>
      <c r="B661" s="63">
        <f t="shared" si="62"/>
        <v>3</v>
      </c>
      <c r="C661" s="64">
        <v>42460</v>
      </c>
      <c r="D661" s="64" t="s">
        <v>927</v>
      </c>
      <c r="E661" s="64">
        <f>C661</f>
        <v>42460</v>
      </c>
      <c r="F661" s="67" t="s">
        <v>1383</v>
      </c>
      <c r="G661" s="996" t="s">
        <v>1385</v>
      </c>
      <c r="H661" s="7" t="s">
        <v>1386</v>
      </c>
      <c r="I661" s="447"/>
      <c r="J661" s="447"/>
      <c r="K661" s="438"/>
      <c r="L661" s="447"/>
      <c r="M661" s="65">
        <v>29670</v>
      </c>
      <c r="N661" s="66" t="s">
        <v>101</v>
      </c>
      <c r="O661" s="66" t="s">
        <v>63</v>
      </c>
      <c r="P661" s="85" t="str">
        <f>IF(AND('331-CT'!$E$7=TH!H661,OR(N661="331",O661="331")),"x","")</f>
        <v/>
      </c>
      <c r="Q661" s="85" t="str">
        <f>IF(AND(B661='111'!$L$11,OR($N661=$Q$7,$O661=$Q$7)),"x","")</f>
        <v/>
      </c>
      <c r="R661" s="85" t="str">
        <f>IF(AND($N661=$Q$7,$B661&lt;'111'!$L$11),"x","")</f>
        <v/>
      </c>
      <c r="S661" s="85" t="str">
        <f>IF(AND($O661=$Q$7,$B661&lt;'111'!$L$11),"x","")</f>
        <v/>
      </c>
      <c r="T661" s="85" t="str">
        <f>IF(ISERROR(FIND('112'!$M$9,G661,1)),"",IF((AND(FIND('112'!$M$9,G661,1)&gt;=1,B661='112'!$K$9,OR($N661='112'!$I$6,$O661='112'!$I$6))),"x",""))</f>
        <v/>
      </c>
      <c r="U661" s="85" t="str">
        <f>IF(ISERROR(FIND('112'!$M$9,G661,1)),"",IF((AND(LEFT(G661,2)=LEFT('112'!$M$9,2),B661&lt;'112'!$K$9,$N661='112'!$I$6)),"x",""))</f>
        <v/>
      </c>
      <c r="V661" s="85" t="str">
        <f>IF(ISERROR(FIND('112'!$M$9,G661,1)),"",IF((AND(RIGHT(G661,2)=RIGHT('112'!$M$9,2),B661&lt;'112'!$K$9,$O661='112'!$I$6)),"x",""))</f>
        <v/>
      </c>
      <c r="W661" s="85" t="str">
        <f>IF(AND('341-CT'!$H$9=H661,OR(LEFT(N661,3)=$W$7,LEFT(O661,3)=$W$7)),"x","")</f>
        <v/>
      </c>
      <c r="X661" s="85" t="str">
        <f>IF(OR(TH!N661=TH!$X$7,O661=TH!$X$7),"x","")</f>
        <v/>
      </c>
      <c r="Y661" s="85" t="str">
        <f>IF(AND(OR(N661="131",O661="131"),H661='131-CT'!$H$9),"x","")</f>
        <v/>
      </c>
      <c r="Z661" s="85"/>
      <c r="AA661" s="85" t="str">
        <f>IF(AND(MONTH(E661)='IN-NX'!$J$5,'IN-NX'!$D$7=D661),"x","")</f>
        <v/>
      </c>
      <c r="AB661" s="85" t="str">
        <f>IF(AND(OR(LEFT(TH!N661,2)="15",LEFT(TH!O661,2)="15"),'152-CT'!$J$8=TH!F661),"x","")</f>
        <v/>
      </c>
      <c r="AC661" s="85" t="str">
        <f>IF(AND(OR(LEFT(TH!N661,2)="15",LEFT(TH!O661,2)="15"),TK!$E$7=TH!F661),"x","")</f>
        <v/>
      </c>
      <c r="AD661" s="85" t="str">
        <f>IF(AND(N661="1521",MONTH(C661)='BK-NL'!$M$11),"x","")</f>
        <v/>
      </c>
    </row>
    <row r="662" spans="1:30" ht="15.75" customHeight="1">
      <c r="A662" s="343" t="str">
        <f>IF(B662&lt;&gt;"",IF(AND(B662='IN-TC'!$S$4,OR(TH!N662="1111",TH!O662="1111")),TH!D662,""),"")</f>
        <v/>
      </c>
      <c r="B662" s="63">
        <f t="shared" si="62"/>
        <v>3</v>
      </c>
      <c r="C662" s="64">
        <v>42460</v>
      </c>
      <c r="D662" s="64" t="s">
        <v>927</v>
      </c>
      <c r="E662" s="64">
        <f>C662</f>
        <v>42460</v>
      </c>
      <c r="F662" s="67" t="s">
        <v>1384</v>
      </c>
      <c r="G662" s="996" t="s">
        <v>1385</v>
      </c>
      <c r="H662" s="7" t="s">
        <v>1386</v>
      </c>
      <c r="I662" s="447"/>
      <c r="J662" s="447"/>
      <c r="K662" s="438"/>
      <c r="L662" s="447"/>
      <c r="M662" s="65">
        <v>2967</v>
      </c>
      <c r="N662" s="66" t="s">
        <v>9</v>
      </c>
      <c r="O662" s="66" t="s">
        <v>63</v>
      </c>
      <c r="P662" s="85" t="str">
        <f>IF(AND('331-CT'!$E$7=TH!H662,OR(N662="331",O662="331")),"x","")</f>
        <v/>
      </c>
      <c r="Q662" s="85" t="str">
        <f>IF(AND(B662='111'!$L$11,OR($N662=$Q$7,$O662=$Q$7)),"x","")</f>
        <v/>
      </c>
      <c r="R662" s="85" t="str">
        <f>IF(AND($N662=$Q$7,$B662&lt;'111'!$L$11),"x","")</f>
        <v/>
      </c>
      <c r="S662" s="85" t="str">
        <f>IF(AND($O662=$Q$7,$B662&lt;'111'!$L$11),"x","")</f>
        <v/>
      </c>
      <c r="T662" s="85" t="str">
        <f>IF(ISERROR(FIND('112'!$M$9,G662,1)),"",IF((AND(FIND('112'!$M$9,G662,1)&gt;=1,B662='112'!$K$9,OR($N662='112'!$I$6,$O662='112'!$I$6))),"x",""))</f>
        <v/>
      </c>
      <c r="U662" s="85" t="str">
        <f>IF(ISERROR(FIND('112'!$M$9,G662,1)),"",IF((AND(LEFT(G662,2)=LEFT('112'!$M$9,2),B662&lt;'112'!$K$9,$N662='112'!$I$6)),"x",""))</f>
        <v/>
      </c>
      <c r="V662" s="85" t="str">
        <f>IF(ISERROR(FIND('112'!$M$9,G662,1)),"",IF((AND(RIGHT(G662,2)=RIGHT('112'!$M$9,2),B662&lt;'112'!$K$9,$O662='112'!$I$6)),"x",""))</f>
        <v/>
      </c>
      <c r="W662" s="85" t="str">
        <f>IF(AND('341-CT'!$H$9=H662,OR(LEFT(N662,3)=$W$7,LEFT(O662,3)=$W$7)),"x","")</f>
        <v/>
      </c>
      <c r="X662" s="85" t="str">
        <f>IF(OR(TH!N662=TH!$X$7,O662=TH!$X$7),"x","")</f>
        <v/>
      </c>
      <c r="Y662" s="85" t="str">
        <f>IF(AND(OR(N662="131",O662="131"),H662='131-CT'!$H$9),"x","")</f>
        <v/>
      </c>
      <c r="Z662" s="85"/>
      <c r="AA662" s="85" t="str">
        <f>IF(AND(MONTH(E662)='IN-NX'!$J$5,'IN-NX'!$D$7=D662),"x","")</f>
        <v/>
      </c>
      <c r="AB662" s="85" t="str">
        <f>IF(AND(OR(LEFT(TH!N662,2)="15",LEFT(TH!O662,2)="15"),'152-CT'!$J$8=TH!F662),"x","")</f>
        <v/>
      </c>
      <c r="AC662" s="85" t="str">
        <f>IF(AND(OR(LEFT(TH!N662,2)="15",LEFT(TH!O662,2)="15"),TK!$E$7=TH!F662),"x","")</f>
        <v/>
      </c>
      <c r="AD662" s="85" t="str">
        <f>IF(AND(N662="1521",MONTH(C662)='BK-NL'!$M$11),"x","")</f>
        <v/>
      </c>
    </row>
    <row r="663" spans="1:30" s="354" customFormat="1" ht="15.75" customHeight="1">
      <c r="A663" s="343" t="str">
        <f>IF(B663&lt;&gt;"",IF(AND(B663='IN-TC'!$S$4,OR(TH!N663="1111",TH!O663="1111")),TH!D663,""),"")</f>
        <v/>
      </c>
      <c r="B663" s="1026">
        <f t="shared" si="62"/>
        <v>3</v>
      </c>
      <c r="C663" s="81">
        <v>42460</v>
      </c>
      <c r="D663" s="64" t="s">
        <v>976</v>
      </c>
      <c r="E663" s="81">
        <v>42460</v>
      </c>
      <c r="F663" s="82" t="s">
        <v>1241</v>
      </c>
      <c r="G663" s="999"/>
      <c r="H663" s="83" t="s">
        <v>860</v>
      </c>
      <c r="I663" s="445"/>
      <c r="J663" s="445"/>
      <c r="K663" s="436"/>
      <c r="L663" s="445"/>
      <c r="M663" s="84">
        <v>140728119</v>
      </c>
      <c r="N663" s="85" t="s">
        <v>595</v>
      </c>
      <c r="O663" s="85" t="s">
        <v>63</v>
      </c>
      <c r="P663" s="85" t="str">
        <f>IF(AND('331-CT'!$E$7=TH!H663,OR(N663="331",O663="331")),"x","")</f>
        <v/>
      </c>
      <c r="Q663" s="85" t="str">
        <f>IF(AND(B663='111'!$L$11,OR($N663=$Q$7,$O663=$Q$7)),"x","")</f>
        <v/>
      </c>
      <c r="R663" s="85" t="str">
        <f>IF(AND($N663=$Q$7,$B663&lt;'111'!$L$11),"x","")</f>
        <v/>
      </c>
      <c r="S663" s="85" t="str">
        <f>IF(AND($O663=$Q$7,$B663&lt;'111'!$L$11),"x","")</f>
        <v/>
      </c>
      <c r="T663" s="85" t="str">
        <f>IF(ISERROR(FIND('112'!$M$9,G663,1)),"",IF((AND(FIND('112'!$M$9,G663,1)&gt;=1,B663='112'!$K$9,OR($N663='112'!$I$6,$O663='112'!$I$6))),"x",""))</f>
        <v/>
      </c>
      <c r="U663" s="85" t="str">
        <f>IF(ISERROR(FIND('112'!$M$9,G663,1)),"",IF((AND(LEFT(G663,2)=LEFT('112'!$M$9,2),B663&lt;'112'!$K$9,$N663='112'!$I$6)),"x",""))</f>
        <v/>
      </c>
      <c r="V663" s="85" t="str">
        <f>IF(ISERROR(FIND('112'!$M$9,G663,1)),"",IF((AND(RIGHT(G663,2)=RIGHT('112'!$M$9,2),B663&lt;'112'!$K$9,$O663='112'!$I$6)),"x",""))</f>
        <v/>
      </c>
      <c r="W663" s="85" t="str">
        <f>IF(AND('341-CT'!$H$9=H663,OR(LEFT(N663,3)=$W$7,LEFT(O663,3)=$W$7)),"x","")</f>
        <v/>
      </c>
      <c r="X663" s="85" t="str">
        <f>IF(OR(TH!N663=TH!$X$7,O663=TH!$X$7),"x","")</f>
        <v/>
      </c>
      <c r="Y663" s="85" t="str">
        <f>IF(AND(OR(N663="131",O663="131"),H663='131-CT'!$H$9),"x","")</f>
        <v/>
      </c>
      <c r="Z663" s="85"/>
      <c r="AA663" s="85" t="str">
        <f>IF(AND(MONTH(E663)='IN-NX'!$J$5,'IN-NX'!$D$7=D663),"x","")</f>
        <v/>
      </c>
      <c r="AB663" s="85" t="str">
        <f>IF(AND(OR(LEFT(TH!N663,2)="15",LEFT(TH!O663,2)="15"),'152-CT'!$J$8=TH!F663),"x","")</f>
        <v/>
      </c>
      <c r="AC663" s="85" t="str">
        <f>IF(AND(OR(LEFT(TH!N663,2)="15",LEFT(TH!O663,2)="15"),TK!$E$7=TH!F663),"x","")</f>
        <v/>
      </c>
      <c r="AD663" s="85" t="str">
        <f>IF(AND(N663="1521",MONTH(C663)='BK-NL'!$M$11),"x","")</f>
        <v/>
      </c>
    </row>
    <row r="664" spans="1:30" s="348" customFormat="1" ht="15.75" customHeight="1">
      <c r="A664" s="343" t="str">
        <f>IF(B664&lt;&gt;"",IF(AND(B664='IN-TC'!$S$4,OR(TH!N664="1111",TH!O664="1111")),TH!D664,""),"")</f>
        <v/>
      </c>
      <c r="B664" s="63">
        <f t="shared" ref="B664:B688" si="63">IF(C664&lt;&gt;"",MONTH(C664),"")</f>
        <v>1</v>
      </c>
      <c r="C664" s="64">
        <v>42400</v>
      </c>
      <c r="D664" s="64" t="s">
        <v>585</v>
      </c>
      <c r="E664" s="64">
        <v>42370</v>
      </c>
      <c r="F664" s="67" t="s">
        <v>639</v>
      </c>
      <c r="G664" s="67" t="s">
        <v>659</v>
      </c>
      <c r="H664" s="74" t="s">
        <v>635</v>
      </c>
      <c r="I664" s="447"/>
      <c r="J664" s="447"/>
      <c r="K664" s="438"/>
      <c r="L664" s="447"/>
      <c r="M664" s="65">
        <v>10134000</v>
      </c>
      <c r="N664" s="66" t="s">
        <v>594</v>
      </c>
      <c r="O664" s="66" t="s">
        <v>8</v>
      </c>
      <c r="P664" s="85" t="str">
        <f>IF(AND('331-CT'!$E$7=TH!H664,OR(N664="331",O664="331")),"x","")</f>
        <v/>
      </c>
      <c r="Q664" s="85" t="str">
        <f>IF(AND(B664='111'!$L$11,OR($N664=$Q$7,$O664=$Q$7)),"x","")</f>
        <v/>
      </c>
      <c r="R664" s="85" t="str">
        <f>IF(AND($N664=$Q$7,$B664&lt;'111'!$L$11),"x","")</f>
        <v/>
      </c>
      <c r="S664" s="85" t="str">
        <f>IF(AND($O664=$Q$7,$B664&lt;'111'!$L$11),"x","")</f>
        <v/>
      </c>
      <c r="T664" s="85" t="str">
        <f>IF(ISERROR(FIND('112'!$M$9,G664,1)),"",IF((AND(FIND('112'!$M$9,G664,1)&gt;=1,B664='112'!$K$9,OR($N664='112'!$I$6,$O664='112'!$I$6))),"x",""))</f>
        <v/>
      </c>
      <c r="U664" s="85" t="str">
        <f>IF(ISERROR(FIND('112'!$M$9,G664,1)),"",IF((AND(LEFT(G664,2)=LEFT('112'!$M$9,2),B664&lt;'112'!$K$9,$N664='112'!$I$6)),"x",""))</f>
        <v/>
      </c>
      <c r="V664" s="85" t="str">
        <f>IF(ISERROR(FIND('112'!$M$9,G664,1)),"",IF((AND(RIGHT(G664,2)=RIGHT('112'!$M$9,2),B664&lt;'112'!$K$9,$O664='112'!$I$6)),"x",""))</f>
        <v/>
      </c>
      <c r="W664" s="85" t="str">
        <f>IF(AND('341-CT'!$H$9=H664,OR(LEFT(N664,3)=$W$7,LEFT(O664,3)=$W$7)),"x","")</f>
        <v/>
      </c>
      <c r="X664" s="85" t="str">
        <f>IF(OR(TH!N664=TH!$X$7,O664=TH!$X$7),"x","")</f>
        <v/>
      </c>
      <c r="Y664" s="85" t="str">
        <f>IF(AND(OR(N664="131",O664="131"),H664='131-CT'!$H$9),"x","")</f>
        <v/>
      </c>
      <c r="Z664" s="85"/>
      <c r="AA664" s="85" t="str">
        <f>IF(AND(MONTH(E664)='IN-NX'!$J$5,'IN-NX'!$D$7=D664),"x","")</f>
        <v/>
      </c>
      <c r="AB664" s="85" t="str">
        <f>IF(AND(OR(LEFT(TH!N664,2)="15",LEFT(TH!O664,2)="15"),'152-CT'!$J$8=TH!F664),"x","")</f>
        <v/>
      </c>
      <c r="AC664" s="85" t="str">
        <f>IF(AND(OR(LEFT(TH!N664,2)="15",LEFT(TH!O664,2)="15"),TK!$E$7=TH!F664),"x","")</f>
        <v/>
      </c>
      <c r="AD664" s="85" t="str">
        <f>IF(AND(N664="1521",MONTH(C664)='BK-NL'!$M$11),"x","")</f>
        <v/>
      </c>
    </row>
    <row r="665" spans="1:30" s="348" customFormat="1" ht="15.75" customHeight="1">
      <c r="A665" s="343" t="str">
        <f>IF(B665&lt;&gt;"",IF(AND(B665='IN-TC'!$S$4,OR(TH!N665="1111",TH!O665="1111")),TH!D665,""),"")</f>
        <v/>
      </c>
      <c r="B665" s="63">
        <f t="shared" si="63"/>
        <v>1</v>
      </c>
      <c r="C665" s="64">
        <v>42400</v>
      </c>
      <c r="D665" s="64" t="s">
        <v>585</v>
      </c>
      <c r="E665" s="64">
        <v>42370</v>
      </c>
      <c r="F665" s="67" t="s">
        <v>640</v>
      </c>
      <c r="G665" s="67" t="s">
        <v>660</v>
      </c>
      <c r="H665" s="74" t="s">
        <v>635</v>
      </c>
      <c r="I665" s="447"/>
      <c r="J665" s="447"/>
      <c r="K665" s="438"/>
      <c r="L665" s="447"/>
      <c r="M665" s="65">
        <v>6823560</v>
      </c>
      <c r="N665" s="66" t="s">
        <v>594</v>
      </c>
      <c r="O665" s="66" t="s">
        <v>8</v>
      </c>
      <c r="P665" s="85" t="str">
        <f>IF(AND('331-CT'!$E$7=TH!H665,OR(N665="331",O665="331")),"x","")</f>
        <v/>
      </c>
      <c r="Q665" s="85" t="str">
        <f>IF(AND(B665='111'!$L$11,OR($N665=$Q$7,$O665=$Q$7)),"x","")</f>
        <v/>
      </c>
      <c r="R665" s="85" t="str">
        <f>IF(AND($N665=$Q$7,$B665&lt;'111'!$L$11),"x","")</f>
        <v/>
      </c>
      <c r="S665" s="85" t="str">
        <f>IF(AND($O665=$Q$7,$B665&lt;'111'!$L$11),"x","")</f>
        <v/>
      </c>
      <c r="T665" s="85" t="str">
        <f>IF(ISERROR(FIND('112'!$M$9,G665,1)),"",IF((AND(FIND('112'!$M$9,G665,1)&gt;=1,B665='112'!$K$9,OR($N665='112'!$I$6,$O665='112'!$I$6))),"x",""))</f>
        <v/>
      </c>
      <c r="U665" s="85" t="str">
        <f>IF(ISERROR(FIND('112'!$M$9,G665,1)),"",IF((AND(LEFT(G665,2)=LEFT('112'!$M$9,2),B665&lt;'112'!$K$9,$N665='112'!$I$6)),"x",""))</f>
        <v/>
      </c>
      <c r="V665" s="85" t="str">
        <f>IF(ISERROR(FIND('112'!$M$9,G665,1)),"",IF((AND(RIGHT(G665,2)=RIGHT('112'!$M$9,2),B665&lt;'112'!$K$9,$O665='112'!$I$6)),"x",""))</f>
        <v/>
      </c>
      <c r="W665" s="85" t="str">
        <f>IF(AND('341-CT'!$H$9=H665,OR(LEFT(N665,3)=$W$7,LEFT(O665,3)=$W$7)),"x","")</f>
        <v/>
      </c>
      <c r="X665" s="85" t="str">
        <f>IF(OR(TH!N665=TH!$X$7,O665=TH!$X$7),"x","")</f>
        <v/>
      </c>
      <c r="Y665" s="85" t="str">
        <f>IF(AND(OR(N665="131",O665="131"),H665='131-CT'!$H$9),"x","")</f>
        <v/>
      </c>
      <c r="Z665" s="85"/>
      <c r="AA665" s="85" t="str">
        <f>IF(AND(MONTH(E665)='IN-NX'!$J$5,'IN-NX'!$D$7=D665),"x","")</f>
        <v/>
      </c>
      <c r="AB665" s="85" t="str">
        <f>IF(AND(OR(LEFT(TH!N665,2)="15",LEFT(TH!O665,2)="15"),'152-CT'!$J$8=TH!F665),"x","")</f>
        <v/>
      </c>
      <c r="AC665" s="85" t="str">
        <f>IF(AND(OR(LEFT(TH!N665,2)="15",LEFT(TH!O665,2)="15"),TK!$E$7=TH!F665),"x","")</f>
        <v/>
      </c>
      <c r="AD665" s="85" t="str">
        <f>IF(AND(N665="1521",MONTH(C665)='BK-NL'!$M$11),"x","")</f>
        <v/>
      </c>
    </row>
    <row r="666" spans="1:30" s="348" customFormat="1" ht="15.75" customHeight="1">
      <c r="A666" s="343" t="str">
        <f>IF(B666&lt;&gt;"",IF(AND(B666='IN-TC'!$S$4,OR(TH!N666="1111",TH!O666="1111")),TH!D666,""),"")</f>
        <v/>
      </c>
      <c r="B666" s="63">
        <f t="shared" si="63"/>
        <v>1</v>
      </c>
      <c r="C666" s="64">
        <v>42400</v>
      </c>
      <c r="D666" s="64" t="s">
        <v>585</v>
      </c>
      <c r="E666" s="64">
        <v>42370</v>
      </c>
      <c r="F666" s="67" t="s">
        <v>641</v>
      </c>
      <c r="G666" s="67" t="s">
        <v>660</v>
      </c>
      <c r="H666" s="74" t="s">
        <v>635</v>
      </c>
      <c r="I666" s="447"/>
      <c r="J666" s="447"/>
      <c r="K666" s="438"/>
      <c r="L666" s="447"/>
      <c r="M666" s="65">
        <v>682356</v>
      </c>
      <c r="N666" s="66" t="s">
        <v>9</v>
      </c>
      <c r="O666" s="66" t="s">
        <v>8</v>
      </c>
      <c r="P666" s="85" t="str">
        <f>IF(AND('331-CT'!$E$7=TH!H666,OR(N666="331",O666="331")),"x","")</f>
        <v/>
      </c>
      <c r="Q666" s="85" t="str">
        <f>IF(AND(B666='111'!$L$11,OR($N666=$Q$7,$O666=$Q$7)),"x","")</f>
        <v/>
      </c>
      <c r="R666" s="85" t="str">
        <f>IF(AND($N666=$Q$7,$B666&lt;'111'!$L$11),"x","")</f>
        <v/>
      </c>
      <c r="S666" s="85" t="str">
        <f>IF(AND($O666=$Q$7,$B666&lt;'111'!$L$11),"x","")</f>
        <v/>
      </c>
      <c r="T666" s="85" t="str">
        <f>IF(ISERROR(FIND('112'!$M$9,G666,1)),"",IF((AND(FIND('112'!$M$9,G666,1)&gt;=1,B666='112'!$K$9,OR($N666='112'!$I$6,$O666='112'!$I$6))),"x",""))</f>
        <v/>
      </c>
      <c r="U666" s="85" t="str">
        <f>IF(ISERROR(FIND('112'!$M$9,G666,1)),"",IF((AND(LEFT(G666,2)=LEFT('112'!$M$9,2),B666&lt;'112'!$K$9,$N666='112'!$I$6)),"x",""))</f>
        <v/>
      </c>
      <c r="V666" s="85" t="str">
        <f>IF(ISERROR(FIND('112'!$M$9,G666,1)),"",IF((AND(RIGHT(G666,2)=RIGHT('112'!$M$9,2),B666&lt;'112'!$K$9,$O666='112'!$I$6)),"x",""))</f>
        <v/>
      </c>
      <c r="W666" s="85" t="str">
        <f>IF(AND('341-CT'!$H$9=H666,OR(LEFT(N666,3)=$W$7,LEFT(O666,3)=$W$7)),"x","")</f>
        <v/>
      </c>
      <c r="X666" s="85" t="str">
        <f>IF(OR(TH!N666=TH!$X$7,O666=TH!$X$7),"x","")</f>
        <v/>
      </c>
      <c r="Y666" s="85" t="str">
        <f>IF(AND(OR(N666="131",O666="131"),H666='131-CT'!$H$9),"x","")</f>
        <v/>
      </c>
      <c r="Z666" s="85"/>
      <c r="AA666" s="85" t="str">
        <f>IF(AND(MONTH(E666)='IN-NX'!$J$5,'IN-NX'!$D$7=D666),"x","")</f>
        <v/>
      </c>
      <c r="AB666" s="85" t="str">
        <f>IF(AND(OR(LEFT(TH!N666,2)="15",LEFT(TH!O666,2)="15"),'152-CT'!$J$8=TH!F666),"x","")</f>
        <v/>
      </c>
      <c r="AC666" s="85" t="str">
        <f>IF(AND(OR(LEFT(TH!N666,2)="15",LEFT(TH!O666,2)="15"),TK!$E$7=TH!F666),"x","")</f>
        <v/>
      </c>
      <c r="AD666" s="85" t="str">
        <f>IF(AND(N666="1521",MONTH(C666)='BK-NL'!$M$11),"x","")</f>
        <v/>
      </c>
    </row>
    <row r="667" spans="1:30" s="348" customFormat="1" ht="15.75" customHeight="1">
      <c r="A667" s="343" t="str">
        <f>IF(B667&lt;&gt;"",IF(AND(B667='IN-TC'!$S$4,OR(TH!N667="1111",TH!O667="1111")),TH!D667,""),"")</f>
        <v/>
      </c>
      <c r="B667" s="63">
        <f t="shared" si="63"/>
        <v>1</v>
      </c>
      <c r="C667" s="64">
        <v>42400</v>
      </c>
      <c r="D667" s="64" t="s">
        <v>585</v>
      </c>
      <c r="E667" s="64">
        <v>42369</v>
      </c>
      <c r="F667" s="67" t="s">
        <v>642</v>
      </c>
      <c r="G667" s="67" t="s">
        <v>661</v>
      </c>
      <c r="H667" s="74" t="s">
        <v>633</v>
      </c>
      <c r="I667" s="447"/>
      <c r="J667" s="447"/>
      <c r="K667" s="438"/>
      <c r="L667" s="447"/>
      <c r="M667" s="65">
        <v>4645000</v>
      </c>
      <c r="N667" s="66" t="s">
        <v>594</v>
      </c>
      <c r="O667" s="66" t="s">
        <v>8</v>
      </c>
      <c r="P667" s="85" t="str">
        <f>IF(AND('331-CT'!$E$7=TH!H667,OR(N667="331",O667="331")),"x","")</f>
        <v/>
      </c>
      <c r="Q667" s="85" t="str">
        <f>IF(AND(B667='111'!$L$11,OR($N667=$Q$7,$O667=$Q$7)),"x","")</f>
        <v/>
      </c>
      <c r="R667" s="85" t="str">
        <f>IF(AND($N667=$Q$7,$B667&lt;'111'!$L$11),"x","")</f>
        <v/>
      </c>
      <c r="S667" s="85" t="str">
        <f>IF(AND($O667=$Q$7,$B667&lt;'111'!$L$11),"x","")</f>
        <v/>
      </c>
      <c r="T667" s="85" t="str">
        <f>IF(ISERROR(FIND('112'!$M$9,G667,1)),"",IF((AND(FIND('112'!$M$9,G667,1)&gt;=1,B667='112'!$K$9,OR($N667='112'!$I$6,$O667='112'!$I$6))),"x",""))</f>
        <v/>
      </c>
      <c r="U667" s="85" t="str">
        <f>IF(ISERROR(FIND('112'!$M$9,G667,1)),"",IF((AND(LEFT(G667,2)=LEFT('112'!$M$9,2),B667&lt;'112'!$K$9,$N667='112'!$I$6)),"x",""))</f>
        <v/>
      </c>
      <c r="V667" s="85" t="str">
        <f>IF(ISERROR(FIND('112'!$M$9,G667,1)),"",IF((AND(RIGHT(G667,2)=RIGHT('112'!$M$9,2),B667&lt;'112'!$K$9,$O667='112'!$I$6)),"x",""))</f>
        <v/>
      </c>
      <c r="W667" s="85" t="str">
        <f>IF(AND('341-CT'!$H$9=H667,OR(LEFT(N667,3)=$W$7,LEFT(O667,3)=$W$7)),"x","")</f>
        <v/>
      </c>
      <c r="X667" s="85" t="str">
        <f>IF(OR(TH!N667=TH!$X$7,O667=TH!$X$7),"x","")</f>
        <v/>
      </c>
      <c r="Y667" s="85" t="str">
        <f>IF(AND(OR(N667="131",O667="131"),H667='131-CT'!$H$9),"x","")</f>
        <v/>
      </c>
      <c r="Z667" s="85"/>
      <c r="AA667" s="85" t="str">
        <f>IF(AND(MONTH(E667)='IN-NX'!$J$5,'IN-NX'!$D$7=D667),"x","")</f>
        <v/>
      </c>
      <c r="AB667" s="85" t="str">
        <f>IF(AND(OR(LEFT(TH!N667,2)="15",LEFT(TH!O667,2)="15"),'152-CT'!$J$8=TH!F667),"x","")</f>
        <v/>
      </c>
      <c r="AC667" s="85" t="str">
        <f>IF(AND(OR(LEFT(TH!N667,2)="15",LEFT(TH!O667,2)="15"),TK!$E$7=TH!F667),"x","")</f>
        <v/>
      </c>
      <c r="AD667" s="85" t="str">
        <f>IF(AND(N667="1521",MONTH(C667)='BK-NL'!$M$11),"x","")</f>
        <v/>
      </c>
    </row>
    <row r="668" spans="1:30" s="348" customFormat="1" ht="15.75" customHeight="1">
      <c r="A668" s="343" t="str">
        <f>IF(B668&lt;&gt;"",IF(AND(B668='IN-TC'!$S$4,OR(TH!N668="1111",TH!O668="1111")),TH!D668,""),"")</f>
        <v/>
      </c>
      <c r="B668" s="63">
        <f t="shared" si="63"/>
        <v>1</v>
      </c>
      <c r="C668" s="64">
        <v>42400</v>
      </c>
      <c r="D668" s="64" t="s">
        <v>585</v>
      </c>
      <c r="E668" s="64">
        <v>42369</v>
      </c>
      <c r="F668" s="67" t="s">
        <v>642</v>
      </c>
      <c r="G668" s="67" t="s">
        <v>662</v>
      </c>
      <c r="H668" s="74" t="s">
        <v>633</v>
      </c>
      <c r="I668" s="447"/>
      <c r="J668" s="447"/>
      <c r="K668" s="438"/>
      <c r="L668" s="447"/>
      <c r="M668" s="65">
        <v>1300000</v>
      </c>
      <c r="N668" s="66" t="s">
        <v>594</v>
      </c>
      <c r="O668" s="66" t="s">
        <v>8</v>
      </c>
      <c r="P668" s="85" t="str">
        <f>IF(AND('331-CT'!$E$7=TH!H668,OR(N668="331",O668="331")),"x","")</f>
        <v/>
      </c>
      <c r="Q668" s="85" t="str">
        <f>IF(AND(B668='111'!$L$11,OR($N668=$Q$7,$O668=$Q$7)),"x","")</f>
        <v/>
      </c>
      <c r="R668" s="85" t="str">
        <f>IF(AND($N668=$Q$7,$B668&lt;'111'!$L$11),"x","")</f>
        <v/>
      </c>
      <c r="S668" s="85" t="str">
        <f>IF(AND($O668=$Q$7,$B668&lt;'111'!$L$11),"x","")</f>
        <v/>
      </c>
      <c r="T668" s="85" t="str">
        <f>IF(ISERROR(FIND('112'!$M$9,G668,1)),"",IF((AND(FIND('112'!$M$9,G668,1)&gt;=1,B668='112'!$K$9,OR($N668='112'!$I$6,$O668='112'!$I$6))),"x",""))</f>
        <v/>
      </c>
      <c r="U668" s="85" t="str">
        <f>IF(ISERROR(FIND('112'!$M$9,G668,1)),"",IF((AND(LEFT(G668,2)=LEFT('112'!$M$9,2),B668&lt;'112'!$K$9,$N668='112'!$I$6)),"x",""))</f>
        <v/>
      </c>
      <c r="V668" s="85" t="str">
        <f>IF(ISERROR(FIND('112'!$M$9,G668,1)),"",IF((AND(RIGHT(G668,2)=RIGHT('112'!$M$9,2),B668&lt;'112'!$K$9,$O668='112'!$I$6)),"x",""))</f>
        <v/>
      </c>
      <c r="W668" s="85" t="str">
        <f>IF(AND('341-CT'!$H$9=H668,OR(LEFT(N668,3)=$W$7,LEFT(O668,3)=$W$7)),"x","")</f>
        <v/>
      </c>
      <c r="X668" s="85" t="str">
        <f>IF(OR(TH!N668=TH!$X$7,O668=TH!$X$7),"x","")</f>
        <v/>
      </c>
      <c r="Y668" s="85" t="str">
        <f>IF(AND(OR(N668="131",O668="131"),H668='131-CT'!$H$9),"x","")</f>
        <v/>
      </c>
      <c r="Z668" s="85"/>
      <c r="AA668" s="85" t="str">
        <f>IF(AND(MONTH(E668)='IN-NX'!$J$5,'IN-NX'!$D$7=D668),"x","")</f>
        <v/>
      </c>
      <c r="AB668" s="85" t="str">
        <f>IF(AND(OR(LEFT(TH!N668,2)="15",LEFT(TH!O668,2)="15"),'152-CT'!$J$8=TH!F668),"x","")</f>
        <v/>
      </c>
      <c r="AC668" s="85" t="str">
        <f>IF(AND(OR(LEFT(TH!N668,2)="15",LEFT(TH!O668,2)="15"),TK!$E$7=TH!F668),"x","")</f>
        <v/>
      </c>
      <c r="AD668" s="85" t="str">
        <f>IF(AND(N668="1521",MONTH(C668)='BK-NL'!$M$11),"x","")</f>
        <v/>
      </c>
    </row>
    <row r="669" spans="1:30" s="348" customFormat="1" ht="15.75" customHeight="1">
      <c r="A669" s="343" t="str">
        <f>IF(B669&lt;&gt;"",IF(AND(B669='IN-TC'!$S$4,OR(TH!N669="1111",TH!O669="1111")),TH!D669,""),"")</f>
        <v/>
      </c>
      <c r="B669" s="63">
        <f t="shared" si="63"/>
        <v>1</v>
      </c>
      <c r="C669" s="64">
        <v>42400</v>
      </c>
      <c r="D669" s="64" t="s">
        <v>585</v>
      </c>
      <c r="E669" s="64">
        <v>42380</v>
      </c>
      <c r="F669" s="67" t="s">
        <v>643</v>
      </c>
      <c r="G669" s="67" t="s">
        <v>663</v>
      </c>
      <c r="H669" s="74" t="s">
        <v>634</v>
      </c>
      <c r="I669" s="447"/>
      <c r="J669" s="447"/>
      <c r="K669" s="438"/>
      <c r="L669" s="447"/>
      <c r="M669" s="65">
        <v>2000000</v>
      </c>
      <c r="N669" s="66" t="s">
        <v>594</v>
      </c>
      <c r="O669" s="66" t="s">
        <v>8</v>
      </c>
      <c r="P669" s="85" t="str">
        <f>IF(AND('331-CT'!$E$7=TH!H669,OR(N669="331",O669="331")),"x","")</f>
        <v/>
      </c>
      <c r="Q669" s="85" t="str">
        <f>IF(AND(B669='111'!$L$11,OR($N669=$Q$7,$O669=$Q$7)),"x","")</f>
        <v/>
      </c>
      <c r="R669" s="85" t="str">
        <f>IF(AND($N669=$Q$7,$B669&lt;'111'!$L$11),"x","")</f>
        <v/>
      </c>
      <c r="S669" s="85" t="str">
        <f>IF(AND($O669=$Q$7,$B669&lt;'111'!$L$11),"x","")</f>
        <v/>
      </c>
      <c r="T669" s="85" t="str">
        <f>IF(ISERROR(FIND('112'!$M$9,G669,1)),"",IF((AND(FIND('112'!$M$9,G669,1)&gt;=1,B669='112'!$K$9,OR($N669='112'!$I$6,$O669='112'!$I$6))),"x",""))</f>
        <v/>
      </c>
      <c r="U669" s="85" t="str">
        <f>IF(ISERROR(FIND('112'!$M$9,G669,1)),"",IF((AND(LEFT(G669,2)=LEFT('112'!$M$9,2),B669&lt;'112'!$K$9,$N669='112'!$I$6)),"x",""))</f>
        <v/>
      </c>
      <c r="V669" s="85" t="str">
        <f>IF(ISERROR(FIND('112'!$M$9,G669,1)),"",IF((AND(RIGHT(G669,2)=RIGHT('112'!$M$9,2),B669&lt;'112'!$K$9,$O669='112'!$I$6)),"x",""))</f>
        <v/>
      </c>
      <c r="W669" s="85" t="str">
        <f>IF(AND('341-CT'!$H$9=H669,OR(LEFT(N669,3)=$W$7,LEFT(O669,3)=$W$7)),"x","")</f>
        <v/>
      </c>
      <c r="X669" s="85" t="str">
        <f>IF(OR(TH!N669=TH!$X$7,O669=TH!$X$7),"x","")</f>
        <v/>
      </c>
      <c r="Y669" s="85" t="str">
        <f>IF(AND(OR(N669="131",O669="131"),H669='131-CT'!$H$9),"x","")</f>
        <v/>
      </c>
      <c r="Z669" s="85"/>
      <c r="AA669" s="85" t="str">
        <f>IF(AND(MONTH(E669)='IN-NX'!$J$5,'IN-NX'!$D$7=D669),"x","")</f>
        <v/>
      </c>
      <c r="AB669" s="85" t="str">
        <f>IF(AND(OR(LEFT(TH!N669,2)="15",LEFT(TH!O669,2)="15"),'152-CT'!$J$8=TH!F669),"x","")</f>
        <v/>
      </c>
      <c r="AC669" s="85" t="str">
        <f>IF(AND(OR(LEFT(TH!N669,2)="15",LEFT(TH!O669,2)="15"),TK!$E$7=TH!F669),"x","")</f>
        <v/>
      </c>
      <c r="AD669" s="85" t="str">
        <f>IF(AND(N669="1521",MONTH(C669)='BK-NL'!$M$11),"x","")</f>
        <v/>
      </c>
    </row>
    <row r="670" spans="1:30" s="348" customFormat="1" ht="15.75" customHeight="1">
      <c r="A670" s="343" t="str">
        <f>IF(B670&lt;&gt;"",IF(AND(B670='IN-TC'!$S$4,OR(TH!N670="1111",TH!O670="1111")),TH!D670,""),"")</f>
        <v/>
      </c>
      <c r="B670" s="63">
        <f t="shared" si="63"/>
        <v>1</v>
      </c>
      <c r="C670" s="64">
        <v>42400</v>
      </c>
      <c r="D670" s="64" t="s">
        <v>585</v>
      </c>
      <c r="E670" s="64">
        <v>42380</v>
      </c>
      <c r="F670" s="67" t="s">
        <v>644</v>
      </c>
      <c r="G670" s="67" t="s">
        <v>663</v>
      </c>
      <c r="H670" s="74" t="s">
        <v>634</v>
      </c>
      <c r="I670" s="447"/>
      <c r="J670" s="447"/>
      <c r="K670" s="438"/>
      <c r="L670" s="447"/>
      <c r="M670" s="65">
        <v>200000</v>
      </c>
      <c r="N670" s="66" t="s">
        <v>9</v>
      </c>
      <c r="O670" s="66" t="s">
        <v>8</v>
      </c>
      <c r="P670" s="85" t="str">
        <f>IF(AND('331-CT'!$E$7=TH!H670,OR(N670="331",O670="331")),"x","")</f>
        <v/>
      </c>
      <c r="Q670" s="85" t="str">
        <f>IF(AND(B670='111'!$L$11,OR($N670=$Q$7,$O670=$Q$7)),"x","")</f>
        <v/>
      </c>
      <c r="R670" s="85" t="str">
        <f>IF(AND($N670=$Q$7,$B670&lt;'111'!$L$11),"x","")</f>
        <v/>
      </c>
      <c r="S670" s="85" t="str">
        <f>IF(AND($O670=$Q$7,$B670&lt;'111'!$L$11),"x","")</f>
        <v/>
      </c>
      <c r="T670" s="85" t="str">
        <f>IF(ISERROR(FIND('112'!$M$9,G670,1)),"",IF((AND(FIND('112'!$M$9,G670,1)&gt;=1,B670='112'!$K$9,OR($N670='112'!$I$6,$O670='112'!$I$6))),"x",""))</f>
        <v/>
      </c>
      <c r="U670" s="85" t="str">
        <f>IF(ISERROR(FIND('112'!$M$9,G670,1)),"",IF((AND(LEFT(G670,2)=LEFT('112'!$M$9,2),B670&lt;'112'!$K$9,$N670='112'!$I$6)),"x",""))</f>
        <v/>
      </c>
      <c r="V670" s="85" t="str">
        <f>IF(ISERROR(FIND('112'!$M$9,G670,1)),"",IF((AND(RIGHT(G670,2)=RIGHT('112'!$M$9,2),B670&lt;'112'!$K$9,$O670='112'!$I$6)),"x",""))</f>
        <v/>
      </c>
      <c r="W670" s="85" t="str">
        <f>IF(AND('341-CT'!$H$9=H670,OR(LEFT(N670,3)=$W$7,LEFT(O670,3)=$W$7)),"x","")</f>
        <v/>
      </c>
      <c r="X670" s="85" t="str">
        <f>IF(OR(TH!N670=TH!$X$7,O670=TH!$X$7),"x","")</f>
        <v/>
      </c>
      <c r="Y670" s="85" t="str">
        <f>IF(AND(OR(N670="131",O670="131"),H670='131-CT'!$H$9),"x","")</f>
        <v/>
      </c>
      <c r="Z670" s="85"/>
      <c r="AA670" s="85" t="str">
        <f>IF(AND(MONTH(E670)='IN-NX'!$J$5,'IN-NX'!$D$7=D670),"x","")</f>
        <v/>
      </c>
      <c r="AB670" s="85" t="str">
        <f>IF(AND(OR(LEFT(TH!N670,2)="15",LEFT(TH!O670,2)="15"),'152-CT'!$J$8=TH!F670),"x","")</f>
        <v/>
      </c>
      <c r="AC670" s="85" t="str">
        <f>IF(AND(OR(LEFT(TH!N670,2)="15",LEFT(TH!O670,2)="15"),TK!$E$7=TH!F670),"x","")</f>
        <v/>
      </c>
      <c r="AD670" s="85" t="str">
        <f>IF(AND(N670="1521",MONTH(C670)='BK-NL'!$M$11),"x","")</f>
        <v/>
      </c>
    </row>
    <row r="671" spans="1:30" s="348" customFormat="1" ht="15.75" customHeight="1">
      <c r="A671" s="343" t="str">
        <f>IF(B671&lt;&gt;"",IF(AND(B671='IN-TC'!$S$4,OR(TH!N671="1111",TH!O671="1111")),TH!D671,""),"")</f>
        <v/>
      </c>
      <c r="B671" s="63">
        <f t="shared" si="63"/>
        <v>1</v>
      </c>
      <c r="C671" s="64">
        <v>42400</v>
      </c>
      <c r="D671" s="64" t="s">
        <v>585</v>
      </c>
      <c r="E671" s="64">
        <v>42381</v>
      </c>
      <c r="F671" s="67" t="s">
        <v>643</v>
      </c>
      <c r="G671" s="67" t="s">
        <v>664</v>
      </c>
      <c r="H671" s="74" t="s">
        <v>634</v>
      </c>
      <c r="I671" s="447"/>
      <c r="J671" s="447"/>
      <c r="K671" s="438"/>
      <c r="L671" s="447"/>
      <c r="M671" s="65">
        <v>2000000</v>
      </c>
      <c r="N671" s="66" t="s">
        <v>594</v>
      </c>
      <c r="O671" s="66" t="s">
        <v>8</v>
      </c>
      <c r="P671" s="85" t="str">
        <f>IF(AND('331-CT'!$E$7=TH!H671,OR(N671="331",O671="331")),"x","")</f>
        <v/>
      </c>
      <c r="Q671" s="85" t="str">
        <f>IF(AND(B671='111'!$L$11,OR($N671=$Q$7,$O671=$Q$7)),"x","")</f>
        <v/>
      </c>
      <c r="R671" s="85" t="str">
        <f>IF(AND($N671=$Q$7,$B671&lt;'111'!$L$11),"x","")</f>
        <v/>
      </c>
      <c r="S671" s="85" t="str">
        <f>IF(AND($O671=$Q$7,$B671&lt;'111'!$L$11),"x","")</f>
        <v/>
      </c>
      <c r="T671" s="85" t="str">
        <f>IF(ISERROR(FIND('112'!$M$9,G671,1)),"",IF((AND(FIND('112'!$M$9,G671,1)&gt;=1,B671='112'!$K$9,OR($N671='112'!$I$6,$O671='112'!$I$6))),"x",""))</f>
        <v/>
      </c>
      <c r="U671" s="85" t="str">
        <f>IF(ISERROR(FIND('112'!$M$9,G671,1)),"",IF((AND(LEFT(G671,2)=LEFT('112'!$M$9,2),B671&lt;'112'!$K$9,$N671='112'!$I$6)),"x",""))</f>
        <v/>
      </c>
      <c r="V671" s="85" t="str">
        <f>IF(ISERROR(FIND('112'!$M$9,G671,1)),"",IF((AND(RIGHT(G671,2)=RIGHT('112'!$M$9,2),B671&lt;'112'!$K$9,$O671='112'!$I$6)),"x",""))</f>
        <v/>
      </c>
      <c r="W671" s="85" t="str">
        <f>IF(AND('341-CT'!$H$9=H671,OR(LEFT(N671,3)=$W$7,LEFT(O671,3)=$W$7)),"x","")</f>
        <v/>
      </c>
      <c r="X671" s="85" t="str">
        <f>IF(OR(TH!N671=TH!$X$7,O671=TH!$X$7),"x","")</f>
        <v/>
      </c>
      <c r="Y671" s="85" t="str">
        <f>IF(AND(OR(N671="131",O671="131"),H671='131-CT'!$H$9),"x","")</f>
        <v/>
      </c>
      <c r="Z671" s="85"/>
      <c r="AA671" s="85" t="str">
        <f>IF(AND(MONTH(E671)='IN-NX'!$J$5,'IN-NX'!$D$7=D671),"x","")</f>
        <v/>
      </c>
      <c r="AB671" s="85" t="str">
        <f>IF(AND(OR(LEFT(TH!N671,2)="15",LEFT(TH!O671,2)="15"),'152-CT'!$J$8=TH!F671),"x","")</f>
        <v/>
      </c>
      <c r="AC671" s="85" t="str">
        <f>IF(AND(OR(LEFT(TH!N671,2)="15",LEFT(TH!O671,2)="15"),TK!$E$7=TH!F671),"x","")</f>
        <v/>
      </c>
      <c r="AD671" s="85" t="str">
        <f>IF(AND(N671="1521",MONTH(C671)='BK-NL'!$M$11),"x","")</f>
        <v/>
      </c>
    </row>
    <row r="672" spans="1:30" s="348" customFormat="1" ht="15.75" customHeight="1">
      <c r="A672" s="343" t="str">
        <f>IF(B672&lt;&gt;"",IF(AND(B672='IN-TC'!$S$4,OR(TH!N672="1111",TH!O672="1111")),TH!D672,""),"")</f>
        <v/>
      </c>
      <c r="B672" s="63">
        <f t="shared" si="63"/>
        <v>1</v>
      </c>
      <c r="C672" s="64">
        <v>42400</v>
      </c>
      <c r="D672" s="64" t="s">
        <v>585</v>
      </c>
      <c r="E672" s="64">
        <v>42381</v>
      </c>
      <c r="F672" s="67" t="s">
        <v>644</v>
      </c>
      <c r="G672" s="67" t="s">
        <v>664</v>
      </c>
      <c r="H672" s="74" t="s">
        <v>634</v>
      </c>
      <c r="I672" s="447"/>
      <c r="J672" s="447"/>
      <c r="K672" s="438"/>
      <c r="L672" s="447"/>
      <c r="M672" s="65">
        <v>200000</v>
      </c>
      <c r="N672" s="66" t="s">
        <v>9</v>
      </c>
      <c r="O672" s="66" t="s">
        <v>8</v>
      </c>
      <c r="P672" s="85" t="str">
        <f>IF(AND('331-CT'!$E$7=TH!H672,OR(N672="331",O672="331")),"x","")</f>
        <v/>
      </c>
      <c r="Q672" s="85" t="str">
        <f>IF(AND(B672='111'!$L$11,OR($N672=$Q$7,$O672=$Q$7)),"x","")</f>
        <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IF(AND('341-CT'!$H$9=H672,OR(LEFT(N672,3)=$W$7,LEFT(O672,3)=$W$7)),"x","")</f>
        <v/>
      </c>
      <c r="X672" s="85" t="str">
        <f>IF(OR(TH!N672=TH!$X$7,O672=TH!$X$7),"x","")</f>
        <v/>
      </c>
      <c r="Y672" s="85" t="str">
        <f>IF(AND(OR(N672="131",O672="131"),H672='131-CT'!$H$9),"x","")</f>
        <v/>
      </c>
      <c r="Z672" s="85"/>
      <c r="AA672" s="85" t="str">
        <f>IF(AND(MONTH(E672)='IN-NX'!$J$5,'IN-NX'!$D$7=D672),"x","")</f>
        <v/>
      </c>
      <c r="AB672" s="85" t="str">
        <f>IF(AND(OR(LEFT(TH!N672,2)="15",LEFT(TH!O672,2)="15"),'152-CT'!$J$8=TH!F672),"x","")</f>
        <v/>
      </c>
      <c r="AC672" s="85" t="str">
        <f>IF(AND(OR(LEFT(TH!N672,2)="15",LEFT(TH!O672,2)="15"),TK!$E$7=TH!F672),"x","")</f>
        <v/>
      </c>
      <c r="AD672" s="85" t="str">
        <f>IF(AND(N672="1521",MONTH(C672)='BK-NL'!$M$11),"x","")</f>
        <v/>
      </c>
    </row>
    <row r="673" spans="1:30" s="348" customFormat="1" ht="15.75" customHeight="1">
      <c r="A673" s="343" t="str">
        <f>IF(B673&lt;&gt;"",IF(AND(B673='IN-TC'!$S$4,OR(TH!N673="1111",TH!O673="1111")),TH!D673,""),"")</f>
        <v/>
      </c>
      <c r="B673" s="63">
        <f t="shared" si="63"/>
        <v>1</v>
      </c>
      <c r="C673" s="64">
        <v>42400</v>
      </c>
      <c r="D673" s="64" t="s">
        <v>585</v>
      </c>
      <c r="E673" s="64">
        <v>42394</v>
      </c>
      <c r="F673" s="67" t="s">
        <v>643</v>
      </c>
      <c r="G673" s="67" t="s">
        <v>665</v>
      </c>
      <c r="H673" s="74" t="s">
        <v>634</v>
      </c>
      <c r="I673" s="447"/>
      <c r="J673" s="447"/>
      <c r="K673" s="438"/>
      <c r="L673" s="447"/>
      <c r="M673" s="65">
        <v>1818182</v>
      </c>
      <c r="N673" s="66" t="s">
        <v>594</v>
      </c>
      <c r="O673" s="66" t="s">
        <v>8</v>
      </c>
      <c r="P673" s="85" t="str">
        <f>IF(AND('331-CT'!$E$7=TH!H673,OR(N673="331",O673="331")),"x","")</f>
        <v/>
      </c>
      <c r="Q673" s="85" t="str">
        <f>IF(AND(B673='111'!$L$11,OR($N673=$Q$7,$O673=$Q$7)),"x","")</f>
        <v/>
      </c>
      <c r="R673" s="85" t="str">
        <f>IF(AND($N673=$Q$7,$B673&lt;'111'!$L$11),"x","")</f>
        <v/>
      </c>
      <c r="S673" s="85" t="str">
        <f>IF(AND($O673=$Q$7,$B673&lt;'111'!$L$11),"x","")</f>
        <v/>
      </c>
      <c r="T673" s="85" t="str">
        <f>IF(ISERROR(FIND('112'!$M$9,G673,1)),"",IF((AND(FIND('112'!$M$9,G673,1)&gt;=1,B673='112'!$K$9,OR($N673='112'!$I$6,$O673='112'!$I$6))),"x",""))</f>
        <v/>
      </c>
      <c r="U673" s="85" t="str">
        <f>IF(ISERROR(FIND('112'!$M$9,G673,1)),"",IF((AND(LEFT(G673,2)=LEFT('112'!$M$9,2),B673&lt;'112'!$K$9,$N673='112'!$I$6)),"x",""))</f>
        <v/>
      </c>
      <c r="V673" s="85" t="str">
        <f>IF(ISERROR(FIND('112'!$M$9,G673,1)),"",IF((AND(RIGHT(G673,2)=RIGHT('112'!$M$9,2),B673&lt;'112'!$K$9,$O673='112'!$I$6)),"x",""))</f>
        <v/>
      </c>
      <c r="W673" s="85" t="str">
        <f>IF(AND('341-CT'!$H$9=H673,OR(LEFT(N673,3)=$W$7,LEFT(O673,3)=$W$7)),"x","")</f>
        <v/>
      </c>
      <c r="X673" s="85" t="str">
        <f>IF(OR(TH!N673=TH!$X$7,O673=TH!$X$7),"x","")</f>
        <v/>
      </c>
      <c r="Y673" s="85" t="str">
        <f>IF(AND(OR(N673="131",O673="131"),H673='131-CT'!$H$9),"x","")</f>
        <v/>
      </c>
      <c r="Z673" s="85"/>
      <c r="AA673" s="85" t="str">
        <f>IF(AND(MONTH(E673)='IN-NX'!$J$5,'IN-NX'!$D$7=D673),"x","")</f>
        <v/>
      </c>
      <c r="AB673" s="85" t="str">
        <f>IF(AND(OR(LEFT(TH!N673,2)="15",LEFT(TH!O673,2)="15"),'152-CT'!$J$8=TH!F673),"x","")</f>
        <v/>
      </c>
      <c r="AC673" s="85" t="str">
        <f>IF(AND(OR(LEFT(TH!N673,2)="15",LEFT(TH!O673,2)="15"),TK!$E$7=TH!F673),"x","")</f>
        <v/>
      </c>
      <c r="AD673" s="85" t="str">
        <f>IF(AND(N673="1521",MONTH(C673)='BK-NL'!$M$11),"x","")</f>
        <v/>
      </c>
    </row>
    <row r="674" spans="1:30" s="348" customFormat="1" ht="15.75" customHeight="1">
      <c r="A674" s="343" t="str">
        <f>IF(B674&lt;&gt;"",IF(AND(B674='IN-TC'!$S$4,OR(TH!N674="1111",TH!O674="1111")),TH!D674,""),"")</f>
        <v/>
      </c>
      <c r="B674" s="63">
        <f t="shared" si="63"/>
        <v>1</v>
      </c>
      <c r="C674" s="64">
        <v>42400</v>
      </c>
      <c r="D674" s="64" t="s">
        <v>585</v>
      </c>
      <c r="E674" s="64">
        <v>42394</v>
      </c>
      <c r="F674" s="67" t="s">
        <v>644</v>
      </c>
      <c r="G674" s="67" t="s">
        <v>665</v>
      </c>
      <c r="H674" s="74" t="s">
        <v>634</v>
      </c>
      <c r="I674" s="447"/>
      <c r="J674" s="447"/>
      <c r="K674" s="438"/>
      <c r="L674" s="447"/>
      <c r="M674" s="65">
        <v>181818</v>
      </c>
      <c r="N674" s="66" t="s">
        <v>9</v>
      </c>
      <c r="O674" s="66" t="s">
        <v>8</v>
      </c>
      <c r="P674" s="85" t="str">
        <f>IF(AND('331-CT'!$E$7=TH!H674,OR(N674="331",O674="331")),"x","")</f>
        <v/>
      </c>
      <c r="Q674" s="85" t="str">
        <f>IF(AND(B674='111'!$L$11,OR($N674=$Q$7,$O674=$Q$7)),"x","")</f>
        <v/>
      </c>
      <c r="R674" s="85" t="str">
        <f>IF(AND($N674=$Q$7,$B674&lt;'111'!$L$11),"x","")</f>
        <v/>
      </c>
      <c r="S674" s="85" t="str">
        <f>IF(AND($O674=$Q$7,$B674&lt;'111'!$L$11),"x","")</f>
        <v/>
      </c>
      <c r="T674" s="85" t="str">
        <f>IF(ISERROR(FIND('112'!$M$9,G674,1)),"",IF((AND(FIND('112'!$M$9,G674,1)&gt;=1,B674='112'!$K$9,OR($N674='112'!$I$6,$O674='112'!$I$6))),"x",""))</f>
        <v/>
      </c>
      <c r="U674" s="85" t="str">
        <f>IF(ISERROR(FIND('112'!$M$9,G674,1)),"",IF((AND(LEFT(G674,2)=LEFT('112'!$M$9,2),B674&lt;'112'!$K$9,$N674='112'!$I$6)),"x",""))</f>
        <v/>
      </c>
      <c r="V674" s="85" t="str">
        <f>IF(ISERROR(FIND('112'!$M$9,G674,1)),"",IF((AND(RIGHT(G674,2)=RIGHT('112'!$M$9,2),B674&lt;'112'!$K$9,$O674='112'!$I$6)),"x",""))</f>
        <v/>
      </c>
      <c r="W674" s="85" t="str">
        <f>IF(AND('341-CT'!$H$9=H674,OR(LEFT(N674,3)=$W$7,LEFT(O674,3)=$W$7)),"x","")</f>
        <v/>
      </c>
      <c r="X674" s="85" t="str">
        <f>IF(OR(TH!N674=TH!$X$7,O674=TH!$X$7),"x","")</f>
        <v/>
      </c>
      <c r="Y674" s="85" t="str">
        <f>IF(AND(OR(N674="131",O674="131"),H674='131-CT'!$H$9),"x","")</f>
        <v/>
      </c>
      <c r="Z674" s="85"/>
      <c r="AA674" s="85" t="str">
        <f>IF(AND(MONTH(E674)='IN-NX'!$J$5,'IN-NX'!$D$7=D674),"x","")</f>
        <v/>
      </c>
      <c r="AB674" s="85" t="str">
        <f>IF(AND(OR(LEFT(TH!N674,2)="15",LEFT(TH!O674,2)="15"),'152-CT'!$J$8=TH!F674),"x","")</f>
        <v/>
      </c>
      <c r="AC674" s="85" t="str">
        <f>IF(AND(OR(LEFT(TH!N674,2)="15",LEFT(TH!O674,2)="15"),TK!$E$7=TH!F674),"x","")</f>
        <v/>
      </c>
      <c r="AD674" s="85" t="str">
        <f>IF(AND(N674="1521",MONTH(C674)='BK-NL'!$M$11),"x","")</f>
        <v/>
      </c>
    </row>
    <row r="675" spans="1:30" s="348" customFormat="1" ht="15.75" customHeight="1">
      <c r="A675" s="343" t="str">
        <f>IF(B675&lt;&gt;"",IF(AND(B675='IN-TC'!$S$4,OR(TH!N675="1111",TH!O675="1111")),TH!D675,""),"")</f>
        <v/>
      </c>
      <c r="B675" s="63">
        <f t="shared" si="63"/>
        <v>1</v>
      </c>
      <c r="C675" s="64">
        <v>42400</v>
      </c>
      <c r="D675" s="64" t="s">
        <v>585</v>
      </c>
      <c r="E675" s="64">
        <v>42398</v>
      </c>
      <c r="F675" s="67" t="s">
        <v>639</v>
      </c>
      <c r="G675" s="67" t="s">
        <v>666</v>
      </c>
      <c r="H675" s="74" t="s">
        <v>635</v>
      </c>
      <c r="I675" s="447"/>
      <c r="J675" s="447"/>
      <c r="K675" s="438"/>
      <c r="L675" s="447"/>
      <c r="M675" s="65">
        <v>11135000</v>
      </c>
      <c r="N675" s="66" t="s">
        <v>594</v>
      </c>
      <c r="O675" s="66" t="s">
        <v>8</v>
      </c>
      <c r="P675" s="85" t="str">
        <f>IF(AND('331-CT'!$E$7=TH!H675,OR(N675="331",O675="331")),"x","")</f>
        <v/>
      </c>
      <c r="Q675" s="85" t="str">
        <f>IF(AND(B675='111'!$L$11,OR($N675=$Q$7,$O675=$Q$7)),"x","")</f>
        <v/>
      </c>
      <c r="R675" s="85" t="str">
        <f>IF(AND($N675=$Q$7,$B675&lt;'111'!$L$11),"x","")</f>
        <v/>
      </c>
      <c r="S675" s="85" t="str">
        <f>IF(AND($O675=$Q$7,$B675&lt;'111'!$L$11),"x","")</f>
        <v/>
      </c>
      <c r="T675" s="85" t="str">
        <f>IF(ISERROR(FIND('112'!$M$9,G675,1)),"",IF((AND(FIND('112'!$M$9,G675,1)&gt;=1,B675='112'!$K$9,OR($N675='112'!$I$6,$O675='112'!$I$6))),"x",""))</f>
        <v/>
      </c>
      <c r="U675" s="85" t="str">
        <f>IF(ISERROR(FIND('112'!$M$9,G675,1)),"",IF((AND(LEFT(G675,2)=LEFT('112'!$M$9,2),B675&lt;'112'!$K$9,$N675='112'!$I$6)),"x",""))</f>
        <v/>
      </c>
      <c r="V675" s="85" t="str">
        <f>IF(ISERROR(FIND('112'!$M$9,G675,1)),"",IF((AND(RIGHT(G675,2)=RIGHT('112'!$M$9,2),B675&lt;'112'!$K$9,$O675='112'!$I$6)),"x",""))</f>
        <v/>
      </c>
      <c r="W675" s="85" t="str">
        <f>IF(AND('341-CT'!$H$9=H675,OR(LEFT(N675,3)=$W$7,LEFT(O675,3)=$W$7)),"x","")</f>
        <v/>
      </c>
      <c r="X675" s="85" t="str">
        <f>IF(OR(TH!N675=TH!$X$7,O675=TH!$X$7),"x","")</f>
        <v/>
      </c>
      <c r="Y675" s="85" t="str">
        <f>IF(AND(OR(N675="131",O675="131"),H675='131-CT'!$H$9),"x","")</f>
        <v/>
      </c>
      <c r="Z675" s="85"/>
      <c r="AA675" s="85" t="str">
        <f>IF(AND(MONTH(E675)='IN-NX'!$J$5,'IN-NX'!$D$7=D675),"x","")</f>
        <v/>
      </c>
      <c r="AB675" s="85" t="str">
        <f>IF(AND(OR(LEFT(TH!N675,2)="15",LEFT(TH!O675,2)="15"),'152-CT'!$J$8=TH!F675),"x","")</f>
        <v/>
      </c>
      <c r="AC675" s="85" t="str">
        <f>IF(AND(OR(LEFT(TH!N675,2)="15",LEFT(TH!O675,2)="15"),TK!$E$7=TH!F675),"x","")</f>
        <v/>
      </c>
      <c r="AD675" s="85" t="str">
        <f>IF(AND(N675="1521",MONTH(C675)='BK-NL'!$M$11),"x","")</f>
        <v/>
      </c>
    </row>
    <row r="676" spans="1:30" s="348" customFormat="1" ht="15.75" customHeight="1">
      <c r="A676" s="343" t="str">
        <f>IF(B676&lt;&gt;"",IF(AND(B676='IN-TC'!$S$4,OR(TH!N676="1111",TH!O676="1111")),TH!D676,""),"")</f>
        <v/>
      </c>
      <c r="B676" s="63">
        <f t="shared" si="63"/>
        <v>1</v>
      </c>
      <c r="C676" s="64">
        <v>42400</v>
      </c>
      <c r="D676" s="64" t="s">
        <v>585</v>
      </c>
      <c r="E676" s="64">
        <v>42398</v>
      </c>
      <c r="F676" s="67" t="s">
        <v>645</v>
      </c>
      <c r="G676" s="67" t="s">
        <v>667</v>
      </c>
      <c r="H676" s="74" t="s">
        <v>635</v>
      </c>
      <c r="I676" s="447"/>
      <c r="J676" s="447"/>
      <c r="K676" s="438"/>
      <c r="L676" s="447"/>
      <c r="M676" s="65">
        <v>5077560</v>
      </c>
      <c r="N676" s="68" t="s">
        <v>594</v>
      </c>
      <c r="O676" s="66" t="s">
        <v>8</v>
      </c>
      <c r="P676" s="85" t="str">
        <f>IF(AND('331-CT'!$E$7=TH!H676,OR(N676="331",O676="331")),"x","")</f>
        <v/>
      </c>
      <c r="Q676" s="85" t="str">
        <f>IF(AND(B676='111'!$L$11,OR($N676=$Q$7,$O676=$Q$7)),"x","")</f>
        <v/>
      </c>
      <c r="R676" s="85" t="str">
        <f>IF(AND($N676=$Q$7,$B676&lt;'111'!$L$11),"x","")</f>
        <v/>
      </c>
      <c r="S676" s="85" t="str">
        <f>IF(AND($O676=$Q$7,$B676&lt;'111'!$L$11),"x","")</f>
        <v/>
      </c>
      <c r="T676" s="85" t="str">
        <f>IF(ISERROR(FIND('112'!$M$9,G676,1)),"",IF((AND(FIND('112'!$M$9,G676,1)&gt;=1,B676='112'!$K$9,OR($N676='112'!$I$6,$O676='112'!$I$6))),"x",""))</f>
        <v/>
      </c>
      <c r="U676" s="85" t="str">
        <f>IF(ISERROR(FIND('112'!$M$9,G676,1)),"",IF((AND(LEFT(G676,2)=LEFT('112'!$M$9,2),B676&lt;'112'!$K$9,$N676='112'!$I$6)),"x",""))</f>
        <v/>
      </c>
      <c r="V676" s="85" t="str">
        <f>IF(ISERROR(FIND('112'!$M$9,G676,1)),"",IF((AND(RIGHT(G676,2)=RIGHT('112'!$M$9,2),B676&lt;'112'!$K$9,$O676='112'!$I$6)),"x",""))</f>
        <v/>
      </c>
      <c r="W676" s="85" t="str">
        <f>IF(AND('341-CT'!$H$9=H676,OR(LEFT(N676,3)=$W$7,LEFT(O676,3)=$W$7)),"x","")</f>
        <v/>
      </c>
      <c r="X676" s="85" t="str">
        <f>IF(OR(TH!N676=TH!$X$7,O676=TH!$X$7),"x","")</f>
        <v/>
      </c>
      <c r="Y676" s="85" t="str">
        <f>IF(AND(OR(N676="131",O676="131"),H676='131-CT'!$H$9),"x","")</f>
        <v/>
      </c>
      <c r="Z676" s="85"/>
      <c r="AA676" s="85" t="str">
        <f>IF(AND(MONTH(E676)='IN-NX'!$J$5,'IN-NX'!$D$7=D676),"x","")</f>
        <v/>
      </c>
      <c r="AB676" s="85" t="str">
        <f>IF(AND(OR(LEFT(TH!N676,2)="15",LEFT(TH!O676,2)="15"),'152-CT'!$J$8=TH!F676),"x","")</f>
        <v/>
      </c>
      <c r="AC676" s="85" t="str">
        <f>IF(AND(OR(LEFT(TH!N676,2)="15",LEFT(TH!O676,2)="15"),TK!$E$7=TH!F676),"x","")</f>
        <v/>
      </c>
      <c r="AD676" s="85" t="str">
        <f>IF(AND(N676="1521",MONTH(C676)='BK-NL'!$M$11),"x","")</f>
        <v/>
      </c>
    </row>
    <row r="677" spans="1:30" s="348" customFormat="1" ht="15.75" customHeight="1">
      <c r="A677" s="343" t="str">
        <f>IF(B677&lt;&gt;"",IF(AND(B677='IN-TC'!$S$4,OR(TH!N677="1111",TH!O677="1111")),TH!D677,""),"")</f>
        <v/>
      </c>
      <c r="B677" s="63">
        <f t="shared" si="63"/>
        <v>1</v>
      </c>
      <c r="C677" s="64">
        <v>42400</v>
      </c>
      <c r="D677" s="64" t="s">
        <v>585</v>
      </c>
      <c r="E677" s="64">
        <v>42398</v>
      </c>
      <c r="F677" s="67" t="s">
        <v>646</v>
      </c>
      <c r="G677" s="67" t="s">
        <v>667</v>
      </c>
      <c r="H677" s="74" t="s">
        <v>635</v>
      </c>
      <c r="I677" s="447"/>
      <c r="J677" s="447"/>
      <c r="K677" s="438"/>
      <c r="L677" s="447"/>
      <c r="M677" s="65">
        <v>507756</v>
      </c>
      <c r="N677" s="66" t="s">
        <v>9</v>
      </c>
      <c r="O677" s="66" t="s">
        <v>8</v>
      </c>
      <c r="P677" s="85" t="str">
        <f>IF(AND('331-CT'!$E$7=TH!H677,OR(N677="331",O677="331")),"x","")</f>
        <v/>
      </c>
      <c r="Q677" s="85" t="str">
        <f>IF(AND(B677='111'!$L$11,OR($N677=$Q$7,$O677=$Q$7)),"x","")</f>
        <v/>
      </c>
      <c r="R677" s="85" t="str">
        <f>IF(AND($N677=$Q$7,$B677&lt;'111'!$L$11),"x","")</f>
        <v/>
      </c>
      <c r="S677" s="85" t="str">
        <f>IF(AND($O677=$Q$7,$B677&lt;'111'!$L$11),"x","")</f>
        <v/>
      </c>
      <c r="T677" s="85" t="str">
        <f>IF(ISERROR(FIND('112'!$M$9,G677,1)),"",IF((AND(FIND('112'!$M$9,G677,1)&gt;=1,B677='112'!$K$9,OR($N677='112'!$I$6,$O677='112'!$I$6))),"x",""))</f>
        <v/>
      </c>
      <c r="U677" s="85" t="str">
        <f>IF(ISERROR(FIND('112'!$M$9,G677,1)),"",IF((AND(LEFT(G677,2)=LEFT('112'!$M$9,2),B677&lt;'112'!$K$9,$N677='112'!$I$6)),"x",""))</f>
        <v/>
      </c>
      <c r="V677" s="85" t="str">
        <f>IF(ISERROR(FIND('112'!$M$9,G677,1)),"",IF((AND(RIGHT(G677,2)=RIGHT('112'!$M$9,2),B677&lt;'112'!$K$9,$O677='112'!$I$6)),"x",""))</f>
        <v/>
      </c>
      <c r="W677" s="85" t="str">
        <f>IF(AND('341-CT'!$H$9=H677,OR(LEFT(N677,3)=$W$7,LEFT(O677,3)=$W$7)),"x","")</f>
        <v/>
      </c>
      <c r="X677" s="85" t="str">
        <f>IF(OR(TH!N677=TH!$X$7,O677=TH!$X$7),"x","")</f>
        <v/>
      </c>
      <c r="Y677" s="85" t="str">
        <f>IF(AND(OR(N677="131",O677="131"),H677='131-CT'!$H$9),"x","")</f>
        <v/>
      </c>
      <c r="Z677" s="85"/>
      <c r="AA677" s="85" t="str">
        <f>IF(AND(MONTH(E677)='IN-NX'!$J$5,'IN-NX'!$D$7=D677),"x","")</f>
        <v/>
      </c>
      <c r="AB677" s="85" t="str">
        <f>IF(AND(OR(LEFT(TH!N677,2)="15",LEFT(TH!O677,2)="15"),'152-CT'!$J$8=TH!F677),"x","")</f>
        <v/>
      </c>
      <c r="AC677" s="85" t="str">
        <f>IF(AND(OR(LEFT(TH!N677,2)="15",LEFT(TH!O677,2)="15"),TK!$E$7=TH!F677),"x","")</f>
        <v/>
      </c>
      <c r="AD677" s="85" t="str">
        <f>IF(AND(N677="1521",MONTH(C677)='BK-NL'!$M$11),"x","")</f>
        <v/>
      </c>
    </row>
    <row r="678" spans="1:30" s="348" customFormat="1" ht="15.75" customHeight="1">
      <c r="A678" s="343" t="str">
        <f>IF(B678&lt;&gt;"",IF(AND(B678='IN-TC'!$S$4,OR(TH!N678="1111",TH!O678="1111")),TH!D678,""),"")</f>
        <v/>
      </c>
      <c r="B678" s="63">
        <f t="shared" si="63"/>
        <v>1</v>
      </c>
      <c r="C678" s="64">
        <v>42400</v>
      </c>
      <c r="D678" s="64" t="s">
        <v>585</v>
      </c>
      <c r="E678" s="64">
        <v>42398</v>
      </c>
      <c r="F678" s="67" t="s">
        <v>639</v>
      </c>
      <c r="G678" s="67" t="s">
        <v>668</v>
      </c>
      <c r="H678" s="74" t="s">
        <v>635</v>
      </c>
      <c r="I678" s="447"/>
      <c r="J678" s="447"/>
      <c r="K678" s="438"/>
      <c r="L678" s="447"/>
      <c r="M678" s="65">
        <v>23383500</v>
      </c>
      <c r="N678" s="66" t="s">
        <v>594</v>
      </c>
      <c r="O678" s="66" t="s">
        <v>8</v>
      </c>
      <c r="P678" s="85" t="str">
        <f>IF(AND('331-CT'!$E$7=TH!H678,OR(N678="331",O678="331")),"x","")</f>
        <v/>
      </c>
      <c r="Q678" s="85" t="str">
        <f>IF(AND(B678='111'!$L$11,OR($N678=$Q$7,$O678=$Q$7)),"x","")</f>
        <v/>
      </c>
      <c r="R678" s="85" t="str">
        <f>IF(AND($N678=$Q$7,$B678&lt;'111'!$L$11),"x","")</f>
        <v/>
      </c>
      <c r="S678" s="85" t="str">
        <f>IF(AND($O678=$Q$7,$B678&lt;'111'!$L$11),"x","")</f>
        <v/>
      </c>
      <c r="T678" s="85" t="str">
        <f>IF(ISERROR(FIND('112'!$M$9,G678,1)),"",IF((AND(FIND('112'!$M$9,G678,1)&gt;=1,B678='112'!$K$9,OR($N678='112'!$I$6,$O678='112'!$I$6))),"x",""))</f>
        <v/>
      </c>
      <c r="U678" s="85" t="str">
        <f>IF(ISERROR(FIND('112'!$M$9,G678,1)),"",IF((AND(LEFT(G678,2)=LEFT('112'!$M$9,2),B678&lt;'112'!$K$9,$N678='112'!$I$6)),"x",""))</f>
        <v/>
      </c>
      <c r="V678" s="85" t="str">
        <f>IF(ISERROR(FIND('112'!$M$9,G678,1)),"",IF((AND(RIGHT(G678,2)=RIGHT('112'!$M$9,2),B678&lt;'112'!$K$9,$O678='112'!$I$6)),"x",""))</f>
        <v/>
      </c>
      <c r="W678" s="85" t="str">
        <f>IF(AND('341-CT'!$H$9=H678,OR(LEFT(N678,3)=$W$7,LEFT(O678,3)=$W$7)),"x","")</f>
        <v/>
      </c>
      <c r="X678" s="85" t="str">
        <f>IF(OR(TH!N678=TH!$X$7,O678=TH!$X$7),"x","")</f>
        <v/>
      </c>
      <c r="Y678" s="85" t="str">
        <f>IF(AND(OR(N678="131",O678="131"),H678='131-CT'!$H$9),"x","")</f>
        <v/>
      </c>
      <c r="Z678" s="85"/>
      <c r="AA678" s="85" t="str">
        <f>IF(AND(MONTH(E678)='IN-NX'!$J$5,'IN-NX'!$D$7=D678),"x","")</f>
        <v/>
      </c>
      <c r="AB678" s="85" t="str">
        <f>IF(AND(OR(LEFT(TH!N678,2)="15",LEFT(TH!O678,2)="15"),'152-CT'!$J$8=TH!F678),"x","")</f>
        <v/>
      </c>
      <c r="AC678" s="85" t="str">
        <f>IF(AND(OR(LEFT(TH!N678,2)="15",LEFT(TH!O678,2)="15"),TK!$E$7=TH!F678),"x","")</f>
        <v/>
      </c>
      <c r="AD678" s="85" t="str">
        <f>IF(AND(N678="1521",MONTH(C678)='BK-NL'!$M$11),"x","")</f>
        <v/>
      </c>
    </row>
    <row r="679" spans="1:30" s="348" customFormat="1" ht="15.75" customHeight="1">
      <c r="A679" s="343" t="str">
        <f>IF(B679&lt;&gt;"",IF(AND(B679='IN-TC'!$S$4,OR(TH!N679="1111",TH!O679="1111")),TH!D679,""),"")</f>
        <v/>
      </c>
      <c r="B679" s="63">
        <f t="shared" si="63"/>
        <v>1</v>
      </c>
      <c r="C679" s="64">
        <v>42400</v>
      </c>
      <c r="D679" s="64" t="s">
        <v>585</v>
      </c>
      <c r="E679" s="64">
        <v>42398</v>
      </c>
      <c r="F679" s="67" t="s">
        <v>640</v>
      </c>
      <c r="G679" s="67" t="s">
        <v>669</v>
      </c>
      <c r="H679" s="74" t="s">
        <v>635</v>
      </c>
      <c r="I679" s="447"/>
      <c r="J679" s="447"/>
      <c r="K679" s="438"/>
      <c r="L679" s="447"/>
      <c r="M679" s="65">
        <v>6413760</v>
      </c>
      <c r="N679" s="68" t="s">
        <v>594</v>
      </c>
      <c r="O679" s="66" t="s">
        <v>8</v>
      </c>
      <c r="P679" s="85" t="str">
        <f>IF(AND('331-CT'!$E$7=TH!H679,OR(N679="331",O679="331")),"x","")</f>
        <v/>
      </c>
      <c r="Q679" s="85" t="str">
        <f>IF(AND(B679='111'!$L$11,OR($N679=$Q$7,$O679=$Q$7)),"x","")</f>
        <v/>
      </c>
      <c r="R679" s="85" t="str">
        <f>IF(AND($N679=$Q$7,$B679&lt;'111'!$L$11),"x","")</f>
        <v/>
      </c>
      <c r="S679" s="85" t="str">
        <f>IF(AND($O679=$Q$7,$B679&lt;'111'!$L$11),"x","")</f>
        <v/>
      </c>
      <c r="T679" s="85" t="str">
        <f>IF(ISERROR(FIND('112'!$M$9,G679,1)),"",IF((AND(FIND('112'!$M$9,G679,1)&gt;=1,B679='112'!$K$9,OR($N679='112'!$I$6,$O679='112'!$I$6))),"x",""))</f>
        <v/>
      </c>
      <c r="U679" s="85" t="str">
        <f>IF(ISERROR(FIND('112'!$M$9,G679,1)),"",IF((AND(LEFT(G679,2)=LEFT('112'!$M$9,2),B679&lt;'112'!$K$9,$N679='112'!$I$6)),"x",""))</f>
        <v/>
      </c>
      <c r="V679" s="85" t="str">
        <f>IF(ISERROR(FIND('112'!$M$9,G679,1)),"",IF((AND(RIGHT(G679,2)=RIGHT('112'!$M$9,2),B679&lt;'112'!$K$9,$O679='112'!$I$6)),"x",""))</f>
        <v/>
      </c>
      <c r="W679" s="85" t="str">
        <f>IF(AND('341-CT'!$H$9=H679,OR(LEFT(N679,3)=$W$7,LEFT(O679,3)=$W$7)),"x","")</f>
        <v/>
      </c>
      <c r="X679" s="85" t="str">
        <f>IF(OR(TH!N679=TH!$X$7,O679=TH!$X$7),"x","")</f>
        <v/>
      </c>
      <c r="Y679" s="85" t="str">
        <f>IF(AND(OR(N679="131",O679="131"),H679='131-CT'!$H$9),"x","")</f>
        <v/>
      </c>
      <c r="Z679" s="85"/>
      <c r="AA679" s="85" t="str">
        <f>IF(AND(MONTH(E679)='IN-NX'!$J$5,'IN-NX'!$D$7=D679),"x","")</f>
        <v/>
      </c>
      <c r="AB679" s="85" t="str">
        <f>IF(AND(OR(LEFT(TH!N679,2)="15",LEFT(TH!O679,2)="15"),'152-CT'!$J$8=TH!F679),"x","")</f>
        <v/>
      </c>
      <c r="AC679" s="85" t="str">
        <f>IF(AND(OR(LEFT(TH!N679,2)="15",LEFT(TH!O679,2)="15"),TK!$E$7=TH!F679),"x","")</f>
        <v/>
      </c>
      <c r="AD679" s="85" t="str">
        <f>IF(AND(N679="1521",MONTH(C679)='BK-NL'!$M$11),"x","")</f>
        <v/>
      </c>
    </row>
    <row r="680" spans="1:30" s="348" customFormat="1" ht="15.75" customHeight="1">
      <c r="A680" s="343" t="str">
        <f>IF(B680&lt;&gt;"",IF(AND(B680='IN-TC'!$S$4,OR(TH!N680="1111",TH!O680="1111")),TH!D680,""),"")</f>
        <v/>
      </c>
      <c r="B680" s="63">
        <f t="shared" si="63"/>
        <v>1</v>
      </c>
      <c r="C680" s="64">
        <v>42400</v>
      </c>
      <c r="D680" s="64" t="s">
        <v>585</v>
      </c>
      <c r="E680" s="64">
        <v>42398</v>
      </c>
      <c r="F680" s="67" t="s">
        <v>641</v>
      </c>
      <c r="G680" s="67" t="s">
        <v>669</v>
      </c>
      <c r="H680" s="74" t="s">
        <v>635</v>
      </c>
      <c r="I680" s="447"/>
      <c r="J680" s="447"/>
      <c r="K680" s="438"/>
      <c r="L680" s="447"/>
      <c r="M680" s="65">
        <v>641376</v>
      </c>
      <c r="N680" s="68" t="s">
        <v>9</v>
      </c>
      <c r="O680" s="66" t="s">
        <v>8</v>
      </c>
      <c r="P680" s="85" t="str">
        <f>IF(AND('331-CT'!$E$7=TH!H680,OR(N680="331",O680="331")),"x","")</f>
        <v/>
      </c>
      <c r="Q680" s="85" t="str">
        <f>IF(AND(B680='111'!$L$11,OR($N680=$Q$7,$O680=$Q$7)),"x","")</f>
        <v/>
      </c>
      <c r="R680" s="85" t="str">
        <f>IF(AND($N680=$Q$7,$B680&lt;'111'!$L$11),"x","")</f>
        <v/>
      </c>
      <c r="S680" s="85" t="str">
        <f>IF(AND($O680=$Q$7,$B680&lt;'111'!$L$11),"x","")</f>
        <v/>
      </c>
      <c r="T680" s="85" t="str">
        <f>IF(ISERROR(FIND('112'!$M$9,G680,1)),"",IF((AND(FIND('112'!$M$9,G680,1)&gt;=1,B680='112'!$K$9,OR($N680='112'!$I$6,$O680='112'!$I$6))),"x",""))</f>
        <v/>
      </c>
      <c r="U680" s="85" t="str">
        <f>IF(ISERROR(FIND('112'!$M$9,G680,1)),"",IF((AND(LEFT(G680,2)=LEFT('112'!$M$9,2),B680&lt;'112'!$K$9,$N680='112'!$I$6)),"x",""))</f>
        <v/>
      </c>
      <c r="V680" s="85" t="str">
        <f>IF(ISERROR(FIND('112'!$M$9,G680,1)),"",IF((AND(RIGHT(G680,2)=RIGHT('112'!$M$9,2),B680&lt;'112'!$K$9,$O680='112'!$I$6)),"x",""))</f>
        <v/>
      </c>
      <c r="W680" s="85" t="str">
        <f>IF(AND('341-CT'!$H$9=H680,OR(LEFT(N680,3)=$W$7,LEFT(O680,3)=$W$7)),"x","")</f>
        <v/>
      </c>
      <c r="X680" s="85" t="str">
        <f>IF(OR(TH!N680=TH!$X$7,O680=TH!$X$7),"x","")</f>
        <v/>
      </c>
      <c r="Y680" s="85" t="str">
        <f>IF(AND(OR(N680="131",O680="131"),H680='131-CT'!$H$9),"x","")</f>
        <v/>
      </c>
      <c r="Z680" s="85"/>
      <c r="AA680" s="85" t="str">
        <f>IF(AND(MONTH(E680)='IN-NX'!$J$5,'IN-NX'!$D$7=D680),"x","")</f>
        <v/>
      </c>
      <c r="AB680" s="85" t="str">
        <f>IF(AND(OR(LEFT(TH!N680,2)="15",LEFT(TH!O680,2)="15"),'152-CT'!$J$8=TH!F680),"x","")</f>
        <v/>
      </c>
      <c r="AC680" s="85" t="str">
        <f>IF(AND(OR(LEFT(TH!N680,2)="15",LEFT(TH!O680,2)="15"),TK!$E$7=TH!F680),"x","")</f>
        <v/>
      </c>
      <c r="AD680" s="85" t="str">
        <f>IF(AND(N680="1521",MONTH(C680)='BK-NL'!$M$11),"x","")</f>
        <v/>
      </c>
    </row>
    <row r="681" spans="1:30" s="348" customFormat="1" ht="15.75" customHeight="1">
      <c r="A681" s="343" t="str">
        <f>IF(B681&lt;&gt;"",IF(AND(B681='IN-TC'!$S$4,OR(TH!N681="1111",TH!O681="1111")),TH!D681,""),"")</f>
        <v/>
      </c>
      <c r="B681" s="63">
        <f t="shared" si="63"/>
        <v>1</v>
      </c>
      <c r="C681" s="64">
        <v>42400</v>
      </c>
      <c r="D681" s="64" t="s">
        <v>585</v>
      </c>
      <c r="E681" s="64">
        <v>42400</v>
      </c>
      <c r="F681" s="67" t="s">
        <v>643</v>
      </c>
      <c r="G681" s="67" t="s">
        <v>670</v>
      </c>
      <c r="H681" s="74" t="s">
        <v>634</v>
      </c>
      <c r="I681" s="447"/>
      <c r="J681" s="447"/>
      <c r="K681" s="438"/>
      <c r="L681" s="447"/>
      <c r="M681" s="65">
        <v>2000000</v>
      </c>
      <c r="N681" s="66" t="s">
        <v>594</v>
      </c>
      <c r="O681" s="66" t="s">
        <v>8</v>
      </c>
      <c r="P681" s="85" t="str">
        <f>IF(AND('331-CT'!$E$7=TH!H681,OR(N681="331",O681="331")),"x","")</f>
        <v/>
      </c>
      <c r="Q681" s="85" t="str">
        <f>IF(AND(B681='111'!$L$11,OR($N681=$Q$7,$O681=$Q$7)),"x","")</f>
        <v/>
      </c>
      <c r="R681" s="85" t="str">
        <f>IF(AND($N681=$Q$7,$B681&lt;'111'!$L$11),"x","")</f>
        <v/>
      </c>
      <c r="S681" s="85" t="str">
        <f>IF(AND($O681=$Q$7,$B681&lt;'111'!$L$11),"x","")</f>
        <v/>
      </c>
      <c r="T681" s="85" t="str">
        <f>IF(ISERROR(FIND('112'!$M$9,G681,1)),"",IF((AND(FIND('112'!$M$9,G681,1)&gt;=1,B681='112'!$K$9,OR($N681='112'!$I$6,$O681='112'!$I$6))),"x",""))</f>
        <v/>
      </c>
      <c r="U681" s="85" t="str">
        <f>IF(ISERROR(FIND('112'!$M$9,G681,1)),"",IF((AND(LEFT(G681,2)=LEFT('112'!$M$9,2),B681&lt;'112'!$K$9,$N681='112'!$I$6)),"x",""))</f>
        <v/>
      </c>
      <c r="V681" s="85" t="str">
        <f>IF(ISERROR(FIND('112'!$M$9,G681,1)),"",IF((AND(RIGHT(G681,2)=RIGHT('112'!$M$9,2),B681&lt;'112'!$K$9,$O681='112'!$I$6)),"x",""))</f>
        <v/>
      </c>
      <c r="W681" s="85" t="str">
        <f>IF(AND('341-CT'!$H$9=H681,OR(LEFT(N681,3)=$W$7,LEFT(O681,3)=$W$7)),"x","")</f>
        <v/>
      </c>
      <c r="X681" s="85" t="str">
        <f>IF(OR(TH!N681=TH!$X$7,O681=TH!$X$7),"x","")</f>
        <v/>
      </c>
      <c r="Y681" s="85" t="str">
        <f>IF(AND(OR(N681="131",O681="131"),H681='131-CT'!$H$9),"x","")</f>
        <v/>
      </c>
      <c r="Z681" s="85"/>
      <c r="AA681" s="85" t="str">
        <f>IF(AND(MONTH(E681)='IN-NX'!$J$5,'IN-NX'!$D$7=D681),"x","")</f>
        <v/>
      </c>
      <c r="AB681" s="85" t="str">
        <f>IF(AND(OR(LEFT(TH!N681,2)="15",LEFT(TH!O681,2)="15"),'152-CT'!$J$8=TH!F681),"x","")</f>
        <v/>
      </c>
      <c r="AC681" s="85" t="str">
        <f>IF(AND(OR(LEFT(TH!N681,2)="15",LEFT(TH!O681,2)="15"),TK!$E$7=TH!F681),"x","")</f>
        <v/>
      </c>
      <c r="AD681" s="85" t="str">
        <f>IF(AND(N681="1521",MONTH(C681)='BK-NL'!$M$11),"x","")</f>
        <v/>
      </c>
    </row>
    <row r="682" spans="1:30" s="348" customFormat="1" ht="15.75" customHeight="1">
      <c r="A682" s="343" t="str">
        <f>IF(B682&lt;&gt;"",IF(AND(B682='IN-TC'!$S$4,OR(TH!N682="1111",TH!O682="1111")),TH!D682,""),"")</f>
        <v/>
      </c>
      <c r="B682" s="63">
        <f t="shared" si="63"/>
        <v>1</v>
      </c>
      <c r="C682" s="64">
        <v>42400</v>
      </c>
      <c r="D682" s="64" t="s">
        <v>585</v>
      </c>
      <c r="E682" s="64">
        <v>42400</v>
      </c>
      <c r="F682" s="67" t="s">
        <v>644</v>
      </c>
      <c r="G682" s="67" t="s">
        <v>670</v>
      </c>
      <c r="H682" s="74" t="s">
        <v>634</v>
      </c>
      <c r="I682" s="447"/>
      <c r="J682" s="447"/>
      <c r="K682" s="438"/>
      <c r="L682" s="447"/>
      <c r="M682" s="65">
        <v>200000</v>
      </c>
      <c r="N682" s="66" t="s">
        <v>9</v>
      </c>
      <c r="O682" s="66" t="s">
        <v>8</v>
      </c>
      <c r="P682" s="85" t="str">
        <f>IF(AND('331-CT'!$E$7=TH!H682,OR(N682="331",O682="331")),"x","")</f>
        <v/>
      </c>
      <c r="Q682" s="85" t="str">
        <f>IF(AND(B682='111'!$L$11,OR($N682=$Q$7,$O682=$Q$7)),"x","")</f>
        <v/>
      </c>
      <c r="R682" s="85" t="str">
        <f>IF(AND($N682=$Q$7,$B682&lt;'111'!$L$11),"x","")</f>
        <v/>
      </c>
      <c r="S682" s="85" t="str">
        <f>IF(AND($O682=$Q$7,$B682&lt;'111'!$L$11),"x","")</f>
        <v/>
      </c>
      <c r="T682" s="85" t="str">
        <f>IF(ISERROR(FIND('112'!$M$9,G682,1)),"",IF((AND(FIND('112'!$M$9,G682,1)&gt;=1,B682='112'!$K$9,OR($N682='112'!$I$6,$O682='112'!$I$6))),"x",""))</f>
        <v/>
      </c>
      <c r="U682" s="85" t="str">
        <f>IF(ISERROR(FIND('112'!$M$9,G682,1)),"",IF((AND(LEFT(G682,2)=LEFT('112'!$M$9,2),B682&lt;'112'!$K$9,$N682='112'!$I$6)),"x",""))</f>
        <v/>
      </c>
      <c r="V682" s="85" t="str">
        <f>IF(ISERROR(FIND('112'!$M$9,G682,1)),"",IF((AND(RIGHT(G682,2)=RIGHT('112'!$M$9,2),B682&lt;'112'!$K$9,$O682='112'!$I$6)),"x",""))</f>
        <v/>
      </c>
      <c r="W682" s="85" t="str">
        <f>IF(AND('341-CT'!$H$9=H682,OR(LEFT(N682,3)=$W$7,LEFT(O682,3)=$W$7)),"x","")</f>
        <v/>
      </c>
      <c r="X682" s="85" t="str">
        <f>IF(OR(TH!N682=TH!$X$7,O682=TH!$X$7),"x","")</f>
        <v/>
      </c>
      <c r="Y682" s="85" t="str">
        <f>IF(AND(OR(N682="131",O682="131"),H682='131-CT'!$H$9),"x","")</f>
        <v/>
      </c>
      <c r="Z682" s="85"/>
      <c r="AA682" s="85" t="str">
        <f>IF(AND(MONTH(E682)='IN-NX'!$J$5,'IN-NX'!$D$7=D682),"x","")</f>
        <v/>
      </c>
      <c r="AB682" s="85" t="str">
        <f>IF(AND(OR(LEFT(TH!N682,2)="15",LEFT(TH!O682,2)="15"),'152-CT'!$J$8=TH!F682),"x","")</f>
        <v/>
      </c>
      <c r="AC682" s="85" t="str">
        <f>IF(AND(OR(LEFT(TH!N682,2)="15",LEFT(TH!O682,2)="15"),TK!$E$7=TH!F682),"x","")</f>
        <v/>
      </c>
      <c r="AD682" s="85" t="str">
        <f>IF(AND(N682="1521",MONTH(C682)='BK-NL'!$M$11),"x","")</f>
        <v/>
      </c>
    </row>
    <row r="683" spans="1:30" s="348" customFormat="1" ht="15.75" customHeight="1">
      <c r="A683" s="343" t="str">
        <f>IF(B683&lt;&gt;"",IF(AND(B683='IN-TC'!$S$4,OR(TH!N683="1111",TH!O683="1111")),TH!D683,""),"")</f>
        <v/>
      </c>
      <c r="B683" s="63">
        <f t="shared" si="63"/>
        <v>1</v>
      </c>
      <c r="C683" s="64">
        <v>42400</v>
      </c>
      <c r="D683" s="64" t="s">
        <v>585</v>
      </c>
      <c r="E683" s="64">
        <v>42375</v>
      </c>
      <c r="F683" s="67" t="s">
        <v>647</v>
      </c>
      <c r="G683" s="996" t="s">
        <v>671</v>
      </c>
      <c r="H683" s="74" t="s">
        <v>636</v>
      </c>
      <c r="I683" s="447"/>
      <c r="J683" s="447"/>
      <c r="K683" s="438"/>
      <c r="L683" s="447"/>
      <c r="M683" s="65">
        <v>24653000</v>
      </c>
      <c r="N683" s="66" t="s">
        <v>283</v>
      </c>
      <c r="O683" s="66" t="s">
        <v>8</v>
      </c>
      <c r="P683" s="85" t="str">
        <f>IF(AND('331-CT'!$E$7=TH!H683,OR(N683="331",O683="331")),"x","")</f>
        <v/>
      </c>
      <c r="Q683" s="85" t="str">
        <f>IF(AND(B683='111'!$L$11,OR($N683=$Q$7,$O683=$Q$7)),"x","")</f>
        <v/>
      </c>
      <c r="R683" s="85" t="str">
        <f>IF(AND($N683=$Q$7,$B683&lt;'111'!$L$11),"x","")</f>
        <v/>
      </c>
      <c r="S683" s="85" t="str">
        <f>IF(AND($O683=$Q$7,$B683&lt;'111'!$L$11),"x","")</f>
        <v/>
      </c>
      <c r="T683" s="85" t="str">
        <f>IF(ISERROR(FIND('112'!$M$9,G683,1)),"",IF((AND(FIND('112'!$M$9,G683,1)&gt;=1,B683='112'!$K$9,OR($N683='112'!$I$6,$O683='112'!$I$6))),"x",""))</f>
        <v/>
      </c>
      <c r="U683" s="85" t="str">
        <f>IF(ISERROR(FIND('112'!$M$9,G683,1)),"",IF((AND(LEFT(G683,2)=LEFT('112'!$M$9,2),B683&lt;'112'!$K$9,$N683='112'!$I$6)),"x",""))</f>
        <v/>
      </c>
      <c r="V683" s="85" t="str">
        <f>IF(ISERROR(FIND('112'!$M$9,G683,1)),"",IF((AND(RIGHT(G683,2)=RIGHT('112'!$M$9,2),B683&lt;'112'!$K$9,$O683='112'!$I$6)),"x",""))</f>
        <v/>
      </c>
      <c r="W683" s="85" t="str">
        <f>IF(AND('341-CT'!$H$9=H683,OR(LEFT(N683,3)=$W$7,LEFT(O683,3)=$W$7)),"x","")</f>
        <v/>
      </c>
      <c r="X683" s="85" t="str">
        <f>IF(OR(TH!N683=TH!$X$7,O683=TH!$X$7),"x","")</f>
        <v/>
      </c>
      <c r="Y683" s="85" t="str">
        <f>IF(AND(OR(N683="131",O683="131"),H683='131-CT'!$H$9),"x","")</f>
        <v/>
      </c>
      <c r="Z683" s="85"/>
      <c r="AA683" s="85" t="str">
        <f>IF(AND(MONTH(E683)='IN-NX'!$J$5,'IN-NX'!$D$7=D683),"x","")</f>
        <v/>
      </c>
      <c r="AB683" s="85" t="str">
        <f>IF(AND(OR(LEFT(TH!N683,2)="15",LEFT(TH!O683,2)="15"),'152-CT'!$J$8=TH!F683),"x","")</f>
        <v/>
      </c>
      <c r="AC683" s="85" t="str">
        <f>IF(AND(OR(LEFT(TH!N683,2)="15",LEFT(TH!O683,2)="15"),TK!$E$7=TH!F683),"x","")</f>
        <v/>
      </c>
      <c r="AD683" s="85" t="str">
        <f>IF(AND(N683="1521",MONTH(C683)='BK-NL'!$M$11),"x","")</f>
        <v/>
      </c>
    </row>
    <row r="684" spans="1:30" s="348" customFormat="1" ht="15.75" customHeight="1">
      <c r="A684" s="343" t="str">
        <f>IF(B684&lt;&gt;"",IF(AND(B684='IN-TC'!$S$4,OR(TH!N684="1111",TH!O684="1111")),TH!D684,""),"")</f>
        <v/>
      </c>
      <c r="B684" s="63">
        <f t="shared" si="63"/>
        <v>1</v>
      </c>
      <c r="C684" s="64">
        <v>42400</v>
      </c>
      <c r="D684" s="64" t="s">
        <v>585</v>
      </c>
      <c r="E684" s="64">
        <v>42375</v>
      </c>
      <c r="F684" s="67" t="s">
        <v>648</v>
      </c>
      <c r="G684" s="996" t="s">
        <v>671</v>
      </c>
      <c r="H684" s="74" t="s">
        <v>636</v>
      </c>
      <c r="I684" s="447"/>
      <c r="J684" s="447"/>
      <c r="K684" s="438"/>
      <c r="L684" s="447"/>
      <c r="M684" s="65">
        <v>2465300</v>
      </c>
      <c r="N684" s="66" t="s">
        <v>9</v>
      </c>
      <c r="O684" s="66" t="s">
        <v>8</v>
      </c>
      <c r="P684" s="85" t="str">
        <f>IF(AND('331-CT'!$E$7=TH!H684,OR(N684="331",O684="331")),"x","")</f>
        <v/>
      </c>
      <c r="Q684" s="85" t="str">
        <f>IF(AND(B684='111'!$L$11,OR($N684=$Q$7,$O684=$Q$7)),"x","")</f>
        <v/>
      </c>
      <c r="R684" s="85" t="str">
        <f>IF(AND($N684=$Q$7,$B684&lt;'111'!$L$11),"x","")</f>
        <v/>
      </c>
      <c r="S684" s="85" t="str">
        <f>IF(AND($O684=$Q$7,$B684&lt;'111'!$L$11),"x","")</f>
        <v/>
      </c>
      <c r="T684" s="85" t="str">
        <f>IF(ISERROR(FIND('112'!$M$9,G684,1)),"",IF((AND(FIND('112'!$M$9,G684,1)&gt;=1,B684='112'!$K$9,OR($N684='112'!$I$6,$O684='112'!$I$6))),"x",""))</f>
        <v/>
      </c>
      <c r="U684" s="85" t="str">
        <f>IF(ISERROR(FIND('112'!$M$9,G684,1)),"",IF((AND(LEFT(G684,2)=LEFT('112'!$M$9,2),B684&lt;'112'!$K$9,$N684='112'!$I$6)),"x",""))</f>
        <v/>
      </c>
      <c r="V684" s="85" t="str">
        <f>IF(ISERROR(FIND('112'!$M$9,G684,1)),"",IF((AND(RIGHT(G684,2)=RIGHT('112'!$M$9,2),B684&lt;'112'!$K$9,$O684='112'!$I$6)),"x",""))</f>
        <v/>
      </c>
      <c r="W684" s="85" t="str">
        <f>IF(AND('341-CT'!$H$9=H684,OR(LEFT(N684,3)=$W$7,LEFT(O684,3)=$W$7)),"x","")</f>
        <v/>
      </c>
      <c r="X684" s="85" t="str">
        <f>IF(OR(TH!N684=TH!$X$7,O684=TH!$X$7),"x","")</f>
        <v/>
      </c>
      <c r="Y684" s="85" t="str">
        <f>IF(AND(OR(N684="131",O684="131"),H684='131-CT'!$H$9),"x","")</f>
        <v/>
      </c>
      <c r="Z684" s="85"/>
      <c r="AA684" s="85" t="str">
        <f>IF(AND(MONTH(E684)='IN-NX'!$J$5,'IN-NX'!$D$7=D684),"x","")</f>
        <v/>
      </c>
      <c r="AB684" s="85" t="str">
        <f>IF(AND(OR(LEFT(TH!N684,2)="15",LEFT(TH!O684,2)="15"),'152-CT'!$J$8=TH!F684),"x","")</f>
        <v/>
      </c>
      <c r="AC684" s="85" t="str">
        <f>IF(AND(OR(LEFT(TH!N684,2)="15",LEFT(TH!O684,2)="15"),TK!$E$7=TH!F684),"x","")</f>
        <v/>
      </c>
      <c r="AD684" s="85" t="str">
        <f>IF(AND(N684="1521",MONTH(C684)='BK-NL'!$M$11),"x","")</f>
        <v/>
      </c>
    </row>
    <row r="685" spans="1:30" s="348" customFormat="1" ht="15.75" customHeight="1">
      <c r="A685" s="343" t="str">
        <f>IF(B685&lt;&gt;"",IF(AND(B685='IN-TC'!$S$4,OR(TH!N685="1111",TH!O685="1111")),TH!D685,""),"")</f>
        <v/>
      </c>
      <c r="B685" s="63">
        <f t="shared" si="63"/>
        <v>1</v>
      </c>
      <c r="C685" s="64">
        <v>42400</v>
      </c>
      <c r="D685" s="64" t="s">
        <v>585</v>
      </c>
      <c r="E685" s="64">
        <v>42385</v>
      </c>
      <c r="F685" s="67" t="s">
        <v>649</v>
      </c>
      <c r="G685" s="67" t="s">
        <v>672</v>
      </c>
      <c r="H685" s="74" t="s">
        <v>636</v>
      </c>
      <c r="I685" s="447"/>
      <c r="J685" s="447"/>
      <c r="K685" s="438"/>
      <c r="L685" s="447"/>
      <c r="M685" s="65">
        <v>29327400</v>
      </c>
      <c r="N685" s="68" t="s">
        <v>283</v>
      </c>
      <c r="O685" s="66" t="s">
        <v>8</v>
      </c>
      <c r="P685" s="85" t="str">
        <f>IF(AND('331-CT'!$E$7=TH!H685,OR(N685="331",O685="331")),"x","")</f>
        <v/>
      </c>
      <c r="Q685" s="85" t="str">
        <f>IF(AND(B685='111'!$L$11,OR($N685=$Q$7,$O685=$Q$7)),"x","")</f>
        <v/>
      </c>
      <c r="R685" s="85" t="str">
        <f>IF(AND($N685=$Q$7,$B685&lt;'111'!$L$11),"x","")</f>
        <v/>
      </c>
      <c r="S685" s="85" t="str">
        <f>IF(AND($O685=$Q$7,$B685&lt;'111'!$L$11),"x","")</f>
        <v/>
      </c>
      <c r="T685" s="85" t="str">
        <f>IF(ISERROR(FIND('112'!$M$9,G685,1)),"",IF((AND(FIND('112'!$M$9,G685,1)&gt;=1,B685='112'!$K$9,OR($N685='112'!$I$6,$O685='112'!$I$6))),"x",""))</f>
        <v/>
      </c>
      <c r="U685" s="85" t="str">
        <f>IF(ISERROR(FIND('112'!$M$9,G685,1)),"",IF((AND(LEFT(G685,2)=LEFT('112'!$M$9,2),B685&lt;'112'!$K$9,$N685='112'!$I$6)),"x",""))</f>
        <v/>
      </c>
      <c r="V685" s="85" t="str">
        <f>IF(ISERROR(FIND('112'!$M$9,G685,1)),"",IF((AND(RIGHT(G685,2)=RIGHT('112'!$M$9,2),B685&lt;'112'!$K$9,$O685='112'!$I$6)),"x",""))</f>
        <v/>
      </c>
      <c r="W685" s="85" t="str">
        <f>IF(AND('341-CT'!$H$9=H685,OR(LEFT(N685,3)=$W$7,LEFT(O685,3)=$W$7)),"x","")</f>
        <v/>
      </c>
      <c r="X685" s="85" t="str">
        <f>IF(OR(TH!N685=TH!$X$7,O685=TH!$X$7),"x","")</f>
        <v/>
      </c>
      <c r="Y685" s="85" t="str">
        <f>IF(AND(OR(N685="131",O685="131"),H685='131-CT'!$H$9),"x","")</f>
        <v/>
      </c>
      <c r="Z685" s="85"/>
      <c r="AA685" s="85" t="str">
        <f>IF(AND(MONTH(E685)='IN-NX'!$J$5,'IN-NX'!$D$7=D685),"x","")</f>
        <v/>
      </c>
      <c r="AB685" s="85" t="str">
        <f>IF(AND(OR(LEFT(TH!N685,2)="15",LEFT(TH!O685,2)="15"),'152-CT'!$J$8=TH!F685),"x","")</f>
        <v/>
      </c>
      <c r="AC685" s="85" t="str">
        <f>IF(AND(OR(LEFT(TH!N685,2)="15",LEFT(TH!O685,2)="15"),TK!$E$7=TH!F685),"x","")</f>
        <v/>
      </c>
      <c r="AD685" s="85" t="str">
        <f>IF(AND(N685="1521",MONTH(C685)='BK-NL'!$M$11),"x","")</f>
        <v/>
      </c>
    </row>
    <row r="686" spans="1:30" s="348" customFormat="1" ht="15.75" customHeight="1">
      <c r="A686" s="343" t="str">
        <f>IF(B686&lt;&gt;"",IF(AND(B686='IN-TC'!$S$4,OR(TH!N686="1111",TH!O686="1111")),TH!D686,""),"")</f>
        <v/>
      </c>
      <c r="B686" s="63">
        <f t="shared" si="63"/>
        <v>1</v>
      </c>
      <c r="C686" s="64">
        <v>42400</v>
      </c>
      <c r="D686" s="64" t="s">
        <v>585</v>
      </c>
      <c r="E686" s="64">
        <v>42385</v>
      </c>
      <c r="F686" s="67" t="s">
        <v>650</v>
      </c>
      <c r="G686" s="67" t="s">
        <v>672</v>
      </c>
      <c r="H686" s="74" t="s">
        <v>636</v>
      </c>
      <c r="I686" s="447"/>
      <c r="J686" s="447"/>
      <c r="K686" s="438"/>
      <c r="L686" s="447"/>
      <c r="M686" s="65">
        <v>2932740</v>
      </c>
      <c r="N686" s="66" t="s">
        <v>9</v>
      </c>
      <c r="O686" s="66" t="s">
        <v>8</v>
      </c>
      <c r="P686" s="85" t="str">
        <f>IF(AND('331-CT'!$E$7=TH!H686,OR(N686="331",O686="331")),"x","")</f>
        <v/>
      </c>
      <c r="Q686" s="85" t="str">
        <f>IF(AND(B686='111'!$L$11,OR($N686=$Q$7,$O686=$Q$7)),"x","")</f>
        <v/>
      </c>
      <c r="R686" s="85" t="str">
        <f>IF(AND($N686=$Q$7,$B686&lt;'111'!$L$11),"x","")</f>
        <v/>
      </c>
      <c r="S686" s="85" t="str">
        <f>IF(AND($O686=$Q$7,$B686&lt;'111'!$L$11),"x","")</f>
        <v/>
      </c>
      <c r="T686" s="85" t="str">
        <f>IF(ISERROR(FIND('112'!$M$9,G686,1)),"",IF((AND(FIND('112'!$M$9,G686,1)&gt;=1,B686='112'!$K$9,OR($N686='112'!$I$6,$O686='112'!$I$6))),"x",""))</f>
        <v/>
      </c>
      <c r="U686" s="85" t="str">
        <f>IF(ISERROR(FIND('112'!$M$9,G686,1)),"",IF((AND(LEFT(G686,2)=LEFT('112'!$M$9,2),B686&lt;'112'!$K$9,$N686='112'!$I$6)),"x",""))</f>
        <v/>
      </c>
      <c r="V686" s="85" t="str">
        <f>IF(ISERROR(FIND('112'!$M$9,G686,1)),"",IF((AND(RIGHT(G686,2)=RIGHT('112'!$M$9,2),B686&lt;'112'!$K$9,$O686='112'!$I$6)),"x",""))</f>
        <v/>
      </c>
      <c r="W686" s="85" t="str">
        <f>IF(AND('341-CT'!$H$9=H686,OR(LEFT(N686,3)=$W$7,LEFT(O686,3)=$W$7)),"x","")</f>
        <v/>
      </c>
      <c r="X686" s="85" t="str">
        <f>IF(OR(TH!N686=TH!$X$7,O686=TH!$X$7),"x","")</f>
        <v/>
      </c>
      <c r="Y686" s="85" t="str">
        <f>IF(AND(OR(N686="131",O686="131"),H686='131-CT'!$H$9),"x","")</f>
        <v/>
      </c>
      <c r="Z686" s="85"/>
      <c r="AA686" s="85" t="str">
        <f>IF(AND(MONTH(E686)='IN-NX'!$J$5,'IN-NX'!$D$7=D686),"x","")</f>
        <v/>
      </c>
      <c r="AB686" s="85" t="str">
        <f>IF(AND(OR(LEFT(TH!N686,2)="15",LEFT(TH!O686,2)="15"),'152-CT'!$J$8=TH!F686),"x","")</f>
        <v/>
      </c>
      <c r="AC686" s="85" t="str">
        <f>IF(AND(OR(LEFT(TH!N686,2)="15",LEFT(TH!O686,2)="15"),TK!$E$7=TH!F686),"x","")</f>
        <v/>
      </c>
      <c r="AD686" s="85" t="str">
        <f>IF(AND(N686="1521",MONTH(C686)='BK-NL'!$M$11),"x","")</f>
        <v/>
      </c>
    </row>
    <row r="687" spans="1:30" s="348" customFormat="1" ht="15.75" customHeight="1">
      <c r="A687" s="343" t="str">
        <f>IF(B687&lt;&gt;"",IF(AND(B687='IN-TC'!$S$4,OR(TH!N687="1111",TH!O687="1111")),TH!D687,""),"")</f>
        <v/>
      </c>
      <c r="B687" s="63">
        <f t="shared" si="63"/>
        <v>1</v>
      </c>
      <c r="C687" s="64">
        <v>42400</v>
      </c>
      <c r="D687" s="64" t="s">
        <v>585</v>
      </c>
      <c r="E687" s="64">
        <v>42395</v>
      </c>
      <c r="F687" s="67" t="s">
        <v>651</v>
      </c>
      <c r="G687" s="67" t="s">
        <v>673</v>
      </c>
      <c r="H687" s="74" t="s">
        <v>636</v>
      </c>
      <c r="I687" s="447"/>
      <c r="J687" s="447"/>
      <c r="K687" s="438"/>
      <c r="L687" s="447"/>
      <c r="M687" s="65">
        <v>28991500</v>
      </c>
      <c r="N687" s="66" t="s">
        <v>283</v>
      </c>
      <c r="O687" s="66" t="s">
        <v>8</v>
      </c>
      <c r="P687" s="85" t="str">
        <f>IF(AND('331-CT'!$E$7=TH!H687,OR(N687="331",O687="331")),"x","")</f>
        <v/>
      </c>
      <c r="Q687" s="85" t="str">
        <f>IF(AND(B687='111'!$L$11,OR($N687=$Q$7,$O687=$Q$7)),"x","")</f>
        <v/>
      </c>
      <c r="R687" s="85" t="str">
        <f>IF(AND($N687=$Q$7,$B687&lt;'111'!$L$11),"x","")</f>
        <v/>
      </c>
      <c r="S687" s="85" t="str">
        <f>IF(AND($O687=$Q$7,$B687&lt;'111'!$L$11),"x","")</f>
        <v/>
      </c>
      <c r="T687" s="85" t="str">
        <f>IF(ISERROR(FIND('112'!$M$9,G687,1)),"",IF((AND(FIND('112'!$M$9,G687,1)&gt;=1,B687='112'!$K$9,OR($N687='112'!$I$6,$O687='112'!$I$6))),"x",""))</f>
        <v/>
      </c>
      <c r="U687" s="85" t="str">
        <f>IF(ISERROR(FIND('112'!$M$9,G687,1)),"",IF((AND(LEFT(G687,2)=LEFT('112'!$M$9,2),B687&lt;'112'!$K$9,$N687='112'!$I$6)),"x",""))</f>
        <v/>
      </c>
      <c r="V687" s="85" t="str">
        <f>IF(ISERROR(FIND('112'!$M$9,G687,1)),"",IF((AND(RIGHT(G687,2)=RIGHT('112'!$M$9,2),B687&lt;'112'!$K$9,$O687='112'!$I$6)),"x",""))</f>
        <v/>
      </c>
      <c r="W687" s="85" t="str">
        <f>IF(AND('341-CT'!$H$9=H687,OR(LEFT(N687,3)=$W$7,LEFT(O687,3)=$W$7)),"x","")</f>
        <v/>
      </c>
      <c r="X687" s="85" t="str">
        <f>IF(OR(TH!N687=TH!$X$7,O687=TH!$X$7),"x","")</f>
        <v/>
      </c>
      <c r="Y687" s="85" t="str">
        <f>IF(AND(OR(N687="131",O687="131"),H687='131-CT'!$H$9),"x","")</f>
        <v/>
      </c>
      <c r="Z687" s="85"/>
      <c r="AA687" s="85" t="str">
        <f>IF(AND(MONTH(E687)='IN-NX'!$J$5,'IN-NX'!$D$7=D687),"x","")</f>
        <v/>
      </c>
      <c r="AB687" s="85" t="str">
        <f>IF(AND(OR(LEFT(TH!N687,2)="15",LEFT(TH!O687,2)="15"),'152-CT'!$J$8=TH!F687),"x","")</f>
        <v/>
      </c>
      <c r="AC687" s="85" t="str">
        <f>IF(AND(OR(LEFT(TH!N687,2)="15",LEFT(TH!O687,2)="15"),TK!$E$7=TH!F687),"x","")</f>
        <v/>
      </c>
      <c r="AD687" s="85" t="str">
        <f>IF(AND(N687="1521",MONTH(C687)='BK-NL'!$M$11),"x","")</f>
        <v/>
      </c>
    </row>
    <row r="688" spans="1:30" s="348" customFormat="1" ht="15.75" customHeight="1">
      <c r="A688" s="343" t="str">
        <f>IF(B688&lt;&gt;"",IF(AND(B688='IN-TC'!$S$4,OR(TH!N688="1111",TH!O688="1111")),TH!D688,""),"")</f>
        <v/>
      </c>
      <c r="B688" s="63">
        <f t="shared" si="63"/>
        <v>1</v>
      </c>
      <c r="C688" s="64">
        <v>42400</v>
      </c>
      <c r="D688" s="64" t="s">
        <v>585</v>
      </c>
      <c r="E688" s="64">
        <v>42395</v>
      </c>
      <c r="F688" s="67" t="s">
        <v>652</v>
      </c>
      <c r="G688" s="996" t="s">
        <v>673</v>
      </c>
      <c r="H688" s="74" t="s">
        <v>636</v>
      </c>
      <c r="I688" s="447"/>
      <c r="J688" s="447"/>
      <c r="K688" s="438"/>
      <c r="L688" s="447"/>
      <c r="M688" s="65">
        <v>2899150</v>
      </c>
      <c r="N688" s="66" t="s">
        <v>9</v>
      </c>
      <c r="O688" s="66" t="s">
        <v>8</v>
      </c>
      <c r="P688" s="85" t="str">
        <f>IF(AND('331-CT'!$E$7=TH!H688,OR(N688="331",O688="331")),"x","")</f>
        <v/>
      </c>
      <c r="Q688" s="85" t="str">
        <f>IF(AND(B688='111'!$L$11,OR($N688=$Q$7,$O688=$Q$7)),"x","")</f>
        <v/>
      </c>
      <c r="R688" s="85" t="str">
        <f>IF(AND($N688=$Q$7,$B688&lt;'111'!$L$11),"x","")</f>
        <v/>
      </c>
      <c r="S688" s="85" t="str">
        <f>IF(AND($O688=$Q$7,$B688&lt;'111'!$L$11),"x","")</f>
        <v/>
      </c>
      <c r="T688" s="85" t="str">
        <f>IF(ISERROR(FIND('112'!$M$9,G688,1)),"",IF((AND(FIND('112'!$M$9,G688,1)&gt;=1,B688='112'!$K$9,OR($N688='112'!$I$6,$O688='112'!$I$6))),"x",""))</f>
        <v/>
      </c>
      <c r="U688" s="85" t="str">
        <f>IF(ISERROR(FIND('112'!$M$9,G688,1)),"",IF((AND(LEFT(G688,2)=LEFT('112'!$M$9,2),B688&lt;'112'!$K$9,$N688='112'!$I$6)),"x",""))</f>
        <v/>
      </c>
      <c r="V688" s="85" t="str">
        <f>IF(ISERROR(FIND('112'!$M$9,G688,1)),"",IF((AND(RIGHT(G688,2)=RIGHT('112'!$M$9,2),B688&lt;'112'!$K$9,$O688='112'!$I$6)),"x",""))</f>
        <v/>
      </c>
      <c r="W688" s="85" t="str">
        <f>IF(AND('341-CT'!$H$9=H688,OR(LEFT(N688,3)=$W$7,LEFT(O688,3)=$W$7)),"x","")</f>
        <v/>
      </c>
      <c r="X688" s="85" t="str">
        <f>IF(OR(TH!N688=TH!$X$7,O688=TH!$X$7),"x","")</f>
        <v/>
      </c>
      <c r="Y688" s="85" t="str">
        <f>IF(AND(OR(N688="131",O688="131"),H688='131-CT'!$H$9),"x","")</f>
        <v/>
      </c>
      <c r="Z688" s="85"/>
      <c r="AA688" s="85" t="str">
        <f>IF(AND(MONTH(E688)='IN-NX'!$J$5,'IN-NX'!$D$7=D688),"x","")</f>
        <v/>
      </c>
      <c r="AB688" s="85" t="str">
        <f>IF(AND(OR(LEFT(TH!N688,2)="15",LEFT(TH!O688,2)="15"),'152-CT'!$J$8=TH!F688),"x","")</f>
        <v/>
      </c>
      <c r="AC688" s="85" t="str">
        <f>IF(AND(OR(LEFT(TH!N688,2)="15",LEFT(TH!O688,2)="15"),TK!$E$7=TH!F688),"x","")</f>
        <v/>
      </c>
      <c r="AD688" s="85" t="str">
        <f>IF(AND(N688="1521",MONTH(C688)='BK-NL'!$M$11),"x","")</f>
        <v/>
      </c>
    </row>
    <row r="689" spans="1:30" ht="15.75" customHeight="1">
      <c r="A689" s="343" t="str">
        <f>IF(B689&lt;&gt;"",IF(AND(B689='IN-TC'!$S$4,OR(TH!N689="1111",TH!O689="1111")),TH!D689,""),"")</f>
        <v/>
      </c>
      <c r="B689" s="63">
        <f t="shared" ref="B689:B699" si="64">IF(C689&lt;&gt;"",MONTH(C689),"")</f>
        <v>2</v>
      </c>
      <c r="C689" s="320">
        <v>42429</v>
      </c>
      <c r="D689" s="320" t="s">
        <v>585</v>
      </c>
      <c r="E689" s="320">
        <v>42407</v>
      </c>
      <c r="F689" s="321" t="s">
        <v>639</v>
      </c>
      <c r="G689" s="1000" t="s">
        <v>1087</v>
      </c>
      <c r="H689" s="322" t="s">
        <v>635</v>
      </c>
      <c r="I689" s="447"/>
      <c r="J689" s="447"/>
      <c r="K689" s="438"/>
      <c r="L689" s="447"/>
      <c r="M689" s="65">
        <v>11175000</v>
      </c>
      <c r="N689" s="323" t="s">
        <v>594</v>
      </c>
      <c r="O689" s="323" t="s">
        <v>8</v>
      </c>
      <c r="P689" s="85" t="str">
        <f>IF(AND('331-CT'!$E$7=TH!H689,OR(N689="331",O689="331")),"x","")</f>
        <v/>
      </c>
      <c r="Q689" s="85" t="str">
        <f>IF(AND(B689='111'!$L$11,OR($N689=$Q$7,$O689=$Q$7)),"x","")</f>
        <v/>
      </c>
      <c r="R689" s="85" t="str">
        <f>IF(AND($N689=$Q$7,$B689&lt;'111'!$L$11),"x","")</f>
        <v/>
      </c>
      <c r="S689" s="85" t="str">
        <f>IF(AND($O689=$Q$7,$B689&lt;'111'!$L$11),"x","")</f>
        <v/>
      </c>
      <c r="T689" s="85" t="str">
        <f>IF(ISERROR(FIND('112'!$M$9,G689,1)),"",IF((AND(FIND('112'!$M$9,G689,1)&gt;=1,B689='112'!$K$9,OR($N689='112'!$I$6,$O689='112'!$I$6))),"x",""))</f>
        <v/>
      </c>
      <c r="U689" s="85" t="str">
        <f>IF(ISERROR(FIND('112'!$M$9,G689,1)),"",IF((AND(LEFT(G689,2)=LEFT('112'!$M$9,2),B689&lt;'112'!$K$9,$N689='112'!$I$6)),"x",""))</f>
        <v/>
      </c>
      <c r="V689" s="85" t="str">
        <f>IF(ISERROR(FIND('112'!$M$9,G689,1)),"",IF((AND(RIGHT(G689,2)=RIGHT('112'!$M$9,2),B689&lt;'112'!$K$9,$O689='112'!$I$6)),"x",""))</f>
        <v/>
      </c>
      <c r="W689" s="85" t="str">
        <f>IF(AND('341-CT'!$H$9=H689,OR(LEFT(N689,3)=$W$7,LEFT(O689,3)=$W$7)),"x","")</f>
        <v/>
      </c>
      <c r="X689" s="85" t="str">
        <f>IF(OR(TH!N689=TH!$X$7,O689=TH!$X$7),"x","")</f>
        <v/>
      </c>
      <c r="Y689" s="85" t="str">
        <f>IF(AND(OR(N689="131",O689="131"),H689='131-CT'!$H$9),"x","")</f>
        <v/>
      </c>
      <c r="Z689" s="85"/>
      <c r="AA689" s="85" t="str">
        <f>IF(AND(MONTH(E689)='IN-NX'!$J$5,'IN-NX'!$D$7=D689),"x","")</f>
        <v/>
      </c>
      <c r="AB689" s="85" t="str">
        <f>IF(AND(OR(LEFT(TH!N689,2)="15",LEFT(TH!O689,2)="15"),'152-CT'!$J$8=TH!F689),"x","")</f>
        <v/>
      </c>
      <c r="AC689" s="85" t="str">
        <f>IF(AND(OR(LEFT(TH!N689,2)="15",LEFT(TH!O689,2)="15"),TK!$E$7=TH!F689),"x","")</f>
        <v/>
      </c>
      <c r="AD689" s="85" t="str">
        <f>IF(AND(N689="1521",MONTH(C689)='BK-NL'!$M$11),"x","")</f>
        <v/>
      </c>
    </row>
    <row r="690" spans="1:30" ht="15.75" customHeight="1">
      <c r="A690" s="343" t="str">
        <f>IF(B690&lt;&gt;"",IF(AND(B690='IN-TC'!$S$4,OR(TH!N690="1111",TH!O690="1111")),TH!D690,""),"")</f>
        <v/>
      </c>
      <c r="B690" s="63">
        <f t="shared" si="64"/>
        <v>2</v>
      </c>
      <c r="C690" s="320">
        <v>42429</v>
      </c>
      <c r="D690" s="320" t="s">
        <v>585</v>
      </c>
      <c r="E690" s="320">
        <v>42407</v>
      </c>
      <c r="F690" s="321" t="s">
        <v>1093</v>
      </c>
      <c r="G690" s="1000" t="s">
        <v>1088</v>
      </c>
      <c r="H690" s="322" t="s">
        <v>635</v>
      </c>
      <c r="I690" s="447"/>
      <c r="J690" s="447"/>
      <c r="K690" s="438"/>
      <c r="L690" s="447"/>
      <c r="M690" s="65">
        <v>5319300</v>
      </c>
      <c r="N690" s="323" t="s">
        <v>594</v>
      </c>
      <c r="O690" s="323" t="s">
        <v>8</v>
      </c>
      <c r="P690" s="85" t="str">
        <f>IF(AND('331-CT'!$E$7=TH!H690,OR(N690="331",O690="331")),"x","")</f>
        <v/>
      </c>
      <c r="Q690" s="85" t="str">
        <f>IF(AND(B690='111'!$L$11,OR($N690=$Q$7,$O690=$Q$7)),"x","")</f>
        <v/>
      </c>
      <c r="R690" s="85" t="str">
        <f>IF(AND($N690=$Q$7,$B690&lt;'111'!$L$11),"x","")</f>
        <v/>
      </c>
      <c r="S690" s="85" t="str">
        <f>IF(AND($O690=$Q$7,$B690&lt;'111'!$L$11),"x","")</f>
        <v/>
      </c>
      <c r="T690" s="85" t="str">
        <f>IF(ISERROR(FIND('112'!$M$9,G690,1)),"",IF((AND(FIND('112'!$M$9,G690,1)&gt;=1,B690='112'!$K$9,OR($N690='112'!$I$6,$O690='112'!$I$6))),"x",""))</f>
        <v/>
      </c>
      <c r="U690" s="85" t="str">
        <f>IF(ISERROR(FIND('112'!$M$9,G690,1)),"",IF((AND(LEFT(G690,2)=LEFT('112'!$M$9,2),B690&lt;'112'!$K$9,$N690='112'!$I$6)),"x",""))</f>
        <v/>
      </c>
      <c r="V690" s="85" t="str">
        <f>IF(ISERROR(FIND('112'!$M$9,G690,1)),"",IF((AND(RIGHT(G690,2)=RIGHT('112'!$M$9,2),B690&lt;'112'!$K$9,$O690='112'!$I$6)),"x",""))</f>
        <v/>
      </c>
      <c r="W690" s="85" t="str">
        <f>IF(AND('341-CT'!$H$9=H690,OR(LEFT(N690,3)=$W$7,LEFT(O690,3)=$W$7)),"x","")</f>
        <v/>
      </c>
      <c r="X690" s="85" t="str">
        <f>IF(OR(TH!N690=TH!$X$7,O690=TH!$X$7),"x","")</f>
        <v/>
      </c>
      <c r="Y690" s="85" t="str">
        <f>IF(AND(OR(N690="131",O690="131"),H690='131-CT'!$H$9),"x","")</f>
        <v/>
      </c>
      <c r="Z690" s="85"/>
      <c r="AA690" s="85" t="str">
        <f>IF(AND(MONTH(E690)='IN-NX'!$J$5,'IN-NX'!$D$7=D690),"x","")</f>
        <v/>
      </c>
      <c r="AB690" s="85" t="str">
        <f>IF(AND(OR(LEFT(TH!N690,2)="15",LEFT(TH!O690,2)="15"),'152-CT'!$J$8=TH!F690),"x","")</f>
        <v/>
      </c>
      <c r="AC690" s="85" t="str">
        <f>IF(AND(OR(LEFT(TH!N690,2)="15",LEFT(TH!O690,2)="15"),TK!$E$7=TH!F690),"x","")</f>
        <v/>
      </c>
      <c r="AD690" s="85" t="str">
        <f>IF(AND(N690="1521",MONTH(C690)='BK-NL'!$M$11),"x","")</f>
        <v/>
      </c>
    </row>
    <row r="691" spans="1:30" ht="15.75" customHeight="1">
      <c r="A691" s="343" t="str">
        <f>IF(B691&lt;&gt;"",IF(AND(B691='IN-TC'!$S$4,OR(TH!N691="1111",TH!O691="1111")),TH!D691,""),"")</f>
        <v/>
      </c>
      <c r="B691" s="63">
        <f t="shared" si="64"/>
        <v>2</v>
      </c>
      <c r="C691" s="320">
        <v>42429</v>
      </c>
      <c r="D691" s="320" t="s">
        <v>585</v>
      </c>
      <c r="E691" s="320">
        <v>42407</v>
      </c>
      <c r="F691" s="321" t="s">
        <v>1094</v>
      </c>
      <c r="G691" s="1000" t="s">
        <v>1088</v>
      </c>
      <c r="H691" s="322" t="s">
        <v>635</v>
      </c>
      <c r="I691" s="447"/>
      <c r="J691" s="447"/>
      <c r="K691" s="438"/>
      <c r="L691" s="447"/>
      <c r="M691" s="65">
        <v>531930</v>
      </c>
      <c r="N691" s="323" t="s">
        <v>9</v>
      </c>
      <c r="O691" s="323" t="s">
        <v>8</v>
      </c>
      <c r="P691" s="85" t="str">
        <f>IF(AND('331-CT'!$E$7=TH!H691,OR(N691="331",O691="331")),"x","")</f>
        <v/>
      </c>
      <c r="Q691" s="85" t="str">
        <f>IF(AND(B691='111'!$L$11,OR($N691=$Q$7,$O691=$Q$7)),"x","")</f>
        <v/>
      </c>
      <c r="R691" s="85" t="str">
        <f>IF(AND($N691=$Q$7,$B691&lt;'111'!$L$11),"x","")</f>
        <v/>
      </c>
      <c r="S691" s="85" t="str">
        <f>IF(AND($O691=$Q$7,$B691&lt;'111'!$L$11),"x","")</f>
        <v/>
      </c>
      <c r="T691" s="85" t="str">
        <f>IF(ISERROR(FIND('112'!$M$9,G691,1)),"",IF((AND(FIND('112'!$M$9,G691,1)&gt;=1,B691='112'!$K$9,OR($N691='112'!$I$6,$O691='112'!$I$6))),"x",""))</f>
        <v/>
      </c>
      <c r="U691" s="85" t="str">
        <f>IF(ISERROR(FIND('112'!$M$9,G691,1)),"",IF((AND(LEFT(G691,2)=LEFT('112'!$M$9,2),B691&lt;'112'!$K$9,$N691='112'!$I$6)),"x",""))</f>
        <v/>
      </c>
      <c r="V691" s="85" t="str">
        <f>IF(ISERROR(FIND('112'!$M$9,G691,1)),"",IF((AND(RIGHT(G691,2)=RIGHT('112'!$M$9,2),B691&lt;'112'!$K$9,$O691='112'!$I$6)),"x",""))</f>
        <v/>
      </c>
      <c r="W691" s="85" t="str">
        <f>IF(AND('341-CT'!$H$9=H691,OR(LEFT(N691,3)=$W$7,LEFT(O691,3)=$W$7)),"x","")</f>
        <v/>
      </c>
      <c r="X691" s="85" t="str">
        <f>IF(OR(TH!N691=TH!$X$7,O691=TH!$X$7),"x","")</f>
        <v/>
      </c>
      <c r="Y691" s="85" t="str">
        <f>IF(AND(OR(N691="131",O691="131"),H691='131-CT'!$H$9),"x","")</f>
        <v/>
      </c>
      <c r="Z691" s="85"/>
      <c r="AA691" s="85" t="str">
        <f>IF(AND(MONTH(E691)='IN-NX'!$J$5,'IN-NX'!$D$7=D691),"x","")</f>
        <v/>
      </c>
      <c r="AB691" s="85" t="str">
        <f>IF(AND(OR(LEFT(TH!N691,2)="15",LEFT(TH!O691,2)="15"),'152-CT'!$J$8=TH!F691),"x","")</f>
        <v/>
      </c>
      <c r="AC691" s="85" t="str">
        <f>IF(AND(OR(LEFT(TH!N691,2)="15",LEFT(TH!O691,2)="15"),TK!$E$7=TH!F691),"x","")</f>
        <v/>
      </c>
      <c r="AD691" s="85" t="str">
        <f>IF(AND(N691="1521",MONTH(C691)='BK-NL'!$M$11),"x","")</f>
        <v/>
      </c>
    </row>
    <row r="692" spans="1:30" ht="15.75" customHeight="1">
      <c r="A692" s="343" t="str">
        <f>IF(B692&lt;&gt;"",IF(AND(B692='IN-TC'!$S$4,OR(TH!N692="1111",TH!O692="1111")),TH!D692,""),"")</f>
        <v/>
      </c>
      <c r="B692" s="63">
        <f t="shared" si="64"/>
        <v>2</v>
      </c>
      <c r="C692" s="320">
        <v>42429</v>
      </c>
      <c r="D692" s="320" t="s">
        <v>585</v>
      </c>
      <c r="E692" s="320">
        <v>42429</v>
      </c>
      <c r="F692" s="321" t="s">
        <v>643</v>
      </c>
      <c r="G692" s="1000" t="s">
        <v>1089</v>
      </c>
      <c r="H692" s="322" t="s">
        <v>634</v>
      </c>
      <c r="I692" s="447"/>
      <c r="J692" s="447"/>
      <c r="K692" s="438"/>
      <c r="L692" s="447"/>
      <c r="M692" s="65">
        <v>2000000</v>
      </c>
      <c r="N692" s="323" t="s">
        <v>594</v>
      </c>
      <c r="O692" s="323" t="s">
        <v>8</v>
      </c>
      <c r="P692" s="85" t="str">
        <f>IF(AND('331-CT'!$E$7=TH!H692,OR(N692="331",O692="331")),"x","")</f>
        <v/>
      </c>
      <c r="Q692" s="85" t="str">
        <f>IF(AND(B692='111'!$L$11,OR($N692=$Q$7,$O692=$Q$7)),"x","")</f>
        <v/>
      </c>
      <c r="R692" s="85" t="str">
        <f>IF(AND($N692=$Q$7,$B692&lt;'111'!$L$11),"x","")</f>
        <v/>
      </c>
      <c r="S692" s="85" t="str">
        <f>IF(AND($O692=$Q$7,$B692&lt;'111'!$L$11),"x","")</f>
        <v/>
      </c>
      <c r="T692" s="85" t="str">
        <f>IF(ISERROR(FIND('112'!$M$9,G692,1)),"",IF((AND(FIND('112'!$M$9,G692,1)&gt;=1,B692='112'!$K$9,OR($N692='112'!$I$6,$O692='112'!$I$6))),"x",""))</f>
        <v/>
      </c>
      <c r="U692" s="85" t="str">
        <f>IF(ISERROR(FIND('112'!$M$9,G692,1)),"",IF((AND(LEFT(G692,2)=LEFT('112'!$M$9,2),B692&lt;'112'!$K$9,$N692='112'!$I$6)),"x",""))</f>
        <v/>
      </c>
      <c r="V692" s="85" t="str">
        <f>IF(ISERROR(FIND('112'!$M$9,G692,1)),"",IF((AND(RIGHT(G692,2)=RIGHT('112'!$M$9,2),B692&lt;'112'!$K$9,$O692='112'!$I$6)),"x",""))</f>
        <v/>
      </c>
      <c r="W692" s="85" t="str">
        <f>IF(AND('341-CT'!$H$9=H692,OR(LEFT(N692,3)=$W$7,LEFT(O692,3)=$W$7)),"x","")</f>
        <v/>
      </c>
      <c r="X692" s="85" t="str">
        <f>IF(OR(TH!N692=TH!$X$7,O692=TH!$X$7),"x","")</f>
        <v/>
      </c>
      <c r="Y692" s="85" t="str">
        <f>IF(AND(OR(N692="131",O692="131"),H692='131-CT'!$H$9),"x","")</f>
        <v/>
      </c>
      <c r="Z692" s="85"/>
      <c r="AA692" s="85" t="str">
        <f>IF(AND(MONTH(E692)='IN-NX'!$J$5,'IN-NX'!$D$7=D692),"x","")</f>
        <v/>
      </c>
      <c r="AB692" s="85" t="str">
        <f>IF(AND(OR(LEFT(TH!N692,2)="15",LEFT(TH!O692,2)="15"),'152-CT'!$J$8=TH!F692),"x","")</f>
        <v/>
      </c>
      <c r="AC692" s="85" t="str">
        <f>IF(AND(OR(LEFT(TH!N692,2)="15",LEFT(TH!O692,2)="15"),TK!$E$7=TH!F692),"x","")</f>
        <v/>
      </c>
      <c r="AD692" s="85" t="str">
        <f>IF(AND(N692="1521",MONTH(C692)='BK-NL'!$M$11),"x","")</f>
        <v/>
      </c>
    </row>
    <row r="693" spans="1:30" ht="15.75" customHeight="1">
      <c r="A693" s="343" t="str">
        <f>IF(B693&lt;&gt;"",IF(AND(B693='IN-TC'!$S$4,OR(TH!N693="1111",TH!O693="1111")),TH!D693,""),"")</f>
        <v/>
      </c>
      <c r="B693" s="63">
        <f t="shared" si="64"/>
        <v>2</v>
      </c>
      <c r="C693" s="320">
        <v>42429</v>
      </c>
      <c r="D693" s="320" t="s">
        <v>585</v>
      </c>
      <c r="E693" s="320">
        <v>42429</v>
      </c>
      <c r="F693" s="321" t="s">
        <v>644</v>
      </c>
      <c r="G693" s="1000" t="s">
        <v>1089</v>
      </c>
      <c r="H693" s="322" t="s">
        <v>634</v>
      </c>
      <c r="I693" s="447"/>
      <c r="J693" s="447"/>
      <c r="K693" s="438"/>
      <c r="L693" s="447"/>
      <c r="M693" s="65">
        <v>200000</v>
      </c>
      <c r="N693" s="323" t="s">
        <v>9</v>
      </c>
      <c r="O693" s="323" t="s">
        <v>8</v>
      </c>
      <c r="P693" s="85" t="str">
        <f>IF(AND('331-CT'!$E$7=TH!H693,OR(N693="331",O693="331")),"x","")</f>
        <v/>
      </c>
      <c r="Q693" s="85" t="str">
        <f>IF(AND(B693='111'!$L$11,OR($N693=$Q$7,$O693=$Q$7)),"x","")</f>
        <v/>
      </c>
      <c r="R693" s="85" t="str">
        <f>IF(AND($N693=$Q$7,$B693&lt;'111'!$L$11),"x","")</f>
        <v/>
      </c>
      <c r="S693" s="85" t="str">
        <f>IF(AND($O693=$Q$7,$B693&lt;'111'!$L$11),"x","")</f>
        <v/>
      </c>
      <c r="T693" s="85" t="str">
        <f>IF(ISERROR(FIND('112'!$M$9,G693,1)),"",IF((AND(FIND('112'!$M$9,G693,1)&gt;=1,B693='112'!$K$9,OR($N693='112'!$I$6,$O693='112'!$I$6))),"x",""))</f>
        <v/>
      </c>
      <c r="U693" s="85" t="str">
        <f>IF(ISERROR(FIND('112'!$M$9,G693,1)),"",IF((AND(LEFT(G693,2)=LEFT('112'!$M$9,2),B693&lt;'112'!$K$9,$N693='112'!$I$6)),"x",""))</f>
        <v/>
      </c>
      <c r="V693" s="85" t="str">
        <f>IF(ISERROR(FIND('112'!$M$9,G693,1)),"",IF((AND(RIGHT(G693,2)=RIGHT('112'!$M$9,2),B693&lt;'112'!$K$9,$O693='112'!$I$6)),"x",""))</f>
        <v/>
      </c>
      <c r="W693" s="85" t="str">
        <f>IF(AND('341-CT'!$H$9=H693,OR(LEFT(N693,3)=$W$7,LEFT(O693,3)=$W$7)),"x","")</f>
        <v/>
      </c>
      <c r="X693" s="85" t="str">
        <f>IF(OR(TH!N693=TH!$X$7,O693=TH!$X$7),"x","")</f>
        <v/>
      </c>
      <c r="Y693" s="85" t="str">
        <f>IF(AND(OR(N693="131",O693="131"),H693='131-CT'!$H$9),"x","")</f>
        <v/>
      </c>
      <c r="Z693" s="85"/>
      <c r="AA693" s="85" t="str">
        <f>IF(AND(MONTH(E693)='IN-NX'!$J$5,'IN-NX'!$D$7=D693),"x","")</f>
        <v/>
      </c>
      <c r="AB693" s="85" t="str">
        <f>IF(AND(OR(LEFT(TH!N693,2)="15",LEFT(TH!O693,2)="15"),'152-CT'!$J$8=TH!F693),"x","")</f>
        <v/>
      </c>
      <c r="AC693" s="85" t="str">
        <f>IF(AND(OR(LEFT(TH!N693,2)="15",LEFT(TH!O693,2)="15"),TK!$E$7=TH!F693),"x","")</f>
        <v/>
      </c>
      <c r="AD693" s="85" t="str">
        <f>IF(AND(N693="1521",MONTH(C693)='BK-NL'!$M$11),"x","")</f>
        <v/>
      </c>
    </row>
    <row r="694" spans="1:30" ht="15.75" customHeight="1">
      <c r="A694" s="343" t="str">
        <f>IF(B694&lt;&gt;"",IF(AND(B694='IN-TC'!$S$4,OR(TH!N694="1111",TH!O694="1111")),TH!D694,""),"")</f>
        <v/>
      </c>
      <c r="B694" s="63">
        <f t="shared" si="64"/>
        <v>2</v>
      </c>
      <c r="C694" s="320">
        <v>42429</v>
      </c>
      <c r="D694" s="320" t="s">
        <v>585</v>
      </c>
      <c r="E694" s="320">
        <v>42406</v>
      </c>
      <c r="F694" s="321" t="s">
        <v>1095</v>
      </c>
      <c r="G694" s="1000" t="s">
        <v>1090</v>
      </c>
      <c r="H694" s="322" t="s">
        <v>636</v>
      </c>
      <c r="I694" s="447"/>
      <c r="J694" s="447"/>
      <c r="K694" s="438"/>
      <c r="L694" s="447"/>
      <c r="M694" s="65">
        <v>29442000</v>
      </c>
      <c r="N694" s="323" t="s">
        <v>283</v>
      </c>
      <c r="O694" s="323" t="s">
        <v>8</v>
      </c>
      <c r="P694" s="85" t="str">
        <f>IF(AND('331-CT'!$E$7=TH!H694,OR(N694="331",O694="331")),"x","")</f>
        <v/>
      </c>
      <c r="Q694" s="85" t="str">
        <f>IF(AND(B694='111'!$L$11,OR($N694=$Q$7,$O694=$Q$7)),"x","")</f>
        <v/>
      </c>
      <c r="R694" s="85" t="str">
        <f>IF(AND($N694=$Q$7,$B694&lt;'111'!$L$11),"x","")</f>
        <v/>
      </c>
      <c r="S694" s="85" t="str">
        <f>IF(AND($O694=$Q$7,$B694&lt;'111'!$L$11),"x","")</f>
        <v/>
      </c>
      <c r="T694" s="85" t="str">
        <f>IF(ISERROR(FIND('112'!$M$9,G694,1)),"",IF((AND(FIND('112'!$M$9,G694,1)&gt;=1,B694='112'!$K$9,OR($N694='112'!$I$6,$O694='112'!$I$6))),"x",""))</f>
        <v/>
      </c>
      <c r="U694" s="85" t="str">
        <f>IF(ISERROR(FIND('112'!$M$9,G694,1)),"",IF((AND(LEFT(G694,2)=LEFT('112'!$M$9,2),B694&lt;'112'!$K$9,$N694='112'!$I$6)),"x",""))</f>
        <v/>
      </c>
      <c r="V694" s="85" t="str">
        <f>IF(ISERROR(FIND('112'!$M$9,G694,1)),"",IF((AND(RIGHT(G694,2)=RIGHT('112'!$M$9,2),B694&lt;'112'!$K$9,$O694='112'!$I$6)),"x",""))</f>
        <v/>
      </c>
      <c r="W694" s="85" t="str">
        <f>IF(AND('341-CT'!$H$9=H694,OR(LEFT(N694,3)=$W$7,LEFT(O694,3)=$W$7)),"x","")</f>
        <v/>
      </c>
      <c r="X694" s="85" t="str">
        <f>IF(OR(TH!N694=TH!$X$7,O694=TH!$X$7),"x","")</f>
        <v/>
      </c>
      <c r="Y694" s="85" t="str">
        <f>IF(AND(OR(N694="131",O694="131"),H694='131-CT'!$H$9),"x","")</f>
        <v/>
      </c>
      <c r="Z694" s="85"/>
      <c r="AA694" s="85" t="str">
        <f>IF(AND(MONTH(E694)='IN-NX'!$J$5,'IN-NX'!$D$7=D694),"x","")</f>
        <v/>
      </c>
      <c r="AB694" s="85" t="str">
        <f>IF(AND(OR(LEFT(TH!N694,2)="15",LEFT(TH!O694,2)="15"),'152-CT'!$J$8=TH!F694),"x","")</f>
        <v/>
      </c>
      <c r="AC694" s="85" t="str">
        <f>IF(AND(OR(LEFT(TH!N694,2)="15",LEFT(TH!O694,2)="15"),TK!$E$7=TH!F694),"x","")</f>
        <v/>
      </c>
      <c r="AD694" s="85" t="str">
        <f>IF(AND(N694="1521",MONTH(C694)='BK-NL'!$M$11),"x","")</f>
        <v/>
      </c>
    </row>
    <row r="695" spans="1:30" ht="15.75" customHeight="1">
      <c r="A695" s="343" t="str">
        <f>IF(B695&lt;&gt;"",IF(AND(B695='IN-TC'!$S$4,OR(TH!N695="1111",TH!O695="1111")),TH!D695,""),"")</f>
        <v/>
      </c>
      <c r="B695" s="63">
        <f t="shared" si="64"/>
        <v>2</v>
      </c>
      <c r="C695" s="320">
        <v>42429</v>
      </c>
      <c r="D695" s="320" t="s">
        <v>585</v>
      </c>
      <c r="E695" s="320">
        <v>42406</v>
      </c>
      <c r="F695" s="321" t="s">
        <v>1096</v>
      </c>
      <c r="G695" s="1000" t="s">
        <v>1090</v>
      </c>
      <c r="H695" s="322" t="s">
        <v>636</v>
      </c>
      <c r="I695" s="447"/>
      <c r="J695" s="447"/>
      <c r="K695" s="438"/>
      <c r="L695" s="447"/>
      <c r="M695" s="65">
        <v>2944200</v>
      </c>
      <c r="N695" s="323" t="s">
        <v>9</v>
      </c>
      <c r="O695" s="323" t="s">
        <v>8</v>
      </c>
      <c r="P695" s="85" t="str">
        <f>IF(AND('331-CT'!$E$7=TH!H695,OR(N695="331",O695="331")),"x","")</f>
        <v/>
      </c>
      <c r="Q695" s="85" t="str">
        <f>IF(AND(B695='111'!$L$11,OR($N695=$Q$7,$O695=$Q$7)),"x","")</f>
        <v/>
      </c>
      <c r="R695" s="85" t="str">
        <f>IF(AND($N695=$Q$7,$B695&lt;'111'!$L$11),"x","")</f>
        <v/>
      </c>
      <c r="S695" s="85" t="str">
        <f>IF(AND($O695=$Q$7,$B695&lt;'111'!$L$11),"x","")</f>
        <v/>
      </c>
      <c r="T695" s="85" t="str">
        <f>IF(ISERROR(FIND('112'!$M$9,G695,1)),"",IF((AND(FIND('112'!$M$9,G695,1)&gt;=1,B695='112'!$K$9,OR($N695='112'!$I$6,$O695='112'!$I$6))),"x",""))</f>
        <v/>
      </c>
      <c r="U695" s="85" t="str">
        <f>IF(ISERROR(FIND('112'!$M$9,G695,1)),"",IF((AND(LEFT(G695,2)=LEFT('112'!$M$9,2),B695&lt;'112'!$K$9,$N695='112'!$I$6)),"x",""))</f>
        <v/>
      </c>
      <c r="V695" s="85" t="str">
        <f>IF(ISERROR(FIND('112'!$M$9,G695,1)),"",IF((AND(RIGHT(G695,2)=RIGHT('112'!$M$9,2),B695&lt;'112'!$K$9,$O695='112'!$I$6)),"x",""))</f>
        <v/>
      </c>
      <c r="W695" s="85" t="str">
        <f>IF(AND('341-CT'!$H$9=H695,OR(LEFT(N695,3)=$W$7,LEFT(O695,3)=$W$7)),"x","")</f>
        <v/>
      </c>
      <c r="X695" s="85" t="str">
        <f>IF(OR(TH!N695=TH!$X$7,O695=TH!$X$7),"x","")</f>
        <v/>
      </c>
      <c r="Y695" s="85" t="str">
        <f>IF(AND(OR(N695="131",O695="131"),H695='131-CT'!$H$9),"x","")</f>
        <v/>
      </c>
      <c r="Z695" s="85"/>
      <c r="AA695" s="85" t="str">
        <f>IF(AND(MONTH(E695)='IN-NX'!$J$5,'IN-NX'!$D$7=D695),"x","")</f>
        <v/>
      </c>
      <c r="AB695" s="85" t="str">
        <f>IF(AND(OR(LEFT(TH!N695,2)="15",LEFT(TH!O695,2)="15"),'152-CT'!$J$8=TH!F695),"x","")</f>
        <v/>
      </c>
      <c r="AC695" s="85" t="str">
        <f>IF(AND(OR(LEFT(TH!N695,2)="15",LEFT(TH!O695,2)="15"),TK!$E$7=TH!F695),"x","")</f>
        <v/>
      </c>
      <c r="AD695" s="85" t="str">
        <f>IF(AND(N695="1521",MONTH(C695)='BK-NL'!$M$11),"x","")</f>
        <v/>
      </c>
    </row>
    <row r="696" spans="1:30" ht="15.75" customHeight="1">
      <c r="A696" s="343" t="str">
        <f>IF(B696&lt;&gt;"",IF(AND(B696='IN-TC'!$S$4,OR(TH!N696="1111",TH!O696="1111")),TH!D696,""),"")</f>
        <v/>
      </c>
      <c r="B696" s="63">
        <f t="shared" si="64"/>
        <v>2</v>
      </c>
      <c r="C696" s="320">
        <v>42429</v>
      </c>
      <c r="D696" s="320" t="s">
        <v>585</v>
      </c>
      <c r="E696" s="320">
        <v>42426</v>
      </c>
      <c r="F696" s="321" t="s">
        <v>1099</v>
      </c>
      <c r="G696" s="1000" t="s">
        <v>1117</v>
      </c>
      <c r="H696" s="322" t="s">
        <v>636</v>
      </c>
      <c r="I696" s="447"/>
      <c r="J696" s="447"/>
      <c r="K696" s="438"/>
      <c r="L696" s="447"/>
      <c r="M696" s="65">
        <v>21102800</v>
      </c>
      <c r="N696" s="323" t="s">
        <v>283</v>
      </c>
      <c r="O696" s="323" t="s">
        <v>8</v>
      </c>
      <c r="P696" s="85" t="str">
        <f>IF(AND('331-CT'!$E$7=TH!H696,OR(N696="331",O696="331")),"x","")</f>
        <v/>
      </c>
      <c r="Q696" s="85" t="str">
        <f>IF(AND(B696='111'!$L$11,OR($N696=$Q$7,$O696=$Q$7)),"x","")</f>
        <v/>
      </c>
      <c r="R696" s="85" t="str">
        <f>IF(AND($N696=$Q$7,$B696&lt;'111'!$L$11),"x","")</f>
        <v/>
      </c>
      <c r="S696" s="85" t="str">
        <f>IF(AND($O696=$Q$7,$B696&lt;'111'!$L$11),"x","")</f>
        <v/>
      </c>
      <c r="T696" s="85" t="str">
        <f>IF(ISERROR(FIND('112'!$M$9,G696,1)),"",IF((AND(FIND('112'!$M$9,G696,1)&gt;=1,B696='112'!$K$9,OR($N696='112'!$I$6,$O696='112'!$I$6))),"x",""))</f>
        <v/>
      </c>
      <c r="U696" s="85" t="str">
        <f>IF(ISERROR(FIND('112'!$M$9,G696,1)),"",IF((AND(LEFT(G696,2)=LEFT('112'!$M$9,2),B696&lt;'112'!$K$9,$N696='112'!$I$6)),"x",""))</f>
        <v/>
      </c>
      <c r="V696" s="85" t="str">
        <f>IF(ISERROR(FIND('112'!$M$9,G696,1)),"",IF((AND(RIGHT(G696,2)=RIGHT('112'!$M$9,2),B696&lt;'112'!$K$9,$O696='112'!$I$6)),"x",""))</f>
        <v/>
      </c>
      <c r="W696" s="85" t="str">
        <f>IF(AND('341-CT'!$H$9=H696,OR(LEFT(N696,3)=$W$7,LEFT(O696,3)=$W$7)),"x","")</f>
        <v/>
      </c>
      <c r="X696" s="85" t="str">
        <f>IF(OR(TH!N696=TH!$X$7,O696=TH!$X$7),"x","")</f>
        <v/>
      </c>
      <c r="Y696" s="85" t="str">
        <f>IF(AND(OR(N696="131",O696="131"),H696='131-CT'!$H$9),"x","")</f>
        <v/>
      </c>
      <c r="Z696" s="85"/>
      <c r="AA696" s="85" t="str">
        <f>IF(AND(MONTH(E696)='IN-NX'!$J$5,'IN-NX'!$D$7=D696),"x","")</f>
        <v/>
      </c>
      <c r="AB696" s="85" t="str">
        <f>IF(AND(OR(LEFT(TH!N696,2)="15",LEFT(TH!O696,2)="15"),'152-CT'!$J$8=TH!F696),"x","")</f>
        <v/>
      </c>
      <c r="AC696" s="85" t="str">
        <f>IF(AND(OR(LEFT(TH!N696,2)="15",LEFT(TH!O696,2)="15"),TK!$E$7=TH!F696),"x","")</f>
        <v/>
      </c>
      <c r="AD696" s="85" t="str">
        <f>IF(AND(N696="1521",MONTH(C696)='BK-NL'!$M$11),"x","")</f>
        <v/>
      </c>
    </row>
    <row r="697" spans="1:30" ht="15.75" customHeight="1">
      <c r="A697" s="343" t="str">
        <f>IF(B697&lt;&gt;"",IF(AND(B697='IN-TC'!$S$4,OR(TH!N697="1111",TH!O697="1111")),TH!D697,""),"")</f>
        <v/>
      </c>
      <c r="B697" s="63">
        <f t="shared" si="64"/>
        <v>2</v>
      </c>
      <c r="C697" s="320">
        <v>42429</v>
      </c>
      <c r="D697" s="320" t="s">
        <v>585</v>
      </c>
      <c r="E697" s="320">
        <v>42426</v>
      </c>
      <c r="F697" s="321" t="s">
        <v>1100</v>
      </c>
      <c r="G697" s="1000" t="s">
        <v>1117</v>
      </c>
      <c r="H697" s="322" t="s">
        <v>636</v>
      </c>
      <c r="I697" s="447"/>
      <c r="J697" s="447"/>
      <c r="K697" s="438"/>
      <c r="L697" s="447"/>
      <c r="M697" s="65">
        <v>2110280</v>
      </c>
      <c r="N697" s="323" t="s">
        <v>9</v>
      </c>
      <c r="O697" s="323" t="s">
        <v>8</v>
      </c>
      <c r="P697" s="85" t="str">
        <f>IF(AND('331-CT'!$E$7=TH!H697,OR(N697="331",O697="331")),"x","")</f>
        <v/>
      </c>
      <c r="Q697" s="85" t="str">
        <f>IF(AND(B697='111'!$L$11,OR($N697=$Q$7,$O697=$Q$7)),"x","")</f>
        <v/>
      </c>
      <c r="R697" s="85" t="str">
        <f>IF(AND($N697=$Q$7,$B697&lt;'111'!$L$11),"x","")</f>
        <v/>
      </c>
      <c r="S697" s="85" t="str">
        <f>IF(AND($O697=$Q$7,$B697&lt;'111'!$L$11),"x","")</f>
        <v/>
      </c>
      <c r="T697" s="85" t="str">
        <f>IF(ISERROR(FIND('112'!$M$9,G697,1)),"",IF((AND(FIND('112'!$M$9,G697,1)&gt;=1,B697='112'!$K$9,OR($N697='112'!$I$6,$O697='112'!$I$6))),"x",""))</f>
        <v/>
      </c>
      <c r="U697" s="85" t="str">
        <f>IF(ISERROR(FIND('112'!$M$9,G697,1)),"",IF((AND(LEFT(G697,2)=LEFT('112'!$M$9,2),B697&lt;'112'!$K$9,$N697='112'!$I$6)),"x",""))</f>
        <v/>
      </c>
      <c r="V697" s="85" t="str">
        <f>IF(ISERROR(FIND('112'!$M$9,G697,1)),"",IF((AND(RIGHT(G697,2)=RIGHT('112'!$M$9,2),B697&lt;'112'!$K$9,$O697='112'!$I$6)),"x",""))</f>
        <v/>
      </c>
      <c r="W697" s="85" t="str">
        <f>IF(AND('341-CT'!$H$9=H697,OR(LEFT(N697,3)=$W$7,LEFT(O697,3)=$W$7)),"x","")</f>
        <v/>
      </c>
      <c r="X697" s="85" t="str">
        <f>IF(OR(TH!N697=TH!$X$7,O697=TH!$X$7),"x","")</f>
        <v/>
      </c>
      <c r="Y697" s="85" t="str">
        <f>IF(AND(OR(N697="131",O697="131"),H697='131-CT'!$H$9),"x","")</f>
        <v/>
      </c>
      <c r="Z697" s="85"/>
      <c r="AA697" s="85" t="str">
        <f>IF(AND(MONTH(E697)='IN-NX'!$J$5,'IN-NX'!$D$7=D697),"x","")</f>
        <v/>
      </c>
      <c r="AB697" s="85" t="str">
        <f>IF(AND(OR(LEFT(TH!N697,2)="15",LEFT(TH!O697,2)="15"),'152-CT'!$J$8=TH!F697),"x","")</f>
        <v/>
      </c>
      <c r="AC697" s="85" t="str">
        <f>IF(AND(OR(LEFT(TH!N697,2)="15",LEFT(TH!O697,2)="15"),TK!$E$7=TH!F697),"x","")</f>
        <v/>
      </c>
      <c r="AD697" s="85" t="str">
        <f>IF(AND(N697="1521",MONTH(C697)='BK-NL'!$M$11),"x","")</f>
        <v/>
      </c>
    </row>
    <row r="698" spans="1:30" ht="15.75" customHeight="1">
      <c r="A698" s="343" t="str">
        <f>IF(B698&lt;&gt;"",IF(AND(B698='IN-TC'!$S$4,OR(TH!N698="1111",TH!O698="1111")),TH!D698,""),"")</f>
        <v/>
      </c>
      <c r="B698" s="63">
        <f t="shared" si="64"/>
        <v>2</v>
      </c>
      <c r="C698" s="320">
        <v>42429</v>
      </c>
      <c r="D698" s="320" t="s">
        <v>585</v>
      </c>
      <c r="E698" s="320">
        <v>42384</v>
      </c>
      <c r="F698" s="321" t="s">
        <v>1101</v>
      </c>
      <c r="G698" s="321" t="s">
        <v>1092</v>
      </c>
      <c r="H698" s="322" t="s">
        <v>637</v>
      </c>
      <c r="I698" s="447"/>
      <c r="J698" s="447"/>
      <c r="K698" s="438"/>
      <c r="L698" s="447"/>
      <c r="M698" s="65">
        <v>124981818</v>
      </c>
      <c r="N698" s="323" t="s">
        <v>162</v>
      </c>
      <c r="O698" s="323" t="s">
        <v>8</v>
      </c>
      <c r="P698" s="85" t="str">
        <f>IF(AND('331-CT'!$E$7=TH!H698,OR(N698="331",O698="331")),"x","")</f>
        <v/>
      </c>
      <c r="Q698" s="85" t="str">
        <f>IF(AND(B698='111'!$L$11,OR($N698=$Q$7,$O698=$Q$7)),"x","")</f>
        <v/>
      </c>
      <c r="R698" s="85" t="str">
        <f>IF(AND($N698=$Q$7,$B698&lt;'111'!$L$11),"x","")</f>
        <v/>
      </c>
      <c r="S698" s="85" t="str">
        <f>IF(AND($O698=$Q$7,$B698&lt;'111'!$L$11),"x","")</f>
        <v/>
      </c>
      <c r="T698" s="85" t="str">
        <f>IF(ISERROR(FIND('112'!$M$9,G698,1)),"",IF((AND(FIND('112'!$M$9,G698,1)&gt;=1,B698='112'!$K$9,OR($N698='112'!$I$6,$O698='112'!$I$6))),"x",""))</f>
        <v/>
      </c>
      <c r="U698" s="85" t="str">
        <f>IF(ISERROR(FIND('112'!$M$9,G698,1)),"",IF((AND(LEFT(G698,2)=LEFT('112'!$M$9,2),B698&lt;'112'!$K$9,$N698='112'!$I$6)),"x",""))</f>
        <v/>
      </c>
      <c r="V698" s="85" t="str">
        <f>IF(ISERROR(FIND('112'!$M$9,G698,1)),"",IF((AND(RIGHT(G698,2)=RIGHT('112'!$M$9,2),B698&lt;'112'!$K$9,$O698='112'!$I$6)),"x",""))</f>
        <v/>
      </c>
      <c r="W698" s="85" t="str">
        <f>IF(AND('341-CT'!$H$9=H698,OR(LEFT(N698,3)=$W$7,LEFT(O698,3)=$W$7)),"x","")</f>
        <v/>
      </c>
      <c r="X698" s="85" t="str">
        <f>IF(OR(TH!N698=TH!$X$7,O698=TH!$X$7),"x","")</f>
        <v/>
      </c>
      <c r="Y698" s="85" t="str">
        <f>IF(AND(OR(N698="131",O698="131"),H698='131-CT'!$H$9),"x","")</f>
        <v/>
      </c>
      <c r="Z698" s="85"/>
      <c r="AA698" s="85" t="str">
        <f>IF(AND(MONTH(E698)='IN-NX'!$J$5,'IN-NX'!$D$7=D698),"x","")</f>
        <v/>
      </c>
      <c r="AB698" s="85" t="str">
        <f>IF(AND(OR(LEFT(TH!N698,2)="15",LEFT(TH!O698,2)="15"),'152-CT'!$J$8=TH!F698),"x","")</f>
        <v/>
      </c>
      <c r="AC698" s="85" t="str">
        <f>IF(AND(OR(LEFT(TH!N698,2)="15",LEFT(TH!O698,2)="15"),TK!$E$7=TH!F698),"x","")</f>
        <v/>
      </c>
      <c r="AD698" s="85" t="str">
        <f>IF(AND(N698="1521",MONTH(C698)='BK-NL'!$M$11),"x","")</f>
        <v/>
      </c>
    </row>
    <row r="699" spans="1:30" ht="15.75" customHeight="1">
      <c r="A699" s="343" t="str">
        <f>IF(B699&lt;&gt;"",IF(AND(B699='IN-TC'!$S$4,OR(TH!N699="1111",TH!O699="1111")),TH!D699,""),"")</f>
        <v/>
      </c>
      <c r="B699" s="63">
        <f t="shared" si="64"/>
        <v>2</v>
      </c>
      <c r="C699" s="320">
        <v>42429</v>
      </c>
      <c r="D699" s="320" t="s">
        <v>585</v>
      </c>
      <c r="E699" s="320">
        <v>42384</v>
      </c>
      <c r="F699" s="321" t="s">
        <v>1102</v>
      </c>
      <c r="G699" s="321" t="s">
        <v>1092</v>
      </c>
      <c r="H699" s="322" t="s">
        <v>637</v>
      </c>
      <c r="I699" s="447"/>
      <c r="J699" s="447"/>
      <c r="K699" s="438"/>
      <c r="L699" s="447"/>
      <c r="M699" s="65">
        <v>12498182</v>
      </c>
      <c r="N699" s="323" t="s">
        <v>9</v>
      </c>
      <c r="O699" s="323" t="s">
        <v>8</v>
      </c>
      <c r="P699" s="85" t="str">
        <f>IF(AND('331-CT'!$E$7=TH!H699,OR(N699="331",O699="331")),"x","")</f>
        <v/>
      </c>
      <c r="Q699" s="85" t="str">
        <f>IF(AND(B699='111'!$L$11,OR($N699=$Q$7,$O699=$Q$7)),"x","")</f>
        <v/>
      </c>
      <c r="R699" s="85" t="str">
        <f>IF(AND($N699=$Q$7,$B699&lt;'111'!$L$11),"x","")</f>
        <v/>
      </c>
      <c r="S699" s="85" t="str">
        <f>IF(AND($O699=$Q$7,$B699&lt;'111'!$L$11),"x","")</f>
        <v/>
      </c>
      <c r="T699" s="85" t="str">
        <f>IF(ISERROR(FIND('112'!$M$9,G699,1)),"",IF((AND(FIND('112'!$M$9,G699,1)&gt;=1,B699='112'!$K$9,OR($N699='112'!$I$6,$O699='112'!$I$6))),"x",""))</f>
        <v/>
      </c>
      <c r="U699" s="85" t="str">
        <f>IF(ISERROR(FIND('112'!$M$9,G699,1)),"",IF((AND(LEFT(G699,2)=LEFT('112'!$M$9,2),B699&lt;'112'!$K$9,$N699='112'!$I$6)),"x",""))</f>
        <v/>
      </c>
      <c r="V699" s="85" t="str">
        <f>IF(ISERROR(FIND('112'!$M$9,G699,1)),"",IF((AND(RIGHT(G699,2)=RIGHT('112'!$M$9,2),B699&lt;'112'!$K$9,$O699='112'!$I$6)),"x",""))</f>
        <v/>
      </c>
      <c r="W699" s="85" t="str">
        <f>IF(AND('341-CT'!$H$9=H699,OR(LEFT(N699,3)=$W$7,LEFT(O699,3)=$W$7)),"x","")</f>
        <v/>
      </c>
      <c r="X699" s="85" t="str">
        <f>IF(OR(TH!N699=TH!$X$7,O699=TH!$X$7),"x","")</f>
        <v/>
      </c>
      <c r="Y699" s="85" t="str">
        <f>IF(AND(OR(N699="131",O699="131"),H699='131-CT'!$H$9),"x","")</f>
        <v/>
      </c>
      <c r="Z699" s="85"/>
      <c r="AA699" s="85" t="str">
        <f>IF(AND(MONTH(E699)='IN-NX'!$J$5,'IN-NX'!$D$7=D699),"x","")</f>
        <v/>
      </c>
      <c r="AB699" s="85" t="str">
        <f>IF(AND(OR(LEFT(TH!N699,2)="15",LEFT(TH!O699,2)="15"),'152-CT'!$J$8=TH!F699),"x","")</f>
        <v/>
      </c>
      <c r="AC699" s="85" t="str">
        <f>IF(AND(OR(LEFT(TH!N699,2)="15",LEFT(TH!O699,2)="15"),TK!$E$7=TH!F699),"x","")</f>
        <v/>
      </c>
      <c r="AD699" s="85" t="str">
        <f>IF(AND(N699="1521",MONTH(C699)='BK-NL'!$M$11),"x","")</f>
        <v/>
      </c>
    </row>
    <row r="700" spans="1:30" ht="15.75" customHeight="1">
      <c r="A700" s="343" t="str">
        <f>IF(B700&lt;&gt;"",IF(AND(B700='IN-TC'!$S$4,OR(TH!N700="1111",TH!O700="1111")),TH!D700,""),"")</f>
        <v/>
      </c>
      <c r="B700" s="63">
        <f t="shared" ref="B700:B714" si="65">IF(C700&lt;&gt;"",MONTH(C700),"")</f>
        <v>3</v>
      </c>
      <c r="C700" s="320">
        <v>42460</v>
      </c>
      <c r="D700" s="320" t="s">
        <v>585</v>
      </c>
      <c r="E700" s="320">
        <v>42426</v>
      </c>
      <c r="F700" s="321" t="s">
        <v>1159</v>
      </c>
      <c r="G700" s="1000" t="s">
        <v>1161</v>
      </c>
      <c r="H700" s="322" t="s">
        <v>636</v>
      </c>
      <c r="I700" s="447"/>
      <c r="J700" s="447"/>
      <c r="K700" s="438"/>
      <c r="L700" s="447"/>
      <c r="M700" s="65">
        <v>236351</v>
      </c>
      <c r="N700" s="323" t="s">
        <v>101</v>
      </c>
      <c r="O700" s="323" t="s">
        <v>8</v>
      </c>
      <c r="P700" s="85" t="str">
        <f>IF(AND('331-CT'!$E$7=TH!H700,OR(N700="331",O700="331")),"x","")</f>
        <v/>
      </c>
      <c r="Q700" s="85" t="str">
        <f>IF(AND(B700='111'!$L$11,OR($N700=$Q$7,$O700=$Q$7)),"x","")</f>
        <v/>
      </c>
      <c r="R700" s="85" t="str">
        <f>IF(AND($N700=$Q$7,$B700&lt;'111'!$L$11),"x","")</f>
        <v/>
      </c>
      <c r="S700" s="85" t="str">
        <f>IF(AND($O700=$Q$7,$B700&lt;'111'!$L$11),"x","")</f>
        <v/>
      </c>
      <c r="T700" s="85" t="str">
        <f>IF(ISERROR(FIND('112'!$M$9,G700,1)),"",IF((AND(FIND('112'!$M$9,G700,1)&gt;=1,B700='112'!$K$9,OR($N700='112'!$I$6,$O700='112'!$I$6))),"x",""))</f>
        <v/>
      </c>
      <c r="U700" s="85" t="str">
        <f>IF(ISERROR(FIND('112'!$M$9,G700,1)),"",IF((AND(LEFT(G700,2)=LEFT('112'!$M$9,2),B700&lt;'112'!$K$9,$N700='112'!$I$6)),"x",""))</f>
        <v/>
      </c>
      <c r="V700" s="85" t="str">
        <f>IF(ISERROR(FIND('112'!$M$9,G700,1)),"",IF((AND(RIGHT(G700,2)=RIGHT('112'!$M$9,2),B700&lt;'112'!$K$9,$O700='112'!$I$6)),"x",""))</f>
        <v/>
      </c>
      <c r="W700" s="85" t="str">
        <f>IF(AND('341-CT'!$H$9=H700,OR(LEFT(N700,3)=$W$7,LEFT(O700,3)=$W$7)),"x","")</f>
        <v/>
      </c>
      <c r="X700" s="85" t="str">
        <f>IF(OR(TH!N700=TH!$X$7,O700=TH!$X$7),"x","")</f>
        <v/>
      </c>
      <c r="Y700" s="85" t="str">
        <f>IF(AND(OR(N700="131",O700="131"),H700='131-CT'!$H$9),"x","")</f>
        <v/>
      </c>
      <c r="Z700" s="85"/>
      <c r="AA700" s="85" t="str">
        <f>IF(AND(MONTH(E700)='IN-NX'!$J$5,'IN-NX'!$D$7=D700),"x","")</f>
        <v/>
      </c>
      <c r="AB700" s="85" t="str">
        <f>IF(AND(OR(LEFT(TH!N700,2)="15",LEFT(TH!O700,2)="15"),'152-CT'!$J$8=TH!F700),"x","")</f>
        <v/>
      </c>
      <c r="AC700" s="85" t="str">
        <f>IF(AND(OR(LEFT(TH!N700,2)="15",LEFT(TH!O700,2)="15"),TK!$E$7=TH!F700),"x","")</f>
        <v/>
      </c>
      <c r="AD700" s="85" t="str">
        <f>IF(AND(N700="1521",MONTH(C700)='BK-NL'!$M$11),"x","")</f>
        <v/>
      </c>
    </row>
    <row r="701" spans="1:30" ht="15.75" customHeight="1">
      <c r="A701" s="343" t="str">
        <f>IF(B701&lt;&gt;"",IF(AND(B701='IN-TC'!$S$4,OR(TH!N701="1111",TH!O701="1111")),TH!D701,""),"")</f>
        <v/>
      </c>
      <c r="B701" s="63">
        <f t="shared" si="65"/>
        <v>3</v>
      </c>
      <c r="C701" s="320">
        <v>42460</v>
      </c>
      <c r="D701" s="320" t="s">
        <v>585</v>
      </c>
      <c r="E701" s="320">
        <v>42426</v>
      </c>
      <c r="F701" s="321" t="s">
        <v>1160</v>
      </c>
      <c r="G701" s="1000" t="s">
        <v>1161</v>
      </c>
      <c r="H701" s="322" t="s">
        <v>636</v>
      </c>
      <c r="I701" s="447"/>
      <c r="J701" s="447"/>
      <c r="K701" s="438"/>
      <c r="L701" s="447"/>
      <c r="M701" s="65">
        <v>23635</v>
      </c>
      <c r="N701" s="323" t="s">
        <v>9</v>
      </c>
      <c r="O701" s="323" t="s">
        <v>8</v>
      </c>
      <c r="P701" s="85" t="str">
        <f>IF(AND('331-CT'!$E$7=TH!H701,OR(N701="331",O701="331")),"x","")</f>
        <v/>
      </c>
      <c r="Q701" s="85" t="str">
        <f>IF(AND(B701='111'!$L$11,OR($N701=$Q$7,$O701=$Q$7)),"x","")</f>
        <v/>
      </c>
      <c r="R701" s="85" t="str">
        <f>IF(AND($N701=$Q$7,$B701&lt;'111'!$L$11),"x","")</f>
        <v/>
      </c>
      <c r="S701" s="85" t="str">
        <f>IF(AND($O701=$Q$7,$B701&lt;'111'!$L$11),"x","")</f>
        <v/>
      </c>
      <c r="T701" s="85" t="str">
        <f>IF(ISERROR(FIND('112'!$M$9,G701,1)),"",IF((AND(FIND('112'!$M$9,G701,1)&gt;=1,B701='112'!$K$9,OR($N701='112'!$I$6,$O701='112'!$I$6))),"x",""))</f>
        <v/>
      </c>
      <c r="U701" s="85" t="str">
        <f>IF(ISERROR(FIND('112'!$M$9,G701,1)),"",IF((AND(LEFT(G701,2)=LEFT('112'!$M$9,2),B701&lt;'112'!$K$9,$N701='112'!$I$6)),"x",""))</f>
        <v/>
      </c>
      <c r="V701" s="85" t="str">
        <f>IF(ISERROR(FIND('112'!$M$9,G701,1)),"",IF((AND(RIGHT(G701,2)=RIGHT('112'!$M$9,2),B701&lt;'112'!$K$9,$O701='112'!$I$6)),"x",""))</f>
        <v/>
      </c>
      <c r="W701" s="85" t="str">
        <f>IF(AND('341-CT'!$H$9=H701,OR(LEFT(N701,3)=$W$7,LEFT(O701,3)=$W$7)),"x","")</f>
        <v/>
      </c>
      <c r="X701" s="85" t="str">
        <f>IF(OR(TH!N701=TH!$X$7,O701=TH!$X$7),"x","")</f>
        <v/>
      </c>
      <c r="Y701" s="85" t="str">
        <f>IF(AND(OR(N701="131",O701="131"),H701='131-CT'!$H$9),"x","")</f>
        <v/>
      </c>
      <c r="Z701" s="85"/>
      <c r="AA701" s="85" t="str">
        <f>IF(AND(MONTH(E701)='IN-NX'!$J$5,'IN-NX'!$D$7=D701),"x","")</f>
        <v/>
      </c>
      <c r="AB701" s="85" t="str">
        <f>IF(AND(OR(LEFT(TH!N701,2)="15",LEFT(TH!O701,2)="15"),'152-CT'!$J$8=TH!F701),"x","")</f>
        <v/>
      </c>
      <c r="AC701" s="85" t="str">
        <f>IF(AND(OR(LEFT(TH!N701,2)="15",LEFT(TH!O701,2)="15"),TK!$E$7=TH!F701),"x","")</f>
        <v/>
      </c>
      <c r="AD701" s="85" t="str">
        <f>IF(AND(N701="1521",MONTH(C701)='BK-NL'!$M$11),"x","")</f>
        <v/>
      </c>
    </row>
    <row r="702" spans="1:30" ht="15.75" customHeight="1">
      <c r="A702" s="343" t="str">
        <f>IF(B702&lt;&gt;"",IF(AND(B702='IN-TC'!$S$4,OR(TH!N702="1111",TH!O702="1111")),TH!D702,""),"")</f>
        <v/>
      </c>
      <c r="B702" s="63">
        <f t="shared" si="65"/>
        <v>3</v>
      </c>
      <c r="C702" s="320">
        <v>42460</v>
      </c>
      <c r="D702" s="1009" t="s">
        <v>585</v>
      </c>
      <c r="E702" s="1009">
        <v>42435</v>
      </c>
      <c r="F702" s="321" t="s">
        <v>1178</v>
      </c>
      <c r="G702" s="1010"/>
      <c r="H702" s="322" t="s">
        <v>636</v>
      </c>
      <c r="I702" s="447"/>
      <c r="J702" s="447"/>
      <c r="K702" s="438"/>
      <c r="L702" s="447"/>
      <c r="M702" s="65">
        <v>20681300</v>
      </c>
      <c r="N702" s="323" t="s">
        <v>283</v>
      </c>
      <c r="O702" s="323" t="s">
        <v>8</v>
      </c>
      <c r="P702" s="85" t="str">
        <f>IF(AND('331-CT'!$E$7=TH!H702,OR(N702="331",O702="331")),"x","")</f>
        <v/>
      </c>
      <c r="Q702" s="85" t="str">
        <f>IF(AND(B702='111'!$L$11,OR($N702=$Q$7,$O702=$Q$7)),"x","")</f>
        <v/>
      </c>
      <c r="R702" s="85" t="str">
        <f>IF(AND($N702=$Q$7,$B702&lt;'111'!$L$11),"x","")</f>
        <v/>
      </c>
      <c r="S702" s="85" t="str">
        <f>IF(AND($O702=$Q$7,$B702&lt;'111'!$L$11),"x","")</f>
        <v/>
      </c>
      <c r="T702" s="85" t="str">
        <f>IF(ISERROR(FIND('112'!$M$9,G702,1)),"",IF((AND(FIND('112'!$M$9,G702,1)&gt;=1,B702='112'!$K$9,OR($N702='112'!$I$6,$O702='112'!$I$6))),"x",""))</f>
        <v/>
      </c>
      <c r="U702" s="85" t="str">
        <f>IF(ISERROR(FIND('112'!$M$9,G702,1)),"",IF((AND(LEFT(G702,2)=LEFT('112'!$M$9,2),B702&lt;'112'!$K$9,$N702='112'!$I$6)),"x",""))</f>
        <v/>
      </c>
      <c r="V702" s="85" t="str">
        <f>IF(ISERROR(FIND('112'!$M$9,G702,1)),"",IF((AND(RIGHT(G702,2)=RIGHT('112'!$M$9,2),B702&lt;'112'!$K$9,$O702='112'!$I$6)),"x",""))</f>
        <v/>
      </c>
      <c r="W702" s="85" t="str">
        <f>IF(AND('341-CT'!$H$9=H702,OR(LEFT(N702,3)=$W$7,LEFT(O702,3)=$W$7)),"x","")</f>
        <v/>
      </c>
      <c r="X702" s="85" t="str">
        <f>IF(OR(TH!N702=TH!$X$7,O702=TH!$X$7),"x","")</f>
        <v/>
      </c>
      <c r="Y702" s="85" t="str">
        <f>IF(AND(OR(N702="131",O702="131"),H702='131-CT'!$H$9),"x","")</f>
        <v/>
      </c>
      <c r="Z702" s="85"/>
      <c r="AA702" s="85" t="str">
        <f>IF(AND(MONTH(E702)='IN-NX'!$J$5,'IN-NX'!$D$7=D702),"x","")</f>
        <v/>
      </c>
      <c r="AB702" s="85" t="str">
        <f>IF(AND(OR(LEFT(TH!N702,2)="15",LEFT(TH!O702,2)="15"),'152-CT'!$J$8=TH!F702),"x","")</f>
        <v/>
      </c>
      <c r="AC702" s="85" t="str">
        <f>IF(AND(OR(LEFT(TH!N702,2)="15",LEFT(TH!O702,2)="15"),TK!$E$7=TH!F702),"x","")</f>
        <v/>
      </c>
      <c r="AD702" s="85" t="str">
        <f>IF(AND(N702="1521",MONTH(C702)='BK-NL'!$M$11),"x","")</f>
        <v/>
      </c>
    </row>
    <row r="703" spans="1:30" ht="15.75" customHeight="1">
      <c r="A703" s="343" t="str">
        <f>IF(B703&lt;&gt;"",IF(AND(B703='IN-TC'!$S$4,OR(TH!N703="1111",TH!O703="1111")),TH!D703,""),"")</f>
        <v/>
      </c>
      <c r="B703" s="63">
        <f t="shared" si="65"/>
        <v>3</v>
      </c>
      <c r="C703" s="320">
        <v>42460</v>
      </c>
      <c r="D703" s="1009" t="s">
        <v>585</v>
      </c>
      <c r="E703" s="1009">
        <v>42435</v>
      </c>
      <c r="F703" s="321" t="s">
        <v>1179</v>
      </c>
      <c r="G703" s="1010"/>
      <c r="H703" s="322" t="s">
        <v>636</v>
      </c>
      <c r="I703" s="447"/>
      <c r="J703" s="447"/>
      <c r="K703" s="438"/>
      <c r="L703" s="447"/>
      <c r="M703" s="65">
        <v>2068130</v>
      </c>
      <c r="N703" s="323" t="s">
        <v>9</v>
      </c>
      <c r="O703" s="323" t="s">
        <v>8</v>
      </c>
      <c r="P703" s="85" t="str">
        <f>IF(AND('331-CT'!$E$7=TH!H703,OR(N703="331",O703="331")),"x","")</f>
        <v/>
      </c>
      <c r="Q703" s="85" t="str">
        <f>IF(AND(B703='111'!$L$11,OR($N703=$Q$7,$O703=$Q$7)),"x","")</f>
        <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IF(AND('341-CT'!$H$9=H703,OR(LEFT(N703,3)=$W$7,LEFT(O703,3)=$W$7)),"x","")</f>
        <v/>
      </c>
      <c r="X703" s="85" t="str">
        <f>IF(OR(TH!N703=TH!$X$7,O703=TH!$X$7),"x","")</f>
        <v/>
      </c>
      <c r="Y703" s="85" t="str">
        <f>IF(AND(OR(N703="131",O703="131"),H703='131-CT'!$H$9),"x","")</f>
        <v/>
      </c>
      <c r="Z703" s="85"/>
      <c r="AA703" s="85" t="str">
        <f>IF(AND(MONTH(E703)='IN-NX'!$J$5,'IN-NX'!$D$7=D703),"x","")</f>
        <v/>
      </c>
      <c r="AB703" s="85" t="str">
        <f>IF(AND(OR(LEFT(TH!N703,2)="15",LEFT(TH!O703,2)="15"),'152-CT'!$J$8=TH!F703),"x","")</f>
        <v/>
      </c>
      <c r="AC703" s="85" t="str">
        <f>IF(AND(OR(LEFT(TH!N703,2)="15",LEFT(TH!O703,2)="15"),TK!$E$7=TH!F703),"x","")</f>
        <v/>
      </c>
      <c r="AD703" s="85" t="str">
        <f>IF(AND(N703="1521",MONTH(C703)='BK-NL'!$M$11),"x","")</f>
        <v/>
      </c>
    </row>
    <row r="704" spans="1:30" ht="15.75" customHeight="1">
      <c r="A704" s="343" t="str">
        <f>IF(B704&lt;&gt;"",IF(AND(B704='IN-TC'!$S$4,OR(TH!N704="1111",TH!O704="1111")),TH!D704,""),"")</f>
        <v/>
      </c>
      <c r="B704" s="63">
        <f t="shared" si="65"/>
        <v>3</v>
      </c>
      <c r="C704" s="320">
        <v>42460</v>
      </c>
      <c r="D704" s="1009" t="s">
        <v>585</v>
      </c>
      <c r="E704" s="1009">
        <v>42445</v>
      </c>
      <c r="F704" s="321" t="s">
        <v>1180</v>
      </c>
      <c r="G704" s="1010"/>
      <c r="H704" s="322" t="s">
        <v>636</v>
      </c>
      <c r="I704" s="447"/>
      <c r="J704" s="447"/>
      <c r="K704" s="438"/>
      <c r="L704" s="447"/>
      <c r="M704" s="65">
        <v>21269200</v>
      </c>
      <c r="N704" s="323" t="s">
        <v>283</v>
      </c>
      <c r="O704" s="323" t="s">
        <v>8</v>
      </c>
      <c r="P704" s="85" t="str">
        <f>IF(AND('331-CT'!$E$7=TH!H704,OR(N704="331",O704="331")),"x","")</f>
        <v/>
      </c>
      <c r="Q704" s="85" t="str">
        <f>IF(AND(B704='111'!$L$11,OR($N704=$Q$7,$O704=$Q$7)),"x","")</f>
        <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IF(AND('341-CT'!$H$9=H704,OR(LEFT(N704,3)=$W$7,LEFT(O704,3)=$W$7)),"x","")</f>
        <v/>
      </c>
      <c r="X704" s="85" t="str">
        <f>IF(OR(TH!N704=TH!$X$7,O704=TH!$X$7),"x","")</f>
        <v/>
      </c>
      <c r="Y704" s="85" t="str">
        <f>IF(AND(OR(N704="131",O704="131"),H704='131-CT'!$H$9),"x","")</f>
        <v/>
      </c>
      <c r="Z704" s="85"/>
      <c r="AA704" s="85" t="str">
        <f>IF(AND(MONTH(E704)='IN-NX'!$J$5,'IN-NX'!$D$7=D704),"x","")</f>
        <v/>
      </c>
      <c r="AB704" s="85" t="str">
        <f>IF(AND(OR(LEFT(TH!N704,2)="15",LEFT(TH!O704,2)="15"),'152-CT'!$J$8=TH!F704),"x","")</f>
        <v/>
      </c>
      <c r="AC704" s="85" t="str">
        <f>IF(AND(OR(LEFT(TH!N704,2)="15",LEFT(TH!O704,2)="15"),TK!$E$7=TH!F704),"x","")</f>
        <v/>
      </c>
      <c r="AD704" s="85" t="str">
        <f>IF(AND(N704="1521",MONTH(C704)='BK-NL'!$M$11),"x","")</f>
        <v/>
      </c>
    </row>
    <row r="705" spans="1:30" ht="15.75" customHeight="1">
      <c r="A705" s="343" t="str">
        <f>IF(B705&lt;&gt;"",IF(AND(B705='IN-TC'!$S$4,OR(TH!N705="1111",TH!O705="1111")),TH!D705,""),"")</f>
        <v/>
      </c>
      <c r="B705" s="63">
        <f t="shared" si="65"/>
        <v>3</v>
      </c>
      <c r="C705" s="320">
        <v>42460</v>
      </c>
      <c r="D705" s="1009" t="s">
        <v>585</v>
      </c>
      <c r="E705" s="1009">
        <v>42445</v>
      </c>
      <c r="F705" s="321" t="s">
        <v>1181</v>
      </c>
      <c r="G705" s="1010"/>
      <c r="H705" s="322" t="s">
        <v>636</v>
      </c>
      <c r="I705" s="447"/>
      <c r="J705" s="447"/>
      <c r="K705" s="438"/>
      <c r="L705" s="447"/>
      <c r="M705" s="65">
        <v>2126920</v>
      </c>
      <c r="N705" s="323" t="s">
        <v>9</v>
      </c>
      <c r="O705" s="323" t="s">
        <v>8</v>
      </c>
      <c r="P705" s="85" t="str">
        <f>IF(AND('331-CT'!$E$7=TH!H705,OR(N705="331",O705="331")),"x","")</f>
        <v/>
      </c>
      <c r="Q705" s="85" t="str">
        <f>IF(AND(B705='111'!$L$11,OR($N705=$Q$7,$O705=$Q$7)),"x","")</f>
        <v/>
      </c>
      <c r="R705" s="85" t="str">
        <f>IF(AND($N705=$Q$7,$B705&lt;'111'!$L$11),"x","")</f>
        <v/>
      </c>
      <c r="S705" s="85" t="str">
        <f>IF(AND($O705=$Q$7,$B705&lt;'111'!$L$11),"x","")</f>
        <v/>
      </c>
      <c r="T705" s="85" t="str">
        <f>IF(ISERROR(FIND('112'!$M$9,G705,1)),"",IF((AND(FIND('112'!$M$9,G705,1)&gt;=1,B705='112'!$K$9,OR($N705='112'!$I$6,$O705='112'!$I$6))),"x",""))</f>
        <v/>
      </c>
      <c r="U705" s="85" t="str">
        <f>IF(ISERROR(FIND('112'!$M$9,G705,1)),"",IF((AND(LEFT(G705,2)=LEFT('112'!$M$9,2),B705&lt;'112'!$K$9,$N705='112'!$I$6)),"x",""))</f>
        <v/>
      </c>
      <c r="V705" s="85" t="str">
        <f>IF(ISERROR(FIND('112'!$M$9,G705,1)),"",IF((AND(RIGHT(G705,2)=RIGHT('112'!$M$9,2),B705&lt;'112'!$K$9,$O705='112'!$I$6)),"x",""))</f>
        <v/>
      </c>
      <c r="W705" s="85" t="str">
        <f>IF(AND('341-CT'!$H$9=H705,OR(LEFT(N705,3)=$W$7,LEFT(O705,3)=$W$7)),"x","")</f>
        <v/>
      </c>
      <c r="X705" s="85" t="str">
        <f>IF(OR(TH!N705=TH!$X$7,O705=TH!$X$7),"x","")</f>
        <v/>
      </c>
      <c r="Y705" s="85" t="str">
        <f>IF(AND(OR(N705="131",O705="131"),H705='131-CT'!$H$9),"x","")</f>
        <v/>
      </c>
      <c r="Z705" s="85"/>
      <c r="AA705" s="85" t="str">
        <f>IF(AND(MONTH(E705)='IN-NX'!$J$5,'IN-NX'!$D$7=D705),"x","")</f>
        <v/>
      </c>
      <c r="AB705" s="85" t="str">
        <f>IF(AND(OR(LEFT(TH!N705,2)="15",LEFT(TH!O705,2)="15"),'152-CT'!$J$8=TH!F705),"x","")</f>
        <v/>
      </c>
      <c r="AC705" s="85" t="str">
        <f>IF(AND(OR(LEFT(TH!N705,2)="15",LEFT(TH!O705,2)="15"),TK!$E$7=TH!F705),"x","")</f>
        <v/>
      </c>
      <c r="AD705" s="85" t="str">
        <f>IF(AND(N705="1521",MONTH(C705)='BK-NL'!$M$11),"x","")</f>
        <v/>
      </c>
    </row>
    <row r="706" spans="1:30" ht="15.75" customHeight="1">
      <c r="A706" s="343" t="str">
        <f>IF(B706&lt;&gt;"",IF(AND(B706='IN-TC'!$S$4,OR(TH!N706="1111",TH!O706="1111")),TH!D706,""),"")</f>
        <v/>
      </c>
      <c r="B706" s="63">
        <f t="shared" si="65"/>
        <v>3</v>
      </c>
      <c r="C706" s="320">
        <v>42460</v>
      </c>
      <c r="D706" s="1009" t="s">
        <v>585</v>
      </c>
      <c r="E706" s="1009">
        <v>42455</v>
      </c>
      <c r="F706" s="321" t="s">
        <v>1182</v>
      </c>
      <c r="G706" s="1010"/>
      <c r="H706" s="322" t="s">
        <v>636</v>
      </c>
      <c r="I706" s="447"/>
      <c r="J706" s="447"/>
      <c r="K706" s="438"/>
      <c r="L706" s="447"/>
      <c r="M706" s="65">
        <v>20169600</v>
      </c>
      <c r="N706" s="323" t="s">
        <v>283</v>
      </c>
      <c r="O706" s="323" t="s">
        <v>8</v>
      </c>
      <c r="P706" s="85" t="str">
        <f>IF(AND('331-CT'!$E$7=TH!H706,OR(N706="331",O706="331")),"x","")</f>
        <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IF(AND('341-CT'!$H$9=H706,OR(LEFT(N706,3)=$W$7,LEFT(O706,3)=$W$7)),"x","")</f>
        <v/>
      </c>
      <c r="X706" s="85" t="str">
        <f>IF(OR(TH!N706=TH!$X$7,O706=TH!$X$7),"x","")</f>
        <v/>
      </c>
      <c r="Y706" s="85" t="str">
        <f>IF(AND(OR(N706="131",O706="131"),H706='131-CT'!$H$9),"x","")</f>
        <v/>
      </c>
      <c r="Z706" s="85"/>
      <c r="AA706" s="85" t="str">
        <f>IF(AND(MONTH(E706)='IN-NX'!$J$5,'IN-NX'!$D$7=D706),"x","")</f>
        <v/>
      </c>
      <c r="AB706" s="85" t="str">
        <f>IF(AND(OR(LEFT(TH!N706,2)="15",LEFT(TH!O706,2)="15"),'152-CT'!$J$8=TH!F706),"x","")</f>
        <v/>
      </c>
      <c r="AC706" s="85" t="str">
        <f>IF(AND(OR(LEFT(TH!N706,2)="15",LEFT(TH!O706,2)="15"),TK!$E$7=TH!F706),"x","")</f>
        <v/>
      </c>
      <c r="AD706" s="85" t="str">
        <f>IF(AND(N706="1521",MONTH(C706)='BK-NL'!$M$11),"x","")</f>
        <v/>
      </c>
    </row>
    <row r="707" spans="1:30" ht="15.75" customHeight="1">
      <c r="A707" s="343" t="str">
        <f>IF(B707&lt;&gt;"",IF(AND(B707='IN-TC'!$S$4,OR(TH!N707="1111",TH!O707="1111")),TH!D707,""),"")</f>
        <v/>
      </c>
      <c r="B707" s="63">
        <f t="shared" si="65"/>
        <v>3</v>
      </c>
      <c r="C707" s="320">
        <v>42460</v>
      </c>
      <c r="D707" s="1009" t="s">
        <v>585</v>
      </c>
      <c r="E707" s="1009">
        <v>42455</v>
      </c>
      <c r="F707" s="321" t="s">
        <v>1183</v>
      </c>
      <c r="G707" s="1011"/>
      <c r="H707" s="322" t="s">
        <v>636</v>
      </c>
      <c r="I707" s="447"/>
      <c r="J707" s="447"/>
      <c r="K707" s="438"/>
      <c r="L707" s="447"/>
      <c r="M707" s="65">
        <v>2016960</v>
      </c>
      <c r="N707" s="323" t="s">
        <v>9</v>
      </c>
      <c r="O707" s="323" t="s">
        <v>8</v>
      </c>
      <c r="P707" s="85" t="str">
        <f>IF(AND('331-CT'!$E$7=TH!H707,OR(N707="331",O707="331")),"x","")</f>
        <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IF(AND('341-CT'!$H$9=H707,OR(LEFT(N707,3)=$W$7,LEFT(O707,3)=$W$7)),"x","")</f>
        <v/>
      </c>
      <c r="X707" s="85" t="str">
        <f>IF(OR(TH!N707=TH!$X$7,O707=TH!$X$7),"x","")</f>
        <v/>
      </c>
      <c r="Y707" s="85" t="str">
        <f>IF(AND(OR(N707="131",O707="131"),H707='131-CT'!$H$9),"x","")</f>
        <v/>
      </c>
      <c r="Z707" s="85"/>
      <c r="AA707" s="85" t="str">
        <f>IF(AND(MONTH(E707)='IN-NX'!$J$5,'IN-NX'!$D$7=D707),"x","")</f>
        <v/>
      </c>
      <c r="AB707" s="85" t="str">
        <f>IF(AND(OR(LEFT(TH!N707,2)="15",LEFT(TH!O707,2)="15"),'152-CT'!$J$8=TH!F707),"x","")</f>
        <v/>
      </c>
      <c r="AC707" s="85" t="str">
        <f>IF(AND(OR(LEFT(TH!N707,2)="15",LEFT(TH!O707,2)="15"),TK!$E$7=TH!F707),"x","")</f>
        <v/>
      </c>
      <c r="AD707" s="85" t="str">
        <f>IF(AND(N707="1521",MONTH(C707)='BK-NL'!$M$11),"x","")</f>
        <v/>
      </c>
    </row>
    <row r="708" spans="1:30" ht="15.75" customHeight="1">
      <c r="A708" s="343" t="str">
        <f>IF(B708&lt;&gt;"",IF(AND(B708='IN-TC'!$S$4,OR(TH!N708="1111",TH!O708="1111")),TH!D708,""),"")</f>
        <v/>
      </c>
      <c r="B708" s="63">
        <f t="shared" si="65"/>
        <v>3</v>
      </c>
      <c r="C708" s="320">
        <v>42460</v>
      </c>
      <c r="D708" s="320" t="s">
        <v>585</v>
      </c>
      <c r="E708" s="64">
        <v>42447</v>
      </c>
      <c r="F708" s="67" t="s">
        <v>1184</v>
      </c>
      <c r="G708" s="996" t="s">
        <v>1186</v>
      </c>
      <c r="H708" s="74" t="s">
        <v>1187</v>
      </c>
      <c r="I708" s="447"/>
      <c r="J708" s="447"/>
      <c r="K708" s="438"/>
      <c r="L708" s="447"/>
      <c r="M708" s="65">
        <v>33545455</v>
      </c>
      <c r="N708" s="66" t="s">
        <v>162</v>
      </c>
      <c r="O708" s="323" t="s">
        <v>8</v>
      </c>
      <c r="P708" s="85" t="str">
        <f>IF(AND('331-CT'!$E$7=TH!H708,OR(N708="331",O708="331")),"x","")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IF(AND('341-CT'!$H$9=H708,OR(LEFT(N708,3)=$W$7,LEFT(O708,3)=$W$7)),"x","")</f>
        <v/>
      </c>
      <c r="X708" s="85" t="str">
        <f>IF(OR(TH!N708=TH!$X$7,O708=TH!$X$7),"x","")</f>
        <v/>
      </c>
      <c r="Y708" s="85" t="str">
        <f>IF(AND(OR(N708="131",O708="131"),H708='131-CT'!$H$9),"x","")</f>
        <v/>
      </c>
      <c r="Z708" s="85"/>
      <c r="AA708" s="85" t="str">
        <f>IF(AND(MONTH(E708)='IN-NX'!$J$5,'IN-NX'!$D$7=D708),"x","")</f>
        <v/>
      </c>
      <c r="AB708" s="85" t="str">
        <f>IF(AND(OR(LEFT(TH!N708,2)="15",LEFT(TH!O708,2)="15"),'152-CT'!$J$8=TH!F708),"x","")</f>
        <v/>
      </c>
      <c r="AC708" s="85" t="str">
        <f>IF(AND(OR(LEFT(TH!N708,2)="15",LEFT(TH!O708,2)="15"),TK!$E$7=TH!F708),"x","")</f>
        <v/>
      </c>
      <c r="AD708" s="85" t="str">
        <f>IF(AND(N708="1521",MONTH(C708)='BK-NL'!$M$11),"x","")</f>
        <v/>
      </c>
    </row>
    <row r="709" spans="1:30" ht="15.75" customHeight="1">
      <c r="A709" s="343" t="str">
        <f>IF(B709&lt;&gt;"",IF(AND(B709='IN-TC'!$S$4,OR(TH!N709="1111",TH!O709="1111")),TH!D709,""),"")</f>
        <v/>
      </c>
      <c r="B709" s="63">
        <f t="shared" si="65"/>
        <v>3</v>
      </c>
      <c r="C709" s="320">
        <v>42460</v>
      </c>
      <c r="D709" s="320" t="s">
        <v>585</v>
      </c>
      <c r="E709" s="64">
        <v>42447</v>
      </c>
      <c r="F709" s="67" t="s">
        <v>1185</v>
      </c>
      <c r="G709" s="996" t="s">
        <v>1186</v>
      </c>
      <c r="H709" s="74" t="s">
        <v>1187</v>
      </c>
      <c r="I709" s="447"/>
      <c r="J709" s="447"/>
      <c r="K709" s="438"/>
      <c r="L709" s="447"/>
      <c r="M709" s="65">
        <v>3354545</v>
      </c>
      <c r="N709" s="323" t="s">
        <v>9</v>
      </c>
      <c r="O709" s="323" t="s">
        <v>8</v>
      </c>
      <c r="P709" s="85" t="str">
        <f>IF(AND('331-CT'!$E$7=TH!H709,OR(N709="331",O709="331")),"x","")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IF(AND('341-CT'!$H$9=H709,OR(LEFT(N709,3)=$W$7,LEFT(O709,3)=$W$7)),"x","")</f>
        <v/>
      </c>
      <c r="X709" s="85" t="str">
        <f>IF(OR(TH!N709=TH!$X$7,O709=TH!$X$7),"x","")</f>
        <v/>
      </c>
      <c r="Y709" s="85" t="str">
        <f>IF(AND(OR(N709="131",O709="131"),H709='131-CT'!$H$9),"x","")</f>
        <v/>
      </c>
      <c r="Z709" s="85"/>
      <c r="AA709" s="85" t="str">
        <f>IF(AND(MONTH(E709)='IN-NX'!$J$5,'IN-NX'!$D$7=D709),"x","")</f>
        <v/>
      </c>
      <c r="AB709" s="85" t="str">
        <f>IF(AND(OR(LEFT(TH!N709,2)="15",LEFT(TH!O709,2)="15"),'152-CT'!$J$8=TH!F709),"x","")</f>
        <v/>
      </c>
      <c r="AC709" s="85" t="str">
        <f>IF(AND(OR(LEFT(TH!N709,2)="15",LEFT(TH!O709,2)="15"),TK!$E$7=TH!F709),"x","")</f>
        <v/>
      </c>
      <c r="AD709" s="85" t="str">
        <f>IF(AND(N709="1521",MONTH(C709)='BK-NL'!$M$11),"x","")</f>
        <v/>
      </c>
    </row>
    <row r="710" spans="1:30" ht="15.75" customHeight="1">
      <c r="A710" s="343" t="str">
        <f>IF(B710&lt;&gt;"",IF(AND(B710='IN-TC'!$S$4,OR(TH!N710="1111",TH!O710="1111")),TH!D710,""),"")</f>
        <v/>
      </c>
      <c r="B710" s="63">
        <f t="shared" si="65"/>
        <v>3</v>
      </c>
      <c r="C710" s="320">
        <v>42460</v>
      </c>
      <c r="D710" s="320" t="s">
        <v>585</v>
      </c>
      <c r="E710" s="64">
        <v>42369</v>
      </c>
      <c r="F710" s="67" t="s">
        <v>642</v>
      </c>
      <c r="G710" s="996" t="s">
        <v>1189</v>
      </c>
      <c r="H710" s="76" t="s">
        <v>633</v>
      </c>
      <c r="I710" s="447"/>
      <c r="J710" s="447"/>
      <c r="K710" s="438"/>
      <c r="L710" s="447"/>
      <c r="M710" s="65">
        <v>480000</v>
      </c>
      <c r="N710" s="66" t="s">
        <v>594</v>
      </c>
      <c r="O710" s="323" t="s">
        <v>8</v>
      </c>
      <c r="P710" s="85" t="str">
        <f>IF(AND('331-CT'!$E$7=TH!H710,OR(N710="331",O710="331")),"x","")</f>
        <v/>
      </c>
      <c r="Q710" s="85" t="str">
        <f>IF(AND(B710='111'!$L$11,OR($N710=$Q$7,$O710=$Q$7)),"x","")</f>
        <v/>
      </c>
      <c r="R710" s="85" t="str">
        <f>IF(AND($N710=$Q$7,$B710&lt;'111'!$L$11),"x","")</f>
        <v/>
      </c>
      <c r="S710" s="85" t="str">
        <f>IF(AND($O710=$Q$7,$B710&lt;'111'!$L$11),"x","")</f>
        <v/>
      </c>
      <c r="T710" s="85" t="str">
        <f>IF(ISERROR(FIND('112'!$M$9,G710,1)),"",IF((AND(FIND('112'!$M$9,G710,1)&gt;=1,B710='112'!$K$9,OR($N710='112'!$I$6,$O710='112'!$I$6))),"x",""))</f>
        <v/>
      </c>
      <c r="U710" s="85" t="str">
        <f>IF(ISERROR(FIND('112'!$M$9,G710,1)),"",IF((AND(LEFT(G710,2)=LEFT('112'!$M$9,2),B710&lt;'112'!$K$9,$N710='112'!$I$6)),"x",""))</f>
        <v/>
      </c>
      <c r="V710" s="85" t="str">
        <f>IF(ISERROR(FIND('112'!$M$9,G710,1)),"",IF((AND(RIGHT(G710,2)=RIGHT('112'!$M$9,2),B710&lt;'112'!$K$9,$O710='112'!$I$6)),"x",""))</f>
        <v/>
      </c>
      <c r="W710" s="85" t="str">
        <f>IF(AND('341-CT'!$H$9=H710,OR(LEFT(N710,3)=$W$7,LEFT(O710,3)=$W$7)),"x","")</f>
        <v/>
      </c>
      <c r="X710" s="85" t="str">
        <f>IF(OR(TH!N710=TH!$X$7,O710=TH!$X$7),"x","")</f>
        <v/>
      </c>
      <c r="Y710" s="85" t="str">
        <f>IF(AND(OR(N710="131",O710="131"),H710='131-CT'!$H$9),"x","")</f>
        <v/>
      </c>
      <c r="Z710" s="85"/>
      <c r="AA710" s="85" t="str">
        <f>IF(AND(MONTH(E710)='IN-NX'!$J$5,'IN-NX'!$D$7=D710),"x","")</f>
        <v/>
      </c>
      <c r="AB710" s="85" t="str">
        <f>IF(AND(OR(LEFT(TH!N710,2)="15",LEFT(TH!O710,2)="15"),'152-CT'!$J$8=TH!F710),"x","")</f>
        <v/>
      </c>
      <c r="AC710" s="85" t="str">
        <f>IF(AND(OR(LEFT(TH!N710,2)="15",LEFT(TH!O710,2)="15"),TK!$E$7=TH!F710),"x","")</f>
        <v/>
      </c>
      <c r="AD710" s="85" t="str">
        <f>IF(AND(N710="1521",MONTH(C710)='BK-NL'!$M$11),"x","")</f>
        <v/>
      </c>
    </row>
    <row r="711" spans="1:30" ht="15.75" customHeight="1">
      <c r="A711" s="343" t="str">
        <f>IF(B711&lt;&gt;"",IF(AND(B711='IN-TC'!$S$4,OR(TH!N711="1111",TH!O711="1111")),TH!D711,""),"")</f>
        <v/>
      </c>
      <c r="B711" s="63">
        <f t="shared" si="65"/>
        <v>3</v>
      </c>
      <c r="C711" s="320">
        <v>42460</v>
      </c>
      <c r="D711" s="320" t="s">
        <v>585</v>
      </c>
      <c r="E711" s="64">
        <v>42369</v>
      </c>
      <c r="F711" s="67" t="s">
        <v>1188</v>
      </c>
      <c r="G711" s="996" t="s">
        <v>1190</v>
      </c>
      <c r="H711" s="76" t="s">
        <v>633</v>
      </c>
      <c r="I711" s="447"/>
      <c r="J711" s="447"/>
      <c r="K711" s="438"/>
      <c r="L711" s="447"/>
      <c r="M711" s="65">
        <v>5737000</v>
      </c>
      <c r="N711" s="66" t="s">
        <v>594</v>
      </c>
      <c r="O711" s="323" t="s">
        <v>8</v>
      </c>
      <c r="P711" s="85" t="str">
        <f>IF(AND('331-CT'!$E$7=TH!H711,OR(N711="331",O711="331")),"x","")</f>
        <v/>
      </c>
      <c r="Q711" s="85" t="str">
        <f>IF(AND(B711='111'!$L$11,OR($N711=$Q$7,$O711=$Q$7)),"x","")</f>
        <v/>
      </c>
      <c r="R711" s="85" t="str">
        <f>IF(AND($N711=$Q$7,$B711&lt;'111'!$L$11),"x","")</f>
        <v/>
      </c>
      <c r="S711" s="85" t="str">
        <f>IF(AND($O711=$Q$7,$B711&lt;'111'!$L$11),"x","")</f>
        <v/>
      </c>
      <c r="T711" s="85" t="str">
        <f>IF(ISERROR(FIND('112'!$M$9,G711,1)),"",IF((AND(FIND('112'!$M$9,G711,1)&gt;=1,B711='112'!$K$9,OR($N711='112'!$I$6,$O711='112'!$I$6))),"x",""))</f>
        <v/>
      </c>
      <c r="U711" s="85" t="str">
        <f>IF(ISERROR(FIND('112'!$M$9,G711,1)),"",IF((AND(LEFT(G711,2)=LEFT('112'!$M$9,2),B711&lt;'112'!$K$9,$N711='112'!$I$6)),"x",""))</f>
        <v/>
      </c>
      <c r="V711" s="85" t="str">
        <f>IF(ISERROR(FIND('112'!$M$9,G711,1)),"",IF((AND(RIGHT(G711,2)=RIGHT('112'!$M$9,2),B711&lt;'112'!$K$9,$O711='112'!$I$6)),"x",""))</f>
        <v/>
      </c>
      <c r="W711" s="85" t="str">
        <f>IF(AND('341-CT'!$H$9=H711,OR(LEFT(N711,3)=$W$7,LEFT(O711,3)=$W$7)),"x","")</f>
        <v/>
      </c>
      <c r="X711" s="85" t="str">
        <f>IF(OR(TH!N711=TH!$X$7,O711=TH!$X$7),"x","")</f>
        <v/>
      </c>
      <c r="Y711" s="85" t="str">
        <f>IF(AND(OR(N711="131",O711="131"),H711='131-CT'!$H$9),"x","")</f>
        <v/>
      </c>
      <c r="Z711" s="85"/>
      <c r="AA711" s="85" t="str">
        <f>IF(AND(MONTH(E711)='IN-NX'!$J$5,'IN-NX'!$D$7=D711),"x","")</f>
        <v/>
      </c>
      <c r="AB711" s="85" t="str">
        <f>IF(AND(OR(LEFT(TH!N711,2)="15",LEFT(TH!O711,2)="15"),'152-CT'!$J$8=TH!F711),"x","")</f>
        <v/>
      </c>
      <c r="AC711" s="85" t="str">
        <f>IF(AND(OR(LEFT(TH!N711,2)="15",LEFT(TH!O711,2)="15"),TK!$E$7=TH!F711),"x","")</f>
        <v/>
      </c>
      <c r="AD711" s="85" t="str">
        <f>IF(AND(N711="1521",MONTH(C711)='BK-NL'!$M$11),"x","")</f>
        <v/>
      </c>
    </row>
    <row r="712" spans="1:30" ht="15.75" customHeight="1">
      <c r="A712" s="343" t="str">
        <f>IF(B712&lt;&gt;"",IF(AND(B712='IN-TC'!$S$4,OR(TH!N712="1111",TH!O712="1111")),TH!D712,""),"")</f>
        <v/>
      </c>
      <c r="B712" s="63">
        <f t="shared" si="65"/>
        <v>3</v>
      </c>
      <c r="C712" s="320">
        <v>42460</v>
      </c>
      <c r="D712" s="320" t="s">
        <v>585</v>
      </c>
      <c r="E712" s="320">
        <v>42445</v>
      </c>
      <c r="F712" s="67" t="s">
        <v>779</v>
      </c>
      <c r="G712" s="996" t="s">
        <v>1152</v>
      </c>
      <c r="H712" s="322" t="s">
        <v>1151</v>
      </c>
      <c r="I712" s="447"/>
      <c r="J712" s="447"/>
      <c r="K712" s="438"/>
      <c r="L712" s="447"/>
      <c r="M712" s="65">
        <v>10528000</v>
      </c>
      <c r="N712" s="66" t="s">
        <v>594</v>
      </c>
      <c r="O712" s="323" t="s">
        <v>8</v>
      </c>
      <c r="P712" s="85" t="str">
        <f>IF(AND('331-CT'!$E$7=TH!H712,OR(N712="331",O712="331")),"x","")</f>
        <v/>
      </c>
      <c r="Q712" s="85" t="str">
        <f>IF(AND(B712='111'!$L$11,OR($N712=$Q$7,$O712=$Q$7)),"x","")</f>
        <v/>
      </c>
      <c r="R712" s="85" t="str">
        <f>IF(AND($N712=$Q$7,$B712&lt;'111'!$L$11),"x","")</f>
        <v/>
      </c>
      <c r="S712" s="85" t="str">
        <f>IF(AND($O712=$Q$7,$B712&lt;'111'!$L$11),"x","")</f>
        <v/>
      </c>
      <c r="T712" s="85" t="str">
        <f>IF(ISERROR(FIND('112'!$M$9,G712,1)),"",IF((AND(FIND('112'!$M$9,G712,1)&gt;=1,B712='112'!$K$9,OR($N712='112'!$I$6,$O712='112'!$I$6))),"x",""))</f>
        <v/>
      </c>
      <c r="U712" s="85" t="str">
        <f>IF(ISERROR(FIND('112'!$M$9,G712,1)),"",IF((AND(LEFT(G712,2)=LEFT('112'!$M$9,2),B712&lt;'112'!$K$9,$N712='112'!$I$6)),"x",""))</f>
        <v/>
      </c>
      <c r="V712" s="85" t="str">
        <f>IF(ISERROR(FIND('112'!$M$9,G712,1)),"",IF((AND(RIGHT(G712,2)=RIGHT('112'!$M$9,2),B712&lt;'112'!$K$9,$O712='112'!$I$6)),"x",""))</f>
        <v/>
      </c>
      <c r="W712" s="85" t="str">
        <f>IF(AND('341-CT'!$H$9=H712,OR(LEFT(N712,3)=$W$7,LEFT(O712,3)=$W$7)),"x","")</f>
        <v/>
      </c>
      <c r="X712" s="85" t="str">
        <f>IF(OR(TH!N712=TH!$X$7,O712=TH!$X$7),"x","")</f>
        <v/>
      </c>
      <c r="Y712" s="85" t="str">
        <f>IF(AND(OR(N712="131",O712="131"),H712='131-CT'!$H$9),"x","")</f>
        <v/>
      </c>
      <c r="Z712" s="85"/>
      <c r="AA712" s="85" t="str">
        <f>IF(AND(MONTH(E712)='IN-NX'!$J$5,'IN-NX'!$D$7=D712),"x","")</f>
        <v/>
      </c>
      <c r="AB712" s="85" t="str">
        <f>IF(AND(OR(LEFT(TH!N712,2)="15",LEFT(TH!O712,2)="15"),'152-CT'!$J$8=TH!F712),"x","")</f>
        <v/>
      </c>
      <c r="AC712" s="85" t="str">
        <f>IF(AND(OR(LEFT(TH!N712,2)="15",LEFT(TH!O712,2)="15"),TK!$E$7=TH!F712),"x","")</f>
        <v/>
      </c>
      <c r="AD712" s="85" t="str">
        <f>IF(AND(N712="1521",MONTH(C712)='BK-NL'!$M$11),"x","")</f>
        <v/>
      </c>
    </row>
    <row r="713" spans="1:30" ht="15.75" customHeight="1">
      <c r="A713" s="343" t="str">
        <f>IF(B713&lt;&gt;"",IF(AND(B713='IN-TC'!$S$4,OR(TH!N713="1111",TH!O713="1111")),TH!D713,""),"")</f>
        <v/>
      </c>
      <c r="B713" s="63">
        <f t="shared" si="65"/>
        <v>3</v>
      </c>
      <c r="C713" s="320">
        <v>42460</v>
      </c>
      <c r="D713" s="320" t="s">
        <v>585</v>
      </c>
      <c r="E713" s="320">
        <v>42445</v>
      </c>
      <c r="F713" s="321" t="s">
        <v>1148</v>
      </c>
      <c r="G713" s="1000" t="s">
        <v>1150</v>
      </c>
      <c r="H713" s="322" t="s">
        <v>1151</v>
      </c>
      <c r="I713" s="447"/>
      <c r="J713" s="447"/>
      <c r="K713" s="438"/>
      <c r="L713" s="447"/>
      <c r="M713" s="65">
        <v>5219200</v>
      </c>
      <c r="N713" s="323" t="s">
        <v>594</v>
      </c>
      <c r="O713" s="323" t="s">
        <v>8</v>
      </c>
      <c r="P713" s="85" t="str">
        <f>IF(AND('331-CT'!$E$7=TH!H713,OR(N713="331",O713="331")),"x","")</f>
        <v/>
      </c>
      <c r="Q713" s="85" t="str">
        <f>IF(AND(B713='111'!$L$11,OR($N713=$Q$7,$O713=$Q$7)),"x","")</f>
        <v/>
      </c>
      <c r="R713" s="85" t="str">
        <f>IF(AND($N713=$Q$7,$B713&lt;'111'!$L$11),"x","")</f>
        <v/>
      </c>
      <c r="S713" s="85" t="str">
        <f>IF(AND($O713=$Q$7,$B713&lt;'111'!$L$11),"x","")</f>
        <v/>
      </c>
      <c r="T713" s="85" t="str">
        <f>IF(ISERROR(FIND('112'!$M$9,G713,1)),"",IF((AND(FIND('112'!$M$9,G713,1)&gt;=1,B713='112'!$K$9,OR($N713='112'!$I$6,$O713='112'!$I$6))),"x",""))</f>
        <v/>
      </c>
      <c r="U713" s="85" t="str">
        <f>IF(ISERROR(FIND('112'!$M$9,G713,1)),"",IF((AND(LEFT(G713,2)=LEFT('112'!$M$9,2),B713&lt;'112'!$K$9,$N713='112'!$I$6)),"x",""))</f>
        <v/>
      </c>
      <c r="V713" s="85" t="str">
        <f>IF(ISERROR(FIND('112'!$M$9,G713,1)),"",IF((AND(RIGHT(G713,2)=RIGHT('112'!$M$9,2),B713&lt;'112'!$K$9,$O713='112'!$I$6)),"x",""))</f>
        <v/>
      </c>
      <c r="W713" s="85" t="str">
        <f>IF(AND('341-CT'!$H$9=H713,OR(LEFT(N713,3)=$W$7,LEFT(O713,3)=$W$7)),"x","")</f>
        <v/>
      </c>
      <c r="X713" s="85" t="str">
        <f>IF(OR(TH!N713=TH!$X$7,O713=TH!$X$7),"x","")</f>
        <v/>
      </c>
      <c r="Y713" s="85" t="str">
        <f>IF(AND(OR(N713="131",O713="131"),H713='131-CT'!$H$9),"x","")</f>
        <v/>
      </c>
      <c r="Z713" s="85"/>
      <c r="AA713" s="85" t="str">
        <f>IF(AND(MONTH(E713)='IN-NX'!$J$5,'IN-NX'!$D$7=D713),"x","")</f>
        <v/>
      </c>
      <c r="AB713" s="85" t="str">
        <f>IF(AND(OR(LEFT(TH!N713,2)="15",LEFT(TH!O713,2)="15"),'152-CT'!$J$8=TH!F713),"x","")</f>
        <v/>
      </c>
      <c r="AC713" s="85" t="str">
        <f>IF(AND(OR(LEFT(TH!N713,2)="15",LEFT(TH!O713,2)="15"),TK!$E$7=TH!F713),"x","")</f>
        <v/>
      </c>
      <c r="AD713" s="85" t="str">
        <f>IF(AND(N713="1521",MONTH(C713)='BK-NL'!$M$11),"x","")</f>
        <v/>
      </c>
    </row>
    <row r="714" spans="1:30" ht="15.75" customHeight="1">
      <c r="A714" s="343" t="str">
        <f>IF(B714&lt;&gt;"",IF(AND(B714='IN-TC'!$S$4,OR(TH!N714="1111",TH!O714="1111")),TH!D714,""),"")</f>
        <v/>
      </c>
      <c r="B714" s="63">
        <f t="shared" si="65"/>
        <v>3</v>
      </c>
      <c r="C714" s="320">
        <v>42460</v>
      </c>
      <c r="D714" s="320" t="s">
        <v>585</v>
      </c>
      <c r="E714" s="320">
        <v>42445</v>
      </c>
      <c r="F714" s="321" t="s">
        <v>1149</v>
      </c>
      <c r="G714" s="1000" t="s">
        <v>1150</v>
      </c>
      <c r="H714" s="322" t="s">
        <v>1151</v>
      </c>
      <c r="I714" s="447"/>
      <c r="J714" s="447"/>
      <c r="K714" s="438"/>
      <c r="L714" s="447"/>
      <c r="M714" s="65">
        <v>521920</v>
      </c>
      <c r="N714" s="323" t="s">
        <v>9</v>
      </c>
      <c r="O714" s="323" t="s">
        <v>8</v>
      </c>
      <c r="P714" s="85" t="str">
        <f>IF(AND('331-CT'!$E$7=TH!H714,OR(N714="331",O714="331")),"x","")</f>
        <v/>
      </c>
      <c r="Q714" s="85" t="str">
        <f>IF(AND(B714='111'!$L$11,OR($N714=$Q$7,$O714=$Q$7)),"x","")</f>
        <v/>
      </c>
      <c r="R714" s="85" t="str">
        <f>IF(AND($N714=$Q$7,$B714&lt;'111'!$L$11),"x","")</f>
        <v/>
      </c>
      <c r="S714" s="85" t="str">
        <f>IF(AND($O714=$Q$7,$B714&lt;'111'!$L$11),"x","")</f>
        <v/>
      </c>
      <c r="T714" s="85" t="str">
        <f>IF(ISERROR(FIND('112'!$M$9,G714,1)),"",IF((AND(FIND('112'!$M$9,G714,1)&gt;=1,B714='112'!$K$9,OR($N714='112'!$I$6,$O714='112'!$I$6))),"x",""))</f>
        <v/>
      </c>
      <c r="U714" s="85" t="str">
        <f>IF(ISERROR(FIND('112'!$M$9,G714,1)),"",IF((AND(LEFT(G714,2)=LEFT('112'!$M$9,2),B714&lt;'112'!$K$9,$N714='112'!$I$6)),"x",""))</f>
        <v/>
      </c>
      <c r="V714" s="85" t="str">
        <f>IF(ISERROR(FIND('112'!$M$9,G714,1)),"",IF((AND(RIGHT(G714,2)=RIGHT('112'!$M$9,2),B714&lt;'112'!$K$9,$O714='112'!$I$6)),"x",""))</f>
        <v/>
      </c>
      <c r="W714" s="85" t="str">
        <f>IF(AND('341-CT'!$H$9=H714,OR(LEFT(N714,3)=$W$7,LEFT(O714,3)=$W$7)),"x","")</f>
        <v/>
      </c>
      <c r="X714" s="85" t="str">
        <f>IF(OR(TH!N714=TH!$X$7,O714=TH!$X$7),"x","")</f>
        <v/>
      </c>
      <c r="Y714" s="85" t="str">
        <f>IF(AND(OR(N714="131",O714="131"),H714='131-CT'!$H$9),"x","")</f>
        <v/>
      </c>
      <c r="Z714" s="85"/>
      <c r="AA714" s="85" t="str">
        <f>IF(AND(MONTH(E714)='IN-NX'!$J$5,'IN-NX'!$D$7=D714),"x","")</f>
        <v/>
      </c>
      <c r="AB714" s="85" t="str">
        <f>IF(AND(OR(LEFT(TH!N714,2)="15",LEFT(TH!O714,2)="15"),'152-CT'!$J$8=TH!F714),"x","")</f>
        <v/>
      </c>
      <c r="AC714" s="85" t="str">
        <f>IF(AND(OR(LEFT(TH!N714,2)="15",LEFT(TH!O714,2)="15"),TK!$E$7=TH!F714),"x","")</f>
        <v/>
      </c>
      <c r="AD714" s="85" t="str">
        <f>IF(AND(N714="1521",MONTH(C714)='BK-NL'!$M$11),"x","")</f>
        <v/>
      </c>
    </row>
    <row r="715" spans="1:30" s="357" customFormat="1" ht="15.75" customHeight="1">
      <c r="A715" s="1168" t="str">
        <f>IF(B715&lt;&gt;"",IF(AND(B715='IN-TC'!$S$4,OR(TH!N715="1111",TH!O715="1111")),TH!D715,""),"")</f>
        <v/>
      </c>
      <c r="B715" s="1169">
        <f t="shared" ref="B715" si="66">IF(C715&lt;&gt;"",MONTH(C715),"")</f>
        <v>3</v>
      </c>
      <c r="C715" s="1170">
        <v>42460</v>
      </c>
      <c r="D715" s="1170" t="s">
        <v>585</v>
      </c>
      <c r="E715" s="1170">
        <f>C715</f>
        <v>42460</v>
      </c>
      <c r="F715" s="1171" t="s">
        <v>1378</v>
      </c>
      <c r="G715" s="1172"/>
      <c r="H715" s="1173" t="s">
        <v>1379</v>
      </c>
      <c r="I715" s="453"/>
      <c r="J715" s="453"/>
      <c r="K715" s="444"/>
      <c r="L715" s="453"/>
      <c r="M715" s="98">
        <v>13069999</v>
      </c>
      <c r="N715" s="332" t="s">
        <v>77</v>
      </c>
      <c r="O715" s="332" t="s">
        <v>92</v>
      </c>
      <c r="P715" s="85" t="str">
        <f>IF(AND('331-CT'!$E$7=TH!H715,OR(N715="331",O715="331")),"x","")</f>
        <v/>
      </c>
      <c r="Q715" s="85" t="str">
        <f>IF(AND(B715='111'!$L$11,OR($N715=$Q$7,$O715=$Q$7)),"x","")</f>
        <v/>
      </c>
      <c r="R715" s="85" t="str">
        <f>IF(AND($N715=$Q$7,$B715&lt;'111'!$L$11),"x","")</f>
        <v/>
      </c>
      <c r="S715" s="85" t="str">
        <f>IF(AND($O715=$Q$7,$B715&lt;'111'!$L$11),"x","")</f>
        <v/>
      </c>
      <c r="T715" s="85" t="str">
        <f>IF(ISERROR(FIND('112'!$M$9,G715,1)),"",IF((AND(FIND('112'!$M$9,G715,1)&gt;=1,B715='112'!$K$9,OR($N715='112'!$I$6,$O715='112'!$I$6))),"x",""))</f>
        <v/>
      </c>
      <c r="U715" s="85" t="str">
        <f>IF(ISERROR(FIND('112'!$M$9,G715,1)),"",IF((AND(LEFT(G715,2)=LEFT('112'!$M$9,2),B715&lt;'112'!$K$9,$N715='112'!$I$6)),"x",""))</f>
        <v/>
      </c>
      <c r="V715" s="85" t="str">
        <f>IF(ISERROR(FIND('112'!$M$9,G715,1)),"",IF((AND(RIGHT(G715,2)=RIGHT('112'!$M$9,2),B715&lt;'112'!$K$9,$O715='112'!$I$6)),"x",""))</f>
        <v/>
      </c>
      <c r="W715" s="85" t="str">
        <f>IF(AND('341-CT'!$H$9=H715,OR(LEFT(N715,3)=$W$7,LEFT(O715,3)=$W$7)),"x","")</f>
        <v/>
      </c>
      <c r="X715" s="85" t="str">
        <f>IF(OR(TH!N715=TH!$X$7,O715=TH!$X$7),"x","")</f>
        <v/>
      </c>
      <c r="Y715" s="85" t="str">
        <f>IF(AND(OR(N715="131",O715="131"),H715='131-CT'!$H$9),"x","")</f>
        <v/>
      </c>
      <c r="Z715" s="85"/>
      <c r="AA715" s="85" t="str">
        <f>IF(AND(MONTH(E715)='IN-NX'!$J$5,'IN-NX'!$D$7=D715),"x","")</f>
        <v/>
      </c>
      <c r="AB715" s="85" t="str">
        <f>IF(AND(OR(LEFT(TH!N715,2)="15",LEFT(TH!O715,2)="15"),'152-CT'!$J$8=TH!F715),"x","")</f>
        <v/>
      </c>
      <c r="AC715" s="85" t="str">
        <f>IF(AND(OR(LEFT(TH!N715,2)="15",LEFT(TH!O715,2)="15"),TK!$E$7=TH!F715),"x","")</f>
        <v/>
      </c>
      <c r="AD715" s="85" t="str">
        <f>IF(AND(N715="1521",MONTH(C715)='BK-NL'!$M$11),"x","")</f>
        <v/>
      </c>
    </row>
    <row r="716" spans="1:30" ht="15.75" customHeight="1">
      <c r="A716" s="343" t="str">
        <f>IF(B716&lt;&gt;"",IF(AND(B716='IN-TC'!$S$4,OR(TH!N716="1111",TH!O716="1111")),TH!D716,""),"")</f>
        <v/>
      </c>
      <c r="B716" s="63">
        <f t="shared" ref="B716:B724" si="67">IF(C716&lt;&gt;"",MONTH(C716),"")</f>
        <v>1</v>
      </c>
      <c r="C716" s="81">
        <f>E716</f>
        <v>42400</v>
      </c>
      <c r="D716" s="81" t="s">
        <v>973</v>
      </c>
      <c r="E716" s="81">
        <v>42400</v>
      </c>
      <c r="F716" s="82" t="s">
        <v>960</v>
      </c>
      <c r="G716" s="82" t="s">
        <v>345</v>
      </c>
      <c r="H716" s="83" t="s">
        <v>429</v>
      </c>
      <c r="I716" s="445"/>
      <c r="J716" s="445"/>
      <c r="K716" s="436"/>
      <c r="L716" s="445"/>
      <c r="M716" s="84">
        <v>214456000</v>
      </c>
      <c r="N716" s="85" t="s">
        <v>8</v>
      </c>
      <c r="O716" s="85" t="s">
        <v>273</v>
      </c>
      <c r="P716" s="85" t="str">
        <f>IF(AND('331-CT'!$E$7=TH!H716,OR(N716="331",O716="331")),"x","")</f>
        <v/>
      </c>
      <c r="Q716" s="85" t="str">
        <f>IF(AND(B716='111'!$L$11,OR($N716=$Q$7,$O716=$Q$7)),"x","")</f>
        <v/>
      </c>
      <c r="R716" s="85" t="str">
        <f>IF(AND($N716=$Q$7,$B716&lt;'111'!$L$11),"x","")</f>
        <v/>
      </c>
      <c r="S716" s="85" t="str">
        <f>IF(AND($O716=$Q$7,$B716&lt;'111'!$L$11),"x","")</f>
        <v/>
      </c>
      <c r="T716" s="85" t="str">
        <f>IF(ISERROR(FIND('112'!$M$9,G716,1)),"",IF((AND(FIND('112'!$M$9,G716,1)&gt;=1,B716='112'!$K$9,OR($N716='112'!$I$6,$O716='112'!$I$6))),"x",""))</f>
        <v/>
      </c>
      <c r="U716" s="85" t="str">
        <f>IF(ISERROR(FIND('112'!$M$9,G716,1)),"",IF((AND(LEFT(G716,2)=LEFT('112'!$M$9,2),B716&lt;'112'!$K$9,$N716='112'!$I$6)),"x",""))</f>
        <v/>
      </c>
      <c r="V716" s="85" t="str">
        <f>IF(ISERROR(FIND('112'!$M$9,G716,1)),"",IF((AND(RIGHT(G716,2)=RIGHT('112'!$M$9,2),B716&lt;'112'!$K$9,$O716='112'!$I$6)),"x",""))</f>
        <v/>
      </c>
      <c r="W716" s="85" t="str">
        <f>IF(AND('341-CT'!$H$9=H716,OR(LEFT(N716,3)=$W$7,LEFT(O716,3)=$W$7)),"x","")</f>
        <v/>
      </c>
      <c r="X716" s="85" t="str">
        <f>IF(OR(TH!N716=TH!$X$7,O716=TH!$X$7),"x","")</f>
        <v/>
      </c>
      <c r="Y716" s="85" t="str">
        <f>IF(AND(OR(N716="131",O716="131"),H716='131-CT'!$H$9),"x","")</f>
        <v/>
      </c>
      <c r="Z716" s="85"/>
      <c r="AA716" s="85" t="str">
        <f>IF(AND(MONTH(E716)='IN-NX'!$J$5,'IN-NX'!$D$7=D716),"x","")</f>
        <v/>
      </c>
      <c r="AB716" s="85" t="str">
        <f>IF(AND(OR(LEFT(TH!N716,2)="15",LEFT(TH!O716,2)="15"),'152-CT'!$J$8=TH!F716),"x","")</f>
        <v/>
      </c>
      <c r="AC716" s="85" t="str">
        <f>IF(AND(OR(LEFT(TH!N716,2)="15",LEFT(TH!O716,2)="15"),TK!$E$7=TH!F716),"x","")</f>
        <v/>
      </c>
      <c r="AD716" s="85" t="str">
        <f>IF(AND(N716="1521",MONTH(C716)='BK-NL'!$M$11),"x","")</f>
        <v/>
      </c>
    </row>
    <row r="717" spans="1:30" ht="15.75" customHeight="1">
      <c r="A717" s="343" t="str">
        <f>IF(B717&lt;&gt;"",IF(AND(B717='IN-TC'!$S$4,OR(TH!N717="1111",TH!O717="1111")),TH!D717,""),"")</f>
        <v/>
      </c>
      <c r="B717" s="63">
        <f t="shared" si="67"/>
        <v>1</v>
      </c>
      <c r="C717" s="81">
        <f t="shared" ref="C717:C723" si="68">E717</f>
        <v>42400</v>
      </c>
      <c r="D717" s="81" t="s">
        <v>973</v>
      </c>
      <c r="E717" s="81">
        <v>42400</v>
      </c>
      <c r="F717" s="82" t="s">
        <v>960</v>
      </c>
      <c r="G717" s="82" t="s">
        <v>345</v>
      </c>
      <c r="H717" s="83" t="s">
        <v>432</v>
      </c>
      <c r="I717" s="445"/>
      <c r="J717" s="445"/>
      <c r="K717" s="436"/>
      <c r="L717" s="445"/>
      <c r="M717" s="84">
        <v>416013200</v>
      </c>
      <c r="N717" s="85" t="s">
        <v>8</v>
      </c>
      <c r="O717" s="85" t="s">
        <v>273</v>
      </c>
      <c r="P717" s="85" t="str">
        <f>IF(AND('331-CT'!$E$7=TH!H717,OR(N717="331",O717="331")),"x","")</f>
        <v/>
      </c>
      <c r="Q717" s="85" t="str">
        <f>IF(AND(B717='111'!$L$11,OR($N717=$Q$7,$O717=$Q$7)),"x","")</f>
        <v/>
      </c>
      <c r="R717" s="85" t="str">
        <f>IF(AND($N717=$Q$7,$B717&lt;'111'!$L$11),"x","")</f>
        <v/>
      </c>
      <c r="S717" s="85" t="str">
        <f>IF(AND($O717=$Q$7,$B717&lt;'111'!$L$11),"x","")</f>
        <v/>
      </c>
      <c r="T717" s="85" t="str">
        <f>IF(ISERROR(FIND('112'!$M$9,G717,1)),"",IF((AND(FIND('112'!$M$9,G717,1)&gt;=1,B717='112'!$K$9,OR($N717='112'!$I$6,$O717='112'!$I$6))),"x",""))</f>
        <v/>
      </c>
      <c r="U717" s="85" t="str">
        <f>IF(ISERROR(FIND('112'!$M$9,G717,1)),"",IF((AND(LEFT(G717,2)=LEFT('112'!$M$9,2),B717&lt;'112'!$K$9,$N717='112'!$I$6)),"x",""))</f>
        <v/>
      </c>
      <c r="V717" s="85" t="str">
        <f>IF(ISERROR(FIND('112'!$M$9,G717,1)),"",IF((AND(RIGHT(G717,2)=RIGHT('112'!$M$9,2),B717&lt;'112'!$K$9,$O717='112'!$I$6)),"x",""))</f>
        <v/>
      </c>
      <c r="W717" s="85" t="str">
        <f>IF(AND('341-CT'!$H$9=H717,OR(LEFT(N717,3)=$W$7,LEFT(O717,3)=$W$7)),"x","")</f>
        <v/>
      </c>
      <c r="X717" s="85" t="str">
        <f>IF(OR(TH!N717=TH!$X$7,O717=TH!$X$7),"x","")</f>
        <v/>
      </c>
      <c r="Y717" s="85" t="str">
        <f>IF(AND(OR(N717="131",O717="131"),H717='131-CT'!$H$9),"x","")</f>
        <v/>
      </c>
      <c r="Z717" s="85"/>
      <c r="AA717" s="85" t="str">
        <f>IF(AND(MONTH(E717)='IN-NX'!$J$5,'IN-NX'!$D$7=D717),"x","")</f>
        <v/>
      </c>
      <c r="AB717" s="85" t="str">
        <f>IF(AND(OR(LEFT(TH!N717,2)="15",LEFT(TH!O717,2)="15"),'152-CT'!$J$8=TH!F717),"x","")</f>
        <v/>
      </c>
      <c r="AC717" s="85" t="str">
        <f>IF(AND(OR(LEFT(TH!N717,2)="15",LEFT(TH!O717,2)="15"),TK!$E$7=TH!F717),"x","")</f>
        <v/>
      </c>
      <c r="AD717" s="85" t="str">
        <f>IF(AND(N717="1521",MONTH(C717)='BK-NL'!$M$11),"x","")</f>
        <v/>
      </c>
    </row>
    <row r="718" spans="1:30" ht="15.75" customHeight="1">
      <c r="A718" s="343" t="str">
        <f>IF(B718&lt;&gt;"",IF(AND(B718='IN-TC'!$S$4,OR(TH!N718="1111",TH!O718="1111")),TH!D718,""),"")</f>
        <v/>
      </c>
      <c r="B718" s="63">
        <f t="shared" si="67"/>
        <v>1</v>
      </c>
      <c r="C718" s="81">
        <f t="shared" si="68"/>
        <v>42400</v>
      </c>
      <c r="D718" s="81" t="s">
        <v>973</v>
      </c>
      <c r="E718" s="81">
        <v>42400</v>
      </c>
      <c r="F718" s="82" t="s">
        <v>960</v>
      </c>
      <c r="G718" s="82" t="s">
        <v>345</v>
      </c>
      <c r="H718" s="83" t="s">
        <v>434</v>
      </c>
      <c r="I718" s="445"/>
      <c r="J718" s="445"/>
      <c r="K718" s="436"/>
      <c r="L718" s="445"/>
      <c r="M718" s="84">
        <v>519129200</v>
      </c>
      <c r="N718" s="85" t="s">
        <v>8</v>
      </c>
      <c r="O718" s="85" t="s">
        <v>273</v>
      </c>
      <c r="P718" s="85" t="str">
        <f>IF(AND('331-CT'!$E$7=TH!H718,OR(N718="331",O718="331")),"x","")</f>
        <v/>
      </c>
      <c r="Q718" s="85" t="str">
        <f>IF(AND(B718='111'!$L$11,OR($N718=$Q$7,$O718=$Q$7)),"x","")</f>
        <v/>
      </c>
      <c r="R718" s="85" t="str">
        <f>IF(AND($N718=$Q$7,$B718&lt;'111'!$L$11),"x","")</f>
        <v/>
      </c>
      <c r="S718" s="85" t="str">
        <f>IF(AND($O718=$Q$7,$B718&lt;'111'!$L$11),"x","")</f>
        <v/>
      </c>
      <c r="T718" s="85" t="str">
        <f>IF(ISERROR(FIND('112'!$M$9,G718,1)),"",IF((AND(FIND('112'!$M$9,G718,1)&gt;=1,B718='112'!$K$9,OR($N718='112'!$I$6,$O718='112'!$I$6))),"x",""))</f>
        <v/>
      </c>
      <c r="U718" s="85" t="str">
        <f>IF(ISERROR(FIND('112'!$M$9,G718,1)),"",IF((AND(LEFT(G718,2)=LEFT('112'!$M$9,2),B718&lt;'112'!$K$9,$N718='112'!$I$6)),"x",""))</f>
        <v/>
      </c>
      <c r="V718" s="85" t="str">
        <f>IF(ISERROR(FIND('112'!$M$9,G718,1)),"",IF((AND(RIGHT(G718,2)=RIGHT('112'!$M$9,2),B718&lt;'112'!$K$9,$O718='112'!$I$6)),"x",""))</f>
        <v/>
      </c>
      <c r="W718" s="85" t="str">
        <f>IF(AND('341-CT'!$H$9=H718,OR(LEFT(N718,3)=$W$7,LEFT(O718,3)=$W$7)),"x","")</f>
        <v/>
      </c>
      <c r="X718" s="85" t="str">
        <f>IF(OR(TH!N718=TH!$X$7,O718=TH!$X$7),"x","")</f>
        <v/>
      </c>
      <c r="Y718" s="85" t="str">
        <f>IF(AND(OR(N718="131",O718="131"),H718='131-CT'!$H$9),"x","")</f>
        <v/>
      </c>
      <c r="Z718" s="85"/>
      <c r="AA718" s="85" t="str">
        <f>IF(AND(MONTH(E718)='IN-NX'!$J$5,'IN-NX'!$D$7=D718),"x","")</f>
        <v/>
      </c>
      <c r="AB718" s="85" t="str">
        <f>IF(AND(OR(LEFT(TH!N718,2)="15",LEFT(TH!O718,2)="15"),'152-CT'!$J$8=TH!F718),"x","")</f>
        <v/>
      </c>
      <c r="AC718" s="85" t="str">
        <f>IF(AND(OR(LEFT(TH!N718,2)="15",LEFT(TH!O718,2)="15"),TK!$E$7=TH!F718),"x","")</f>
        <v/>
      </c>
      <c r="AD718" s="85" t="str">
        <f>IF(AND(N718="1521",MONTH(C718)='BK-NL'!$M$11),"x","")</f>
        <v/>
      </c>
    </row>
    <row r="719" spans="1:30" ht="15.75" customHeight="1">
      <c r="A719" s="343" t="str">
        <f>IF(B719&lt;&gt;"",IF(AND(B719='IN-TC'!$S$4,OR(TH!N719="1111",TH!O719="1111")),TH!D719,""),"")</f>
        <v/>
      </c>
      <c r="B719" s="63">
        <f t="shared" si="67"/>
        <v>1</v>
      </c>
      <c r="C719" s="81">
        <f t="shared" si="68"/>
        <v>42400</v>
      </c>
      <c r="D719" s="81" t="s">
        <v>973</v>
      </c>
      <c r="E719" s="81">
        <v>42400</v>
      </c>
      <c r="F719" s="82" t="s">
        <v>960</v>
      </c>
      <c r="G719" s="82" t="s">
        <v>345</v>
      </c>
      <c r="H719" s="83" t="s">
        <v>436</v>
      </c>
      <c r="I719" s="445"/>
      <c r="J719" s="445"/>
      <c r="K719" s="436"/>
      <c r="L719" s="445"/>
      <c r="M719" s="84">
        <v>326899200</v>
      </c>
      <c r="N719" s="85" t="s">
        <v>8</v>
      </c>
      <c r="O719" s="85" t="s">
        <v>273</v>
      </c>
      <c r="P719" s="85" t="str">
        <f>IF(AND('331-CT'!$E$7=TH!H719,OR(N719="331",O719="331")),"x","")</f>
        <v/>
      </c>
      <c r="Q719" s="85" t="str">
        <f>IF(AND(B719='111'!$L$11,OR($N719=$Q$7,$O719=$Q$7)),"x","")</f>
        <v/>
      </c>
      <c r="R719" s="85" t="str">
        <f>IF(AND($N719=$Q$7,$B719&lt;'111'!$L$11),"x","")</f>
        <v/>
      </c>
      <c r="S719" s="85" t="str">
        <f>IF(AND($O719=$Q$7,$B719&lt;'111'!$L$11),"x","")</f>
        <v/>
      </c>
      <c r="T719" s="85" t="str">
        <f>IF(ISERROR(FIND('112'!$M$9,G719,1)),"",IF((AND(FIND('112'!$M$9,G719,1)&gt;=1,B719='112'!$K$9,OR($N719='112'!$I$6,$O719='112'!$I$6))),"x",""))</f>
        <v/>
      </c>
      <c r="U719" s="85" t="str">
        <f>IF(ISERROR(FIND('112'!$M$9,G719,1)),"",IF((AND(LEFT(G719,2)=LEFT('112'!$M$9,2),B719&lt;'112'!$K$9,$N719='112'!$I$6)),"x",""))</f>
        <v/>
      </c>
      <c r="V719" s="85" t="str">
        <f>IF(ISERROR(FIND('112'!$M$9,G719,1)),"",IF((AND(RIGHT(G719,2)=RIGHT('112'!$M$9,2),B719&lt;'112'!$K$9,$O719='112'!$I$6)),"x",""))</f>
        <v/>
      </c>
      <c r="W719" s="85" t="str">
        <f>IF(AND('341-CT'!$H$9=H719,OR(LEFT(N719,3)=$W$7,LEFT(O719,3)=$W$7)),"x","")</f>
        <v/>
      </c>
      <c r="X719" s="85" t="str">
        <f>IF(OR(TH!N719=TH!$X$7,O719=TH!$X$7),"x","")</f>
        <v/>
      </c>
      <c r="Y719" s="85" t="str">
        <f>IF(AND(OR(N719="131",O719="131"),H719='131-CT'!$H$9),"x","")</f>
        <v/>
      </c>
      <c r="Z719" s="85"/>
      <c r="AA719" s="85" t="str">
        <f>IF(AND(MONTH(E719)='IN-NX'!$J$5,'IN-NX'!$D$7=D719),"x","")</f>
        <v/>
      </c>
      <c r="AB719" s="85" t="str">
        <f>IF(AND(OR(LEFT(TH!N719,2)="15",LEFT(TH!O719,2)="15"),'152-CT'!$J$8=TH!F719),"x","")</f>
        <v/>
      </c>
      <c r="AC719" s="85" t="str">
        <f>IF(AND(OR(LEFT(TH!N719,2)="15",LEFT(TH!O719,2)="15"),TK!$E$7=TH!F719),"x","")</f>
        <v/>
      </c>
      <c r="AD719" s="85" t="str">
        <f>IF(AND(N719="1521",MONTH(C719)='BK-NL'!$M$11),"x","")</f>
        <v/>
      </c>
    </row>
    <row r="720" spans="1:30" ht="15.75" customHeight="1">
      <c r="A720" s="343" t="str">
        <f>IF(B720&lt;&gt;"",IF(AND(B720='IN-TC'!$S$4,OR(TH!N720="1111",TH!O720="1111")),TH!D720,""),"")</f>
        <v/>
      </c>
      <c r="B720" s="63">
        <f t="shared" si="67"/>
        <v>1</v>
      </c>
      <c r="C720" s="81">
        <f t="shared" si="68"/>
        <v>42400</v>
      </c>
      <c r="D720" s="81" t="s">
        <v>973</v>
      </c>
      <c r="E720" s="81">
        <v>42400</v>
      </c>
      <c r="F720" s="82" t="s">
        <v>960</v>
      </c>
      <c r="G720" s="82" t="s">
        <v>345</v>
      </c>
      <c r="H720" s="83" t="s">
        <v>438</v>
      </c>
      <c r="I720" s="445"/>
      <c r="J720" s="445"/>
      <c r="K720" s="436"/>
      <c r="L720" s="445"/>
      <c r="M720" s="84">
        <v>217091200</v>
      </c>
      <c r="N720" s="85" t="s">
        <v>8</v>
      </c>
      <c r="O720" s="85" t="s">
        <v>273</v>
      </c>
      <c r="P720" s="85" t="str">
        <f>IF(AND('331-CT'!$E$7=TH!H720,OR(N720="331",O720="331")),"x","")</f>
        <v/>
      </c>
      <c r="Q720" s="85" t="str">
        <f>IF(AND(B720='111'!$L$11,OR($N720=$Q$7,$O720=$Q$7)),"x","")</f>
        <v/>
      </c>
      <c r="R720" s="85" t="str">
        <f>IF(AND($N720=$Q$7,$B720&lt;'111'!$L$11),"x","")</f>
        <v/>
      </c>
      <c r="S720" s="85" t="str">
        <f>IF(AND($O720=$Q$7,$B720&lt;'111'!$L$11),"x","")</f>
        <v/>
      </c>
      <c r="T720" s="85" t="str">
        <f>IF(ISERROR(FIND('112'!$M$9,G720,1)),"",IF((AND(FIND('112'!$M$9,G720,1)&gt;=1,B720='112'!$K$9,OR($N720='112'!$I$6,$O720='112'!$I$6))),"x",""))</f>
        <v/>
      </c>
      <c r="U720" s="85" t="str">
        <f>IF(ISERROR(FIND('112'!$M$9,G720,1)),"",IF((AND(LEFT(G720,2)=LEFT('112'!$M$9,2),B720&lt;'112'!$K$9,$N720='112'!$I$6)),"x",""))</f>
        <v/>
      </c>
      <c r="V720" s="85" t="str">
        <f>IF(ISERROR(FIND('112'!$M$9,G720,1)),"",IF((AND(RIGHT(G720,2)=RIGHT('112'!$M$9,2),B720&lt;'112'!$K$9,$O720='112'!$I$6)),"x",""))</f>
        <v/>
      </c>
      <c r="W720" s="85" t="str">
        <f>IF(AND('341-CT'!$H$9=H720,OR(LEFT(N720,3)=$W$7,LEFT(O720,3)=$W$7)),"x","")</f>
        <v/>
      </c>
      <c r="X720" s="85" t="str">
        <f>IF(OR(TH!N720=TH!$X$7,O720=TH!$X$7),"x","")</f>
        <v/>
      </c>
      <c r="Y720" s="85" t="str">
        <f>IF(AND(OR(N720="131",O720="131"),H720='131-CT'!$H$9),"x","")</f>
        <v/>
      </c>
      <c r="Z720" s="85"/>
      <c r="AA720" s="85" t="str">
        <f>IF(AND(MONTH(E720)='IN-NX'!$J$5,'IN-NX'!$D$7=D720),"x","")</f>
        <v/>
      </c>
      <c r="AB720" s="85" t="str">
        <f>IF(AND(OR(LEFT(TH!N720,2)="15",LEFT(TH!O720,2)="15"),'152-CT'!$J$8=TH!F720),"x","")</f>
        <v/>
      </c>
      <c r="AC720" s="85" t="str">
        <f>IF(AND(OR(LEFT(TH!N720,2)="15",LEFT(TH!O720,2)="15"),TK!$E$7=TH!F720),"x","")</f>
        <v/>
      </c>
      <c r="AD720" s="85" t="str">
        <f>IF(AND(N720="1521",MONTH(C720)='BK-NL'!$M$11),"x","")</f>
        <v/>
      </c>
    </row>
    <row r="721" spans="1:30" ht="15.75" customHeight="1">
      <c r="A721" s="343" t="str">
        <f>IF(B721&lt;&gt;"",IF(AND(B721='IN-TC'!$S$4,OR(TH!N721="1111",TH!O721="1111")),TH!D721,""),"")</f>
        <v/>
      </c>
      <c r="B721" s="63">
        <f t="shared" si="67"/>
        <v>1</v>
      </c>
      <c r="C721" s="81">
        <f t="shared" si="68"/>
        <v>42400</v>
      </c>
      <c r="D721" s="81" t="s">
        <v>973</v>
      </c>
      <c r="E721" s="81">
        <v>42400</v>
      </c>
      <c r="F721" s="82" t="s">
        <v>960</v>
      </c>
      <c r="G721" s="82" t="s">
        <v>345</v>
      </c>
      <c r="H721" s="979" t="s">
        <v>439</v>
      </c>
      <c r="I721" s="974"/>
      <c r="J721" s="974"/>
      <c r="K721" s="980"/>
      <c r="L721" s="974"/>
      <c r="M721" s="84">
        <v>297390800</v>
      </c>
      <c r="N721" s="85" t="s">
        <v>8</v>
      </c>
      <c r="O721" s="85" t="s">
        <v>273</v>
      </c>
      <c r="P721" s="85" t="str">
        <f>IF(AND('331-CT'!$E$7=TH!H721,OR(N721="331",O721="331")),"x","")</f>
        <v/>
      </c>
      <c r="Q721" s="85" t="str">
        <f>IF(AND(B721='111'!$L$11,OR($N721=$Q$7,$O721=$Q$7)),"x","")</f>
        <v/>
      </c>
      <c r="R721" s="85" t="str">
        <f>IF(AND($N721=$Q$7,$B721&lt;'111'!$L$11),"x","")</f>
        <v/>
      </c>
      <c r="S721" s="85" t="str">
        <f>IF(AND($O721=$Q$7,$B721&lt;'111'!$L$11),"x","")</f>
        <v/>
      </c>
      <c r="T721" s="85" t="str">
        <f>IF(ISERROR(FIND('112'!$M$9,G721,1)),"",IF((AND(FIND('112'!$M$9,G721,1)&gt;=1,B721='112'!$K$9,OR($N721='112'!$I$6,$O721='112'!$I$6))),"x",""))</f>
        <v/>
      </c>
      <c r="U721" s="85" t="str">
        <f>IF(ISERROR(FIND('112'!$M$9,G721,1)),"",IF((AND(LEFT(G721,2)=LEFT('112'!$M$9,2),B721&lt;'112'!$K$9,$N721='112'!$I$6)),"x",""))</f>
        <v/>
      </c>
      <c r="V721" s="85" t="str">
        <f>IF(ISERROR(FIND('112'!$M$9,G721,1)),"",IF((AND(RIGHT(G721,2)=RIGHT('112'!$M$9,2),B721&lt;'112'!$K$9,$O721='112'!$I$6)),"x",""))</f>
        <v/>
      </c>
      <c r="W721" s="85" t="str">
        <f>IF(AND('341-CT'!$H$9=H721,OR(LEFT(N721,3)=$W$7,LEFT(O721,3)=$W$7)),"x","")</f>
        <v/>
      </c>
      <c r="X721" s="85" t="str">
        <f>IF(OR(TH!N721=TH!$X$7,O721=TH!$X$7),"x","")</f>
        <v/>
      </c>
      <c r="Y721" s="85" t="str">
        <f>IF(AND(OR(N721="131",O721="131"),H721='131-CT'!$H$9),"x","")</f>
        <v/>
      </c>
      <c r="Z721" s="85"/>
      <c r="AA721" s="85" t="str">
        <f>IF(AND(MONTH(E721)='IN-NX'!$J$5,'IN-NX'!$D$7=D721),"x","")</f>
        <v/>
      </c>
      <c r="AB721" s="85" t="str">
        <f>IF(AND(OR(LEFT(TH!N721,2)="15",LEFT(TH!O721,2)="15"),'152-CT'!$J$8=TH!F721),"x","")</f>
        <v/>
      </c>
      <c r="AC721" s="85" t="str">
        <f>IF(AND(OR(LEFT(TH!N721,2)="15",LEFT(TH!O721,2)="15"),TK!$E$7=TH!F721),"x","")</f>
        <v/>
      </c>
      <c r="AD721" s="85" t="str">
        <f>IF(AND(N721="1521",MONTH(C721)='BK-NL'!$M$11),"x","")</f>
        <v/>
      </c>
    </row>
    <row r="722" spans="1:30" ht="15.75" customHeight="1">
      <c r="A722" s="343" t="str">
        <f>IF(B722&lt;&gt;"",IF(AND(B722='IN-TC'!$S$4,OR(TH!N722="1111",TH!O722="1111")),TH!D722,""),"")</f>
        <v/>
      </c>
      <c r="B722" s="63">
        <f t="shared" si="67"/>
        <v>1</v>
      </c>
      <c r="C722" s="81">
        <f t="shared" si="68"/>
        <v>42400</v>
      </c>
      <c r="D722" s="81" t="s">
        <v>973</v>
      </c>
      <c r="E722" s="81">
        <v>42400</v>
      </c>
      <c r="F722" s="82" t="s">
        <v>960</v>
      </c>
      <c r="G722" s="82" t="s">
        <v>345</v>
      </c>
      <c r="H722" s="83" t="s">
        <v>443</v>
      </c>
      <c r="I722" s="445"/>
      <c r="J722" s="445"/>
      <c r="K722" s="436"/>
      <c r="L722" s="445"/>
      <c r="M722" s="84">
        <v>101204400</v>
      </c>
      <c r="N722" s="85" t="s">
        <v>8</v>
      </c>
      <c r="O722" s="85" t="s">
        <v>273</v>
      </c>
      <c r="P722" s="85" t="str">
        <f>IF(AND('331-CT'!$E$7=TH!H722,OR(N722="331",O722="331")),"x","")</f>
        <v/>
      </c>
      <c r="Q722" s="85" t="str">
        <f>IF(AND(B722='111'!$L$11,OR($N722=$Q$7,$O722=$Q$7)),"x","")</f>
        <v/>
      </c>
      <c r="R722" s="85" t="str">
        <f>IF(AND($N722=$Q$7,$B722&lt;'111'!$L$11),"x","")</f>
        <v/>
      </c>
      <c r="S722" s="85" t="str">
        <f>IF(AND($O722=$Q$7,$B722&lt;'111'!$L$11),"x","")</f>
        <v/>
      </c>
      <c r="T722" s="85" t="str">
        <f>IF(ISERROR(FIND('112'!$M$9,G722,1)),"",IF((AND(FIND('112'!$M$9,G722,1)&gt;=1,B722='112'!$K$9,OR($N722='112'!$I$6,$O722='112'!$I$6))),"x",""))</f>
        <v/>
      </c>
      <c r="U722" s="85" t="str">
        <f>IF(ISERROR(FIND('112'!$M$9,G722,1)),"",IF((AND(LEFT(G722,2)=LEFT('112'!$M$9,2),B722&lt;'112'!$K$9,$N722='112'!$I$6)),"x",""))</f>
        <v/>
      </c>
      <c r="V722" s="85" t="str">
        <f>IF(ISERROR(FIND('112'!$M$9,G722,1)),"",IF((AND(RIGHT(G722,2)=RIGHT('112'!$M$9,2),B722&lt;'112'!$K$9,$O722='112'!$I$6)),"x",""))</f>
        <v/>
      </c>
      <c r="W722" s="85" t="str">
        <f>IF(AND('341-CT'!$H$9=H722,OR(LEFT(N722,3)=$W$7,LEFT(O722,3)=$W$7)),"x","")</f>
        <v/>
      </c>
      <c r="X722" s="85" t="str">
        <f>IF(OR(TH!N722=TH!$X$7,O722=TH!$X$7),"x","")</f>
        <v/>
      </c>
      <c r="Y722" s="85" t="str">
        <f>IF(AND(OR(N722="131",O722="131"),H722='131-CT'!$H$9),"x","")</f>
        <v/>
      </c>
      <c r="Z722" s="85"/>
      <c r="AA722" s="85" t="str">
        <f>IF(AND(MONTH(E722)='IN-NX'!$J$5,'IN-NX'!$D$7=D722),"x","")</f>
        <v/>
      </c>
      <c r="AB722" s="85" t="str">
        <f>IF(AND(OR(LEFT(TH!N722,2)="15",LEFT(TH!O722,2)="15"),'152-CT'!$J$8=TH!F722),"x","")</f>
        <v/>
      </c>
      <c r="AC722" s="85" t="str">
        <f>IF(AND(OR(LEFT(TH!N722,2)="15",LEFT(TH!O722,2)="15"),TK!$E$7=TH!F722),"x","")</f>
        <v/>
      </c>
      <c r="AD722" s="85" t="str">
        <f>IF(AND(N722="1521",MONTH(C722)='BK-NL'!$M$11),"x","")</f>
        <v/>
      </c>
    </row>
    <row r="723" spans="1:30" ht="15.75" customHeight="1">
      <c r="A723" s="343" t="str">
        <f>IF(B723&lt;&gt;"",IF(AND(B723='IN-TC'!$S$4,OR(TH!N723="1111",TH!O723="1111")),TH!D723,""),"")</f>
        <v/>
      </c>
      <c r="B723" s="63">
        <f t="shared" si="67"/>
        <v>1</v>
      </c>
      <c r="C723" s="81">
        <f t="shared" si="68"/>
        <v>42400</v>
      </c>
      <c r="D723" s="81" t="s">
        <v>973</v>
      </c>
      <c r="E723" s="81">
        <v>42400</v>
      </c>
      <c r="F723" s="82" t="s">
        <v>960</v>
      </c>
      <c r="G723" s="82" t="s">
        <v>345</v>
      </c>
      <c r="H723" s="83" t="s">
        <v>445</v>
      </c>
      <c r="I723" s="445"/>
      <c r="J723" s="445"/>
      <c r="K723" s="436"/>
      <c r="L723" s="445"/>
      <c r="M723" s="84">
        <v>216088000</v>
      </c>
      <c r="N723" s="85" t="s">
        <v>8</v>
      </c>
      <c r="O723" s="85" t="s">
        <v>273</v>
      </c>
      <c r="P723" s="85" t="str">
        <f>IF(AND('331-CT'!$E$7=TH!H723,OR(N723="331",O723="331")),"x","")</f>
        <v/>
      </c>
      <c r="Q723" s="85" t="str">
        <f>IF(AND(B723='111'!$L$11,OR($N723=$Q$7,$O723=$Q$7)),"x","")</f>
        <v/>
      </c>
      <c r="R723" s="85" t="str">
        <f>IF(AND($N723=$Q$7,$B723&lt;'111'!$L$11),"x","")</f>
        <v/>
      </c>
      <c r="S723" s="85" t="str">
        <f>IF(AND($O723=$Q$7,$B723&lt;'111'!$L$11),"x","")</f>
        <v/>
      </c>
      <c r="T723" s="85" t="str">
        <f>IF(ISERROR(FIND('112'!$M$9,G723,1)),"",IF((AND(FIND('112'!$M$9,G723,1)&gt;=1,B723='112'!$K$9,OR($N723='112'!$I$6,$O723='112'!$I$6))),"x",""))</f>
        <v/>
      </c>
      <c r="U723" s="85" t="str">
        <f>IF(ISERROR(FIND('112'!$M$9,G723,1)),"",IF((AND(LEFT(G723,2)=LEFT('112'!$M$9,2),B723&lt;'112'!$K$9,$N723='112'!$I$6)),"x",""))</f>
        <v/>
      </c>
      <c r="V723" s="85" t="str">
        <f>IF(ISERROR(FIND('112'!$M$9,G723,1)),"",IF((AND(RIGHT(G723,2)=RIGHT('112'!$M$9,2),B723&lt;'112'!$K$9,$O723='112'!$I$6)),"x",""))</f>
        <v/>
      </c>
      <c r="W723" s="85" t="str">
        <f>IF(AND('341-CT'!$H$9=H723,OR(LEFT(N723,3)=$W$7,LEFT(O723,3)=$W$7)),"x","")</f>
        <v/>
      </c>
      <c r="X723" s="85" t="str">
        <f>IF(OR(TH!N723=TH!$X$7,O723=TH!$X$7),"x","")</f>
        <v/>
      </c>
      <c r="Y723" s="85" t="str">
        <f>IF(AND(OR(N723="131",O723="131"),H723='131-CT'!$H$9),"x","")</f>
        <v/>
      </c>
      <c r="Z723" s="85"/>
      <c r="AA723" s="85" t="str">
        <f>IF(AND(MONTH(E723)='IN-NX'!$J$5,'IN-NX'!$D$7=D723),"x","")</f>
        <v/>
      </c>
      <c r="AB723" s="85" t="str">
        <f>IF(AND(OR(LEFT(TH!N723,2)="15",LEFT(TH!O723,2)="15"),'152-CT'!$J$8=TH!F723),"x","")</f>
        <v/>
      </c>
      <c r="AC723" s="85" t="str">
        <f>IF(AND(OR(LEFT(TH!N723,2)="15",LEFT(TH!O723,2)="15"),TK!$E$7=TH!F723),"x","")</f>
        <v/>
      </c>
      <c r="AD723" s="85" t="str">
        <f>IF(AND(N723="1521",MONTH(C723)='BK-NL'!$M$11),"x","")</f>
        <v/>
      </c>
    </row>
    <row r="724" spans="1:30" ht="15.75" customHeight="1">
      <c r="A724" s="343" t="str">
        <f>IF(B724&lt;&gt;"",IF(AND(B724='IN-TC'!$S$4,OR(TH!N724="1111",TH!O724="1111")),TH!D724,""),"")</f>
        <v/>
      </c>
      <c r="B724" s="63">
        <f t="shared" si="67"/>
        <v>1</v>
      </c>
      <c r="C724" s="81">
        <f t="shared" ref="C724" si="69">E724</f>
        <v>42400</v>
      </c>
      <c r="D724" s="81" t="s">
        <v>973</v>
      </c>
      <c r="E724" s="81">
        <v>42400</v>
      </c>
      <c r="F724" s="82" t="s">
        <v>960</v>
      </c>
      <c r="G724" s="82" t="s">
        <v>345</v>
      </c>
      <c r="H724" s="979" t="s">
        <v>447</v>
      </c>
      <c r="I724" s="974"/>
      <c r="J724" s="974"/>
      <c r="K724" s="980"/>
      <c r="L724" s="974"/>
      <c r="M724" s="84">
        <v>102928000</v>
      </c>
      <c r="N724" s="85" t="s">
        <v>8</v>
      </c>
      <c r="O724" s="85" t="s">
        <v>273</v>
      </c>
      <c r="P724" s="85" t="str">
        <f>IF(AND('331-CT'!$E$7=TH!H724,OR(N724="331",O724="331")),"x","")</f>
        <v/>
      </c>
      <c r="Q724" s="85" t="str">
        <f>IF(AND(B724='111'!$L$11,OR($N724=$Q$7,$O724=$Q$7)),"x","")</f>
        <v/>
      </c>
      <c r="R724" s="85" t="str">
        <f>IF(AND($N724=$Q$7,$B724&lt;'111'!$L$11),"x","")</f>
        <v/>
      </c>
      <c r="S724" s="85" t="str">
        <f>IF(AND($O724=$Q$7,$B724&lt;'111'!$L$11),"x","")</f>
        <v/>
      </c>
      <c r="T724" s="85" t="str">
        <f>IF(ISERROR(FIND('112'!$M$9,G724,1)),"",IF((AND(FIND('112'!$M$9,G724,1)&gt;=1,B724='112'!$K$9,OR($N724='112'!$I$6,$O724='112'!$I$6))),"x",""))</f>
        <v/>
      </c>
      <c r="U724" s="85" t="str">
        <f>IF(ISERROR(FIND('112'!$M$9,G724,1)),"",IF((AND(LEFT(G724,2)=LEFT('112'!$M$9,2),B724&lt;'112'!$K$9,$N724='112'!$I$6)),"x",""))</f>
        <v/>
      </c>
      <c r="V724" s="85" t="str">
        <f>IF(ISERROR(FIND('112'!$M$9,G724,1)),"",IF((AND(RIGHT(G724,2)=RIGHT('112'!$M$9,2),B724&lt;'112'!$K$9,$O724='112'!$I$6)),"x",""))</f>
        <v/>
      </c>
      <c r="W724" s="85" t="str">
        <f>IF(AND('341-CT'!$H$9=H724,OR(LEFT(N724,3)=$W$7,LEFT(O724,3)=$W$7)),"x","")</f>
        <v/>
      </c>
      <c r="X724" s="85" t="str">
        <f>IF(OR(TH!N724=TH!$X$7,O724=TH!$X$7),"x","")</f>
        <v/>
      </c>
      <c r="Y724" s="85" t="str">
        <f>IF(AND(OR(N724="131",O724="131"),H724='131-CT'!$H$9),"x","")</f>
        <v/>
      </c>
      <c r="Z724" s="85"/>
      <c r="AA724" s="85" t="str">
        <f>IF(AND(MONTH(E724)='IN-NX'!$J$5,'IN-NX'!$D$7=D724),"x","")</f>
        <v/>
      </c>
      <c r="AB724" s="85" t="str">
        <f>IF(AND(OR(LEFT(TH!N724,2)="15",LEFT(TH!O724,2)="15"),'152-CT'!$J$8=TH!F724),"x","")</f>
        <v/>
      </c>
      <c r="AC724" s="85" t="str">
        <f>IF(AND(OR(LEFT(TH!N724,2)="15",LEFT(TH!O724,2)="15"),TK!$E$7=TH!F724),"x","")</f>
        <v/>
      </c>
      <c r="AD724" s="85" t="str">
        <f>IF(AND(N724="1521",MONTH(C724)='BK-NL'!$M$11),"x","")</f>
        <v/>
      </c>
    </row>
    <row r="725" spans="1:30" ht="15.75" customHeight="1">
      <c r="A725" s="343" t="str">
        <f>IF(B725&lt;&gt;"",IF(AND(B725='IN-TC'!$S$4,OR(TH!N725="1111",TH!O725="1111")),TH!D725,""),"")</f>
        <v/>
      </c>
      <c r="B725" s="63">
        <f t="shared" ref="B725:B729" si="70">IF(C725&lt;&gt;"",MONTH(C725),"")</f>
        <v>2</v>
      </c>
      <c r="C725" s="81">
        <f>E725</f>
        <v>42429</v>
      </c>
      <c r="D725" s="81" t="s">
        <v>1104</v>
      </c>
      <c r="E725" s="81">
        <v>42429</v>
      </c>
      <c r="F725" s="82" t="s">
        <v>960</v>
      </c>
      <c r="G725" s="82" t="s">
        <v>345</v>
      </c>
      <c r="H725" s="83" t="s">
        <v>429</v>
      </c>
      <c r="I725" s="445"/>
      <c r="J725" s="445"/>
      <c r="K725" s="436"/>
      <c r="L725" s="445"/>
      <c r="M725" s="84">
        <v>92967600</v>
      </c>
      <c r="N725" s="85" t="s">
        <v>8</v>
      </c>
      <c r="O725" s="85" t="s">
        <v>273</v>
      </c>
      <c r="P725" s="85" t="str">
        <f>IF(AND('331-CT'!$E$7=TH!H725,OR(N725="331",O725="331")),"x","")</f>
        <v/>
      </c>
      <c r="Q725" s="85" t="str">
        <f>IF(AND(B725='111'!$L$11,OR($N725=$Q$7,$O725=$Q$7)),"x","")</f>
        <v/>
      </c>
      <c r="R725" s="85" t="str">
        <f>IF(AND($N725=$Q$7,$B725&lt;'111'!$L$11),"x","")</f>
        <v/>
      </c>
      <c r="S725" s="85" t="str">
        <f>IF(AND($O725=$Q$7,$B725&lt;'111'!$L$11),"x","")</f>
        <v/>
      </c>
      <c r="T725" s="85" t="str">
        <f>IF(ISERROR(FIND('112'!$M$9,G725,1)),"",IF((AND(FIND('112'!$M$9,G725,1)&gt;=1,B725='112'!$K$9,OR($N725='112'!$I$6,$O725='112'!$I$6))),"x",""))</f>
        <v/>
      </c>
      <c r="U725" s="85" t="str">
        <f>IF(ISERROR(FIND('112'!$M$9,G725,1)),"",IF((AND(LEFT(G725,2)=LEFT('112'!$M$9,2),B725&lt;'112'!$K$9,$N725='112'!$I$6)),"x",""))</f>
        <v/>
      </c>
      <c r="V725" s="85" t="str">
        <f>IF(ISERROR(FIND('112'!$M$9,G725,1)),"",IF((AND(RIGHT(G725,2)=RIGHT('112'!$M$9,2),B725&lt;'112'!$K$9,$O725='112'!$I$6)),"x",""))</f>
        <v/>
      </c>
      <c r="W725" s="85" t="str">
        <f>IF(AND('341-CT'!$H$9=H725,OR(LEFT(N725,3)=$W$7,LEFT(O725,3)=$W$7)),"x","")</f>
        <v/>
      </c>
      <c r="X725" s="85" t="str">
        <f>IF(OR(TH!N725=TH!$X$7,O725=TH!$X$7),"x","")</f>
        <v/>
      </c>
      <c r="Y725" s="85" t="str">
        <f>IF(AND(OR(N725="131",O725="131"),H725='131-CT'!$H$9),"x","")</f>
        <v/>
      </c>
      <c r="Z725" s="85"/>
      <c r="AA725" s="85" t="str">
        <f>IF(AND(MONTH(E725)='IN-NX'!$J$5,'IN-NX'!$D$7=D725),"x","")</f>
        <v/>
      </c>
      <c r="AB725" s="85" t="str">
        <f>IF(AND(OR(LEFT(TH!N725,2)="15",LEFT(TH!O725,2)="15"),'152-CT'!$J$8=TH!F725),"x","")</f>
        <v/>
      </c>
      <c r="AC725" s="85" t="str">
        <f>IF(AND(OR(LEFT(TH!N725,2)="15",LEFT(TH!O725,2)="15"),TK!$E$7=TH!F725),"x","")</f>
        <v/>
      </c>
      <c r="AD725" s="85" t="str">
        <f>IF(AND(N725="1521",MONTH(C725)='BK-NL'!$M$11),"x","")</f>
        <v/>
      </c>
    </row>
    <row r="726" spans="1:30" ht="15.75" customHeight="1">
      <c r="A726" s="343" t="str">
        <f>IF(B726&lt;&gt;"",IF(AND(B726='IN-TC'!$S$4,OR(TH!N726="1111",TH!O726="1111")),TH!D726,""),"")</f>
        <v/>
      </c>
      <c r="B726" s="63">
        <f t="shared" si="70"/>
        <v>2</v>
      </c>
      <c r="C726" s="81">
        <f t="shared" ref="C726:C729" si="71">E726</f>
        <v>42429</v>
      </c>
      <c r="D726" s="81" t="s">
        <v>1104</v>
      </c>
      <c r="E726" s="81">
        <v>42429</v>
      </c>
      <c r="F726" s="82" t="s">
        <v>960</v>
      </c>
      <c r="G726" s="82" t="s">
        <v>345</v>
      </c>
      <c r="H726" s="83" t="s">
        <v>436</v>
      </c>
      <c r="I726" s="445"/>
      <c r="J726" s="445"/>
      <c r="K726" s="436"/>
      <c r="L726" s="445"/>
      <c r="M726" s="84">
        <v>192852000</v>
      </c>
      <c r="N726" s="85" t="s">
        <v>8</v>
      </c>
      <c r="O726" s="85" t="s">
        <v>273</v>
      </c>
      <c r="P726" s="85" t="str">
        <f>IF(AND('331-CT'!$E$7=TH!H726,OR(N726="331",O726="331")),"x","")</f>
        <v/>
      </c>
      <c r="Q726" s="85" t="str">
        <f>IF(AND(B726='111'!$L$11,OR($N726=$Q$7,$O726=$Q$7)),"x","")</f>
        <v/>
      </c>
      <c r="R726" s="85" t="str">
        <f>IF(AND($N726=$Q$7,$B726&lt;'111'!$L$11),"x","")</f>
        <v/>
      </c>
      <c r="S726" s="85" t="str">
        <f>IF(AND($O726=$Q$7,$B726&lt;'111'!$L$11),"x","")</f>
        <v/>
      </c>
      <c r="T726" s="85" t="str">
        <f>IF(ISERROR(FIND('112'!$M$9,G726,1)),"",IF((AND(FIND('112'!$M$9,G726,1)&gt;=1,B726='112'!$K$9,OR($N726='112'!$I$6,$O726='112'!$I$6))),"x",""))</f>
        <v/>
      </c>
      <c r="U726" s="85" t="str">
        <f>IF(ISERROR(FIND('112'!$M$9,G726,1)),"",IF((AND(LEFT(G726,2)=LEFT('112'!$M$9,2),B726&lt;'112'!$K$9,$N726='112'!$I$6)),"x",""))</f>
        <v/>
      </c>
      <c r="V726" s="85" t="str">
        <f>IF(ISERROR(FIND('112'!$M$9,G726,1)),"",IF((AND(RIGHT(G726,2)=RIGHT('112'!$M$9,2),B726&lt;'112'!$K$9,$O726='112'!$I$6)),"x",""))</f>
        <v/>
      </c>
      <c r="W726" s="85" t="str">
        <f>IF(AND('341-CT'!$H$9=H726,OR(LEFT(N726,3)=$W$7,LEFT(O726,3)=$W$7)),"x","")</f>
        <v/>
      </c>
      <c r="X726" s="85" t="str">
        <f>IF(OR(TH!N726=TH!$X$7,O726=TH!$X$7),"x","")</f>
        <v/>
      </c>
      <c r="Y726" s="85" t="str">
        <f>IF(AND(OR(N726="131",O726="131"),H726='131-CT'!$H$9),"x","")</f>
        <v/>
      </c>
      <c r="Z726" s="85"/>
      <c r="AA726" s="85" t="str">
        <f>IF(AND(MONTH(E726)='IN-NX'!$J$5,'IN-NX'!$D$7=D726),"x","")</f>
        <v/>
      </c>
      <c r="AB726" s="85" t="str">
        <f>IF(AND(OR(LEFT(TH!N726,2)="15",LEFT(TH!O726,2)="15"),'152-CT'!$J$8=TH!F726),"x","")</f>
        <v/>
      </c>
      <c r="AC726" s="85" t="str">
        <f>IF(AND(OR(LEFT(TH!N726,2)="15",LEFT(TH!O726,2)="15"),TK!$E$7=TH!F726),"x","")</f>
        <v/>
      </c>
      <c r="AD726" s="85" t="str">
        <f>IF(AND(N726="1521",MONTH(C726)='BK-NL'!$M$11),"x","")</f>
        <v/>
      </c>
    </row>
    <row r="727" spans="1:30" ht="15.75" customHeight="1">
      <c r="A727" s="343" t="str">
        <f>IF(B727&lt;&gt;"",IF(AND(B727='IN-TC'!$S$4,OR(TH!N727="1111",TH!O727="1111")),TH!D727,""),"")</f>
        <v/>
      </c>
      <c r="B727" s="63">
        <f t="shared" si="70"/>
        <v>2</v>
      </c>
      <c r="C727" s="81">
        <f t="shared" si="71"/>
        <v>42429</v>
      </c>
      <c r="D727" s="81" t="s">
        <v>1104</v>
      </c>
      <c r="E727" s="81">
        <v>42429</v>
      </c>
      <c r="F727" s="82" t="s">
        <v>960</v>
      </c>
      <c r="G727" s="82" t="s">
        <v>345</v>
      </c>
      <c r="H727" s="83" t="s">
        <v>438</v>
      </c>
      <c r="I727" s="445"/>
      <c r="J727" s="445"/>
      <c r="K727" s="436"/>
      <c r="L727" s="445"/>
      <c r="M727" s="84">
        <v>188733600</v>
      </c>
      <c r="N727" s="85" t="s">
        <v>8</v>
      </c>
      <c r="O727" s="85" t="s">
        <v>273</v>
      </c>
      <c r="P727" s="85" t="str">
        <f>IF(AND('331-CT'!$E$7=TH!H727,OR(N727="331",O727="331")),"x","")</f>
        <v/>
      </c>
      <c r="Q727" s="85" t="str">
        <f>IF(AND(B727='111'!$L$11,OR($N727=$Q$7,$O727=$Q$7)),"x","")</f>
        <v/>
      </c>
      <c r="R727" s="85" t="str">
        <f>IF(AND($N727=$Q$7,$B727&lt;'111'!$L$11),"x","")</f>
        <v/>
      </c>
      <c r="S727" s="85" t="str">
        <f>IF(AND($O727=$Q$7,$B727&lt;'111'!$L$11),"x","")</f>
        <v/>
      </c>
      <c r="T727" s="85" t="str">
        <f>IF(ISERROR(FIND('112'!$M$9,G727,1)),"",IF((AND(FIND('112'!$M$9,G727,1)&gt;=1,B727='112'!$K$9,OR($N727='112'!$I$6,$O727='112'!$I$6))),"x",""))</f>
        <v/>
      </c>
      <c r="U727" s="85" t="str">
        <f>IF(ISERROR(FIND('112'!$M$9,G727,1)),"",IF((AND(LEFT(G727,2)=LEFT('112'!$M$9,2),B727&lt;'112'!$K$9,$N727='112'!$I$6)),"x",""))</f>
        <v/>
      </c>
      <c r="V727" s="85" t="str">
        <f>IF(ISERROR(FIND('112'!$M$9,G727,1)),"",IF((AND(RIGHT(G727,2)=RIGHT('112'!$M$9,2),B727&lt;'112'!$K$9,$O727='112'!$I$6)),"x",""))</f>
        <v/>
      </c>
      <c r="W727" s="85" t="str">
        <f>IF(AND('341-CT'!$H$9=H727,OR(LEFT(N727,3)=$W$7,LEFT(O727,3)=$W$7)),"x","")</f>
        <v/>
      </c>
      <c r="X727" s="85" t="str">
        <f>IF(OR(TH!N727=TH!$X$7,O727=TH!$X$7),"x","")</f>
        <v/>
      </c>
      <c r="Y727" s="85" t="str">
        <f>IF(AND(OR(N727="131",O727="131"),H727='131-CT'!$H$9),"x","")</f>
        <v/>
      </c>
      <c r="Z727" s="85"/>
      <c r="AA727" s="85" t="str">
        <f>IF(AND(MONTH(E727)='IN-NX'!$J$5,'IN-NX'!$D$7=D727),"x","")</f>
        <v/>
      </c>
      <c r="AB727" s="85" t="str">
        <f>IF(AND(OR(LEFT(TH!N727,2)="15",LEFT(TH!O727,2)="15"),'152-CT'!$J$8=TH!F727),"x","")</f>
        <v/>
      </c>
      <c r="AC727" s="85" t="str">
        <f>IF(AND(OR(LEFT(TH!N727,2)="15",LEFT(TH!O727,2)="15"),TK!$E$7=TH!F727),"x","")</f>
        <v/>
      </c>
      <c r="AD727" s="85" t="str">
        <f>IF(AND(N727="1521",MONTH(C727)='BK-NL'!$M$11),"x","")</f>
        <v/>
      </c>
    </row>
    <row r="728" spans="1:30" ht="15.75" customHeight="1">
      <c r="A728" s="343" t="str">
        <f>IF(B728&lt;&gt;"",IF(AND(B728='IN-TC'!$S$4,OR(TH!N728="1111",TH!O728="1111")),TH!D728,""),"")</f>
        <v/>
      </c>
      <c r="B728" s="63">
        <f t="shared" si="70"/>
        <v>2</v>
      </c>
      <c r="C728" s="81">
        <f t="shared" si="71"/>
        <v>42429</v>
      </c>
      <c r="D728" s="81" t="s">
        <v>1104</v>
      </c>
      <c r="E728" s="81">
        <v>42429</v>
      </c>
      <c r="F728" s="82" t="s">
        <v>960</v>
      </c>
      <c r="G728" s="82" t="s">
        <v>345</v>
      </c>
      <c r="H728" s="83" t="s">
        <v>439</v>
      </c>
      <c r="I728" s="445"/>
      <c r="J728" s="445"/>
      <c r="K728" s="436"/>
      <c r="L728" s="445"/>
      <c r="M728" s="84">
        <v>80506800</v>
      </c>
      <c r="N728" s="85" t="s">
        <v>8</v>
      </c>
      <c r="O728" s="85" t="s">
        <v>273</v>
      </c>
      <c r="P728" s="85" t="str">
        <f>IF(AND('331-CT'!$E$7=TH!H728,OR(N728="331",O728="331")),"x","")</f>
        <v/>
      </c>
      <c r="Q728" s="85" t="str">
        <f>IF(AND(B728='111'!$L$11,OR($N728=$Q$7,$O728=$Q$7)),"x","")</f>
        <v/>
      </c>
      <c r="R728" s="85" t="str">
        <f>IF(AND($N728=$Q$7,$B728&lt;'111'!$L$11),"x","")</f>
        <v/>
      </c>
      <c r="S728" s="85" t="str">
        <f>IF(AND($O728=$Q$7,$B728&lt;'111'!$L$11),"x","")</f>
        <v/>
      </c>
      <c r="T728" s="85" t="str">
        <f>IF(ISERROR(FIND('112'!$M$9,G728,1)),"",IF((AND(FIND('112'!$M$9,G728,1)&gt;=1,B728='112'!$K$9,OR($N728='112'!$I$6,$O728='112'!$I$6))),"x",""))</f>
        <v/>
      </c>
      <c r="U728" s="85" t="str">
        <f>IF(ISERROR(FIND('112'!$M$9,G728,1)),"",IF((AND(LEFT(G728,2)=LEFT('112'!$M$9,2),B728&lt;'112'!$K$9,$N728='112'!$I$6)),"x",""))</f>
        <v/>
      </c>
      <c r="V728" s="85" t="str">
        <f>IF(ISERROR(FIND('112'!$M$9,G728,1)),"",IF((AND(RIGHT(G728,2)=RIGHT('112'!$M$9,2),B728&lt;'112'!$K$9,$O728='112'!$I$6)),"x",""))</f>
        <v/>
      </c>
      <c r="W728" s="85" t="str">
        <f>IF(AND('341-CT'!$H$9=H728,OR(LEFT(N728,3)=$W$7,LEFT(O728,3)=$W$7)),"x","")</f>
        <v/>
      </c>
      <c r="X728" s="85" t="str">
        <f>IF(OR(TH!N728=TH!$X$7,O728=TH!$X$7),"x","")</f>
        <v/>
      </c>
      <c r="Y728" s="85" t="str">
        <f>IF(AND(OR(N728="131",O728="131"),H728='131-CT'!$H$9),"x","")</f>
        <v/>
      </c>
      <c r="Z728" s="85"/>
      <c r="AA728" s="85" t="str">
        <f>IF(AND(MONTH(E728)='IN-NX'!$J$5,'IN-NX'!$D$7=D728),"x","")</f>
        <v/>
      </c>
      <c r="AB728" s="85" t="str">
        <f>IF(AND(OR(LEFT(TH!N728,2)="15",LEFT(TH!O728,2)="15"),'152-CT'!$J$8=TH!F728),"x","")</f>
        <v/>
      </c>
      <c r="AC728" s="85" t="str">
        <f>IF(AND(OR(LEFT(TH!N728,2)="15",LEFT(TH!O728,2)="15"),TK!$E$7=TH!F728),"x","")</f>
        <v/>
      </c>
      <c r="AD728" s="85" t="str">
        <f>IF(AND(N728="1521",MONTH(C728)='BK-NL'!$M$11),"x","")</f>
        <v/>
      </c>
    </row>
    <row r="729" spans="1:30" ht="15.75" customHeight="1">
      <c r="A729" s="343" t="str">
        <f>IF(B729&lt;&gt;"",IF(AND(B729='IN-TC'!$S$4,OR(TH!N729="1111",TH!O729="1111")),TH!D729,""),"")</f>
        <v/>
      </c>
      <c r="B729" s="63">
        <f t="shared" si="70"/>
        <v>2</v>
      </c>
      <c r="C729" s="81">
        <f t="shared" si="71"/>
        <v>42429</v>
      </c>
      <c r="D729" s="81" t="s">
        <v>1104</v>
      </c>
      <c r="E729" s="81">
        <v>42429</v>
      </c>
      <c r="F729" s="82" t="s">
        <v>960</v>
      </c>
      <c r="G729" s="82" t="s">
        <v>345</v>
      </c>
      <c r="H729" s="979" t="s">
        <v>445</v>
      </c>
      <c r="I729" s="974"/>
      <c r="J729" s="974"/>
      <c r="K729" s="980"/>
      <c r="L729" s="974"/>
      <c r="M729" s="84">
        <v>98340000</v>
      </c>
      <c r="N729" s="85" t="s">
        <v>8</v>
      </c>
      <c r="O729" s="85" t="s">
        <v>273</v>
      </c>
      <c r="P729" s="85" t="str">
        <f>IF(AND('331-CT'!$E$7=TH!H729,OR(N729="331",O729="331")),"x","")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IF(AND('341-CT'!$H$9=H729,OR(LEFT(N729,3)=$W$7,LEFT(O729,3)=$W$7)),"x","")</f>
        <v/>
      </c>
      <c r="X729" s="85" t="str">
        <f>IF(OR(TH!N729=TH!$X$7,O729=TH!$X$7),"x","")</f>
        <v/>
      </c>
      <c r="Y729" s="85" t="str">
        <f>IF(AND(OR(N729="131",O729="131"),H729='131-CT'!$H$9),"x","")</f>
        <v/>
      </c>
      <c r="Z729" s="85"/>
      <c r="AA729" s="85" t="str">
        <f>IF(AND(MONTH(E729)='IN-NX'!$J$5,'IN-NX'!$D$7=D729),"x","")</f>
        <v/>
      </c>
      <c r="AB729" s="85" t="str">
        <f>IF(AND(OR(LEFT(TH!N729,2)="15",LEFT(TH!O729,2)="15"),'152-CT'!$J$8=TH!F729),"x","")</f>
        <v/>
      </c>
      <c r="AC729" s="85" t="str">
        <f>IF(AND(OR(LEFT(TH!N729,2)="15",LEFT(TH!O729,2)="15"),TK!$E$7=TH!F729),"x","")</f>
        <v/>
      </c>
      <c r="AD729" s="85" t="str">
        <f>IF(AND(N729="1521",MONTH(C729)='BK-NL'!$M$11),"x","")</f>
        <v/>
      </c>
    </row>
    <row r="730" spans="1:30" ht="15.75" customHeight="1">
      <c r="A730" s="343" t="str">
        <f>IF(B730&lt;&gt;"",IF(AND(B730='IN-TC'!$S$4,OR(TH!N730="1111",TH!O730="1111")),TH!D730,""),"")</f>
        <v/>
      </c>
      <c r="B730" s="63">
        <f t="shared" ref="B730:B734" si="72">IF(C730&lt;&gt;"",MONTH(C730),"")</f>
        <v>3</v>
      </c>
      <c r="C730" s="81">
        <f>E730</f>
        <v>42460</v>
      </c>
      <c r="D730" s="81" t="s">
        <v>1104</v>
      </c>
      <c r="E730" s="81">
        <v>42460</v>
      </c>
      <c r="F730" s="82" t="s">
        <v>960</v>
      </c>
      <c r="G730" s="82" t="s">
        <v>339</v>
      </c>
      <c r="H730" s="976" t="s">
        <v>365</v>
      </c>
      <c r="I730" s="445"/>
      <c r="J730" s="445"/>
      <c r="K730" s="436"/>
      <c r="L730" s="445"/>
      <c r="M730" s="84">
        <v>171717000</v>
      </c>
      <c r="N730" s="85" t="s">
        <v>8</v>
      </c>
      <c r="O730" s="85" t="s">
        <v>273</v>
      </c>
      <c r="P730" s="85" t="str">
        <f>IF(AND('331-CT'!$E$7=TH!H730,OR(N730="331",O730="331")),"x","")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IF(AND('341-CT'!$H$9=H730,OR(LEFT(N730,3)=$W$7,LEFT(O730,3)=$W$7)),"x","")</f>
        <v/>
      </c>
      <c r="X730" s="85" t="str">
        <f>IF(OR(TH!N730=TH!$X$7,O730=TH!$X$7),"x","")</f>
        <v/>
      </c>
      <c r="Y730" s="85" t="str">
        <f>IF(AND(OR(N730="131",O730="131"),H730='131-CT'!$H$9),"x","")</f>
        <v/>
      </c>
      <c r="Z730" s="85"/>
      <c r="AA730" s="85" t="str">
        <f>IF(AND(MONTH(E730)='IN-NX'!$J$5,'IN-NX'!$D$7=D730),"x","")</f>
        <v/>
      </c>
      <c r="AB730" s="85" t="str">
        <f>IF(AND(OR(LEFT(TH!N730,2)="15",LEFT(TH!O730,2)="15"),'152-CT'!$J$8=TH!F730),"x","")</f>
        <v/>
      </c>
      <c r="AC730" s="85" t="str">
        <f>IF(AND(OR(LEFT(TH!N730,2)="15",LEFT(TH!O730,2)="15"),TK!$E$7=TH!F730),"x","")</f>
        <v/>
      </c>
      <c r="AD730" s="85" t="str">
        <f>IF(AND(N730="1521",MONTH(C730)='BK-NL'!$M$11),"x","")</f>
        <v/>
      </c>
    </row>
    <row r="731" spans="1:30" ht="15.75" customHeight="1">
      <c r="A731" s="343" t="str">
        <f>IF(B731&lt;&gt;"",IF(AND(B731='IN-TC'!$S$4,OR(TH!N731="1111",TH!O731="1111")),TH!D731,""),"")</f>
        <v/>
      </c>
      <c r="B731" s="63">
        <f t="shared" si="72"/>
        <v>3</v>
      </c>
      <c r="C731" s="81">
        <f t="shared" ref="C731:C734" si="73">E731</f>
        <v>42460</v>
      </c>
      <c r="D731" s="81" t="s">
        <v>1104</v>
      </c>
      <c r="E731" s="81">
        <v>42460</v>
      </c>
      <c r="F731" s="82" t="s">
        <v>960</v>
      </c>
      <c r="G731" s="82" t="s">
        <v>339</v>
      </c>
      <c r="H731" s="976" t="s">
        <v>347</v>
      </c>
      <c r="I731" s="445"/>
      <c r="J731" s="445"/>
      <c r="K731" s="436"/>
      <c r="L731" s="445"/>
      <c r="M731" s="84">
        <v>104155000</v>
      </c>
      <c r="N731" s="85" t="s">
        <v>8</v>
      </c>
      <c r="O731" s="85" t="s">
        <v>273</v>
      </c>
      <c r="P731" s="85" t="str">
        <f>IF(AND('331-CT'!$E$7=TH!H731,OR(N731="331",O731="331")),"x","")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IF(AND('341-CT'!$H$9=H731,OR(LEFT(N731,3)=$W$7,LEFT(O731,3)=$W$7)),"x","")</f>
        <v/>
      </c>
      <c r="X731" s="85" t="str">
        <f>IF(OR(TH!N731=TH!$X$7,O731=TH!$X$7),"x","")</f>
        <v/>
      </c>
      <c r="Y731" s="85" t="str">
        <f>IF(AND(OR(N731="131",O731="131"),H731='131-CT'!$H$9),"x","")</f>
        <v/>
      </c>
      <c r="Z731" s="85"/>
      <c r="AA731" s="85" t="str">
        <f>IF(AND(MONTH(E731)='IN-NX'!$J$5,'IN-NX'!$D$7=D731),"x","")</f>
        <v/>
      </c>
      <c r="AB731" s="85" t="str">
        <f>IF(AND(OR(LEFT(TH!N731,2)="15",LEFT(TH!O731,2)="15"),'152-CT'!$J$8=TH!F731),"x","")</f>
        <v/>
      </c>
      <c r="AC731" s="85" t="str">
        <f>IF(AND(OR(LEFT(TH!N731,2)="15",LEFT(TH!O731,2)="15"),TK!$E$7=TH!F731),"x","")</f>
        <v/>
      </c>
      <c r="AD731" s="85" t="str">
        <f>IF(AND(N731="1521",MONTH(C731)='BK-NL'!$M$11),"x","")</f>
        <v/>
      </c>
    </row>
    <row r="732" spans="1:30" ht="15.75" customHeight="1">
      <c r="A732" s="343" t="str">
        <f>IF(B732&lt;&gt;"",IF(AND(B732='IN-TC'!$S$4,OR(TH!N732="1111",TH!O732="1111")),TH!D732,""),"")</f>
        <v/>
      </c>
      <c r="B732" s="63">
        <f t="shared" si="72"/>
        <v>3</v>
      </c>
      <c r="C732" s="81">
        <f t="shared" si="73"/>
        <v>42460</v>
      </c>
      <c r="D732" s="81" t="s">
        <v>1104</v>
      </c>
      <c r="E732" s="81">
        <v>42460</v>
      </c>
      <c r="F732" s="82" t="s">
        <v>960</v>
      </c>
      <c r="G732" s="82" t="s">
        <v>339</v>
      </c>
      <c r="H732" s="976" t="s">
        <v>350</v>
      </c>
      <c r="I732" s="445"/>
      <c r="J732" s="445"/>
      <c r="K732" s="436"/>
      <c r="L732" s="445"/>
      <c r="M732" s="84">
        <v>101380000</v>
      </c>
      <c r="N732" s="85" t="s">
        <v>8</v>
      </c>
      <c r="O732" s="85" t="s">
        <v>273</v>
      </c>
      <c r="P732" s="85" t="str">
        <f>IF(AND('331-CT'!$E$7=TH!H732,OR(N732="331",O732="331")),"x","")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IF(AND('341-CT'!$H$9=H732,OR(LEFT(N732,3)=$W$7,LEFT(O732,3)=$W$7)),"x","")</f>
        <v/>
      </c>
      <c r="X732" s="85" t="str">
        <f>IF(OR(TH!N732=TH!$X$7,O732=TH!$X$7),"x","")</f>
        <v/>
      </c>
      <c r="Y732" s="85" t="str">
        <f>IF(AND(OR(N732="131",O732="131"),H732='131-CT'!$H$9),"x","")</f>
        <v/>
      </c>
      <c r="Z732" s="85"/>
      <c r="AA732" s="85" t="str">
        <f>IF(AND(MONTH(E732)='IN-NX'!$J$5,'IN-NX'!$D$7=D732),"x","")</f>
        <v/>
      </c>
      <c r="AB732" s="85" t="str">
        <f>IF(AND(OR(LEFT(TH!N732,2)="15",LEFT(TH!O732,2)="15"),'152-CT'!$J$8=TH!F732),"x","")</f>
        <v/>
      </c>
      <c r="AC732" s="85" t="str">
        <f>IF(AND(OR(LEFT(TH!N732,2)="15",LEFT(TH!O732,2)="15"),TK!$E$7=TH!F732),"x","")</f>
        <v/>
      </c>
      <c r="AD732" s="85" t="str">
        <f>IF(AND(N732="1521",MONTH(C732)='BK-NL'!$M$11),"x","")</f>
        <v/>
      </c>
    </row>
    <row r="733" spans="1:30" ht="15.75" customHeight="1">
      <c r="A733" s="343" t="str">
        <f>IF(B733&lt;&gt;"",IF(AND(B733='IN-TC'!$S$4,OR(TH!N733="1111",TH!O733="1111")),TH!D733,""),"")</f>
        <v/>
      </c>
      <c r="B733" s="63">
        <f t="shared" si="72"/>
        <v>3</v>
      </c>
      <c r="C733" s="81">
        <f t="shared" si="73"/>
        <v>42460</v>
      </c>
      <c r="D733" s="81" t="s">
        <v>1104</v>
      </c>
      <c r="E733" s="81">
        <v>42460</v>
      </c>
      <c r="F733" s="82" t="s">
        <v>960</v>
      </c>
      <c r="G733" s="82" t="s">
        <v>339</v>
      </c>
      <c r="H733" s="976" t="s">
        <v>362</v>
      </c>
      <c r="I733" s="445"/>
      <c r="J733" s="445"/>
      <c r="K733" s="436"/>
      <c r="L733" s="445"/>
      <c r="M733" s="84">
        <v>141858000</v>
      </c>
      <c r="N733" s="85" t="s">
        <v>8</v>
      </c>
      <c r="O733" s="85" t="s">
        <v>273</v>
      </c>
      <c r="P733" s="85" t="str">
        <f>IF(AND('331-CT'!$E$7=TH!H733,OR(N733="331",O733="331")),"x","")</f>
        <v/>
      </c>
      <c r="Q733" s="85" t="str">
        <f>IF(AND(B733='111'!$L$11,OR($N733=$Q$7,$O733=$Q$7)),"x","")</f>
        <v/>
      </c>
      <c r="R733" s="85" t="str">
        <f>IF(AND($N733=$Q$7,$B733&lt;'111'!$L$11),"x","")</f>
        <v/>
      </c>
      <c r="S733" s="85" t="str">
        <f>IF(AND($O733=$Q$7,$B733&lt;'111'!$L$11),"x","")</f>
        <v/>
      </c>
      <c r="T733" s="85" t="str">
        <f>IF(ISERROR(FIND('112'!$M$9,G733,1)),"",IF((AND(FIND('112'!$M$9,G733,1)&gt;=1,B733='112'!$K$9,OR($N733='112'!$I$6,$O733='112'!$I$6))),"x",""))</f>
        <v/>
      </c>
      <c r="U733" s="85" t="str">
        <f>IF(ISERROR(FIND('112'!$M$9,G733,1)),"",IF((AND(LEFT(G733,2)=LEFT('112'!$M$9,2),B733&lt;'112'!$K$9,$N733='112'!$I$6)),"x",""))</f>
        <v/>
      </c>
      <c r="V733" s="85" t="str">
        <f>IF(ISERROR(FIND('112'!$M$9,G733,1)),"",IF((AND(RIGHT(G733,2)=RIGHT('112'!$M$9,2),B733&lt;'112'!$K$9,$O733='112'!$I$6)),"x",""))</f>
        <v/>
      </c>
      <c r="W733" s="85" t="str">
        <f>IF(AND('341-CT'!$H$9=H733,OR(LEFT(N733,3)=$W$7,LEFT(O733,3)=$W$7)),"x","")</f>
        <v/>
      </c>
      <c r="X733" s="85" t="str">
        <f>IF(OR(TH!N733=TH!$X$7,O733=TH!$X$7),"x","")</f>
        <v/>
      </c>
      <c r="Y733" s="85" t="str">
        <f>IF(AND(OR(N733="131",O733="131"),H733='131-CT'!$H$9),"x","")</f>
        <v/>
      </c>
      <c r="Z733" s="85"/>
      <c r="AA733" s="85" t="str">
        <f>IF(AND(MONTH(E733)='IN-NX'!$J$5,'IN-NX'!$D$7=D733),"x","")</f>
        <v/>
      </c>
      <c r="AB733" s="85" t="str">
        <f>IF(AND(OR(LEFT(TH!N733,2)="15",LEFT(TH!O733,2)="15"),'152-CT'!$J$8=TH!F733),"x","")</f>
        <v/>
      </c>
      <c r="AC733" s="85" t="str">
        <f>IF(AND(OR(LEFT(TH!N733,2)="15",LEFT(TH!O733,2)="15"),TK!$E$7=TH!F733),"x","")</f>
        <v/>
      </c>
      <c r="AD733" s="85" t="str">
        <f>IF(AND(N733="1521",MONTH(C733)='BK-NL'!$M$11),"x","")</f>
        <v/>
      </c>
    </row>
    <row r="734" spans="1:30" ht="15.75" customHeight="1">
      <c r="A734" s="343" t="str">
        <f>IF(B734&lt;&gt;"",IF(AND(B734='IN-TC'!$S$4,OR(TH!N734="1111",TH!O734="1111")),TH!D734,""),"")</f>
        <v/>
      </c>
      <c r="B734" s="63">
        <f t="shared" si="72"/>
        <v>3</v>
      </c>
      <c r="C734" s="81">
        <f t="shared" si="73"/>
        <v>42460</v>
      </c>
      <c r="D734" s="81" t="s">
        <v>1104</v>
      </c>
      <c r="E734" s="81">
        <v>42460</v>
      </c>
      <c r="F734" s="82" t="s">
        <v>960</v>
      </c>
      <c r="G734" s="82" t="s">
        <v>339</v>
      </c>
      <c r="H734" s="976" t="s">
        <v>368</v>
      </c>
      <c r="I734" s="974"/>
      <c r="J734" s="974"/>
      <c r="K734" s="980"/>
      <c r="L734" s="974"/>
      <c r="M734" s="84">
        <v>72890000</v>
      </c>
      <c r="N734" s="85" t="s">
        <v>8</v>
      </c>
      <c r="O734" s="85" t="s">
        <v>273</v>
      </c>
      <c r="P734" s="85" t="str">
        <f>IF(AND('331-CT'!$E$7=TH!H734,OR(N734="331",O734="331")),"x","")</f>
        <v/>
      </c>
      <c r="Q734" s="85" t="str">
        <f>IF(AND(B734='111'!$L$11,OR($N734=$Q$7,$O734=$Q$7)),"x","")</f>
        <v/>
      </c>
      <c r="R734" s="85" t="str">
        <f>IF(AND($N734=$Q$7,$B734&lt;'111'!$L$11),"x","")</f>
        <v/>
      </c>
      <c r="S734" s="85" t="str">
        <f>IF(AND($O734=$Q$7,$B734&lt;'111'!$L$11),"x","")</f>
        <v/>
      </c>
      <c r="T734" s="85" t="str">
        <f>IF(ISERROR(FIND('112'!$M$9,G734,1)),"",IF((AND(FIND('112'!$M$9,G734,1)&gt;=1,B734='112'!$K$9,OR($N734='112'!$I$6,$O734='112'!$I$6))),"x",""))</f>
        <v/>
      </c>
      <c r="U734" s="85" t="str">
        <f>IF(ISERROR(FIND('112'!$M$9,G734,1)),"",IF((AND(LEFT(G734,2)=LEFT('112'!$M$9,2),B734&lt;'112'!$K$9,$N734='112'!$I$6)),"x",""))</f>
        <v/>
      </c>
      <c r="V734" s="85" t="str">
        <f>IF(ISERROR(FIND('112'!$M$9,G734,1)),"",IF((AND(RIGHT(G734,2)=RIGHT('112'!$M$9,2),B734&lt;'112'!$K$9,$O734='112'!$I$6)),"x",""))</f>
        <v/>
      </c>
      <c r="W734" s="85" t="str">
        <f>IF(AND('341-CT'!$H$9=H734,OR(LEFT(N734,3)=$W$7,LEFT(O734,3)=$W$7)),"x","")</f>
        <v/>
      </c>
      <c r="X734" s="85" t="str">
        <f>IF(OR(TH!N734=TH!$X$7,O734=TH!$X$7),"x","")</f>
        <v/>
      </c>
      <c r="Y734" s="85" t="str">
        <f>IF(AND(OR(N734="131",O734="131"),H734='131-CT'!$H$9),"x","")</f>
        <v/>
      </c>
      <c r="Z734" s="85"/>
      <c r="AA734" s="85" t="str">
        <f>IF(AND(MONTH(E734)='IN-NX'!$J$5,'IN-NX'!$D$7=D734),"x","")</f>
        <v/>
      </c>
      <c r="AB734" s="85" t="str">
        <f>IF(AND(OR(LEFT(TH!N734,2)="15",LEFT(TH!O734,2)="15"),'152-CT'!$J$8=TH!F734),"x","")</f>
        <v/>
      </c>
      <c r="AC734" s="85" t="str">
        <f>IF(AND(OR(LEFT(TH!N734,2)="15",LEFT(TH!O734,2)="15"),TK!$E$7=TH!F734),"x","")</f>
        <v/>
      </c>
      <c r="AD734" s="85" t="str">
        <f>IF(AND(N734="1521",MONTH(C734)='BK-NL'!$M$11),"x","")</f>
        <v/>
      </c>
    </row>
    <row r="735" spans="1:30" s="348" customFormat="1" ht="15.75" customHeight="1">
      <c r="A735" s="343" t="str">
        <f>IF(B735&lt;&gt;"",IF(AND(B735='IN-TC'!$S$4,OR(TH!N735="1111",TH!O735="1111")),TH!D735,""),"")</f>
        <v/>
      </c>
      <c r="B735" s="63">
        <f t="shared" si="62"/>
        <v>4</v>
      </c>
      <c r="C735" s="879">
        <v>42489</v>
      </c>
      <c r="D735" s="879" t="s">
        <v>585</v>
      </c>
      <c r="E735" s="879">
        <f t="shared" ref="E735:E743" si="74">C735</f>
        <v>42489</v>
      </c>
      <c r="F735" s="880" t="s">
        <v>1332</v>
      </c>
      <c r="G735" s="880"/>
      <c r="H735" s="74"/>
      <c r="I735" s="447"/>
      <c r="J735" s="447"/>
      <c r="K735" s="438"/>
      <c r="L735" s="447"/>
      <c r="M735" s="881"/>
      <c r="N735" s="885" t="s">
        <v>283</v>
      </c>
      <c r="O735" s="886" t="s">
        <v>592</v>
      </c>
      <c r="P735" s="85" t="str">
        <f>IF(AND('331-CT'!$E$7=TH!H735,OR(N735="331",O735="331")),"x","")</f>
        <v/>
      </c>
      <c r="Q735" s="85" t="str">
        <f>IF(AND(B735='111'!$L$11,OR($N735=$Q$7,$O735=$Q$7)),"x","")</f>
        <v/>
      </c>
      <c r="R735" s="85" t="str">
        <f>IF(AND($N735=$Q$7,$B735&lt;'111'!$L$11),"x","")</f>
        <v/>
      </c>
      <c r="S735" s="85" t="str">
        <f>IF(AND($O735=$Q$7,$B735&lt;'111'!$L$11),"x","")</f>
        <v/>
      </c>
      <c r="T735" s="85" t="str">
        <f>IF(ISERROR(FIND('112'!$M$9,G735,1)),"",IF((AND(FIND('112'!$M$9,G735,1)&gt;=1,B735='112'!$K$9,OR($N735='112'!$I$6,$O735='112'!$I$6))),"x",""))</f>
        <v/>
      </c>
      <c r="U735" s="85" t="str">
        <f>IF(ISERROR(FIND('112'!$M$9,G735,1)),"",IF((AND(LEFT(G735,2)=LEFT('112'!$M$9,2),B735&lt;'112'!$K$9,$N735='112'!$I$6)),"x",""))</f>
        <v/>
      </c>
      <c r="V735" s="85" t="str">
        <f>IF(ISERROR(FIND('112'!$M$9,G735,1)),"",IF((AND(RIGHT(G735,2)=RIGHT('112'!$M$9,2),B735&lt;'112'!$K$9,$O735='112'!$I$6)),"x",""))</f>
        <v/>
      </c>
      <c r="W735" s="85" t="str">
        <f>IF(AND('341-CT'!$H$9=H735,OR(LEFT(N735,3)=$W$7,LEFT(O735,3)=$W$7)),"x","")</f>
        <v/>
      </c>
      <c r="X735" s="85" t="str">
        <f>IF(OR(TH!N735=TH!$X$7,O735=TH!$X$7),"x","")</f>
        <v/>
      </c>
      <c r="Y735" s="85" t="str">
        <f>IF(AND(OR(N735="131",O735="131"),H735='131-CT'!$H$9),"x","")</f>
        <v/>
      </c>
      <c r="Z735" s="85"/>
      <c r="AA735" s="85" t="str">
        <f>IF(AND(MONTH(E735)='IN-NX'!$J$5,'IN-NX'!$D$7=D735),"x","")</f>
        <v/>
      </c>
      <c r="AB735" s="85" t="str">
        <f>IF(AND(OR(LEFT(TH!N735,2)="15",LEFT(TH!O735,2)="15"),'152-CT'!$J$8=TH!F735),"x","")</f>
        <v/>
      </c>
      <c r="AC735" s="85" t="str">
        <f>IF(AND(OR(LEFT(TH!N735,2)="15",LEFT(TH!O735,2)="15"),TK!$E$7=TH!F735),"x","")</f>
        <v/>
      </c>
      <c r="AD735" s="85" t="str">
        <f>IF(AND(N735="1521",MONTH(C735)='BK-NL'!$M$11),"x","")</f>
        <v/>
      </c>
    </row>
    <row r="736" spans="1:30" s="348" customFormat="1" ht="15.75" customHeight="1">
      <c r="A736" s="343" t="str">
        <f>IF(B736&lt;&gt;"",IF(AND(B736='IN-TC'!$S$4,OR(TH!N736="1111",TH!O736="1111")),TH!D736,""),"")</f>
        <v/>
      </c>
      <c r="B736" s="63">
        <f t="shared" si="62"/>
        <v>4</v>
      </c>
      <c r="C736" s="879">
        <v>42489</v>
      </c>
      <c r="D736" s="879" t="s">
        <v>585</v>
      </c>
      <c r="E736" s="879">
        <f t="shared" si="74"/>
        <v>42489</v>
      </c>
      <c r="F736" s="880" t="s">
        <v>1333</v>
      </c>
      <c r="G736" s="995"/>
      <c r="H736" s="73"/>
      <c r="I736" s="448"/>
      <c r="J736" s="448"/>
      <c r="K736" s="439"/>
      <c r="L736" s="448"/>
      <c r="M736" s="881"/>
      <c r="N736" s="887" t="s">
        <v>101</v>
      </c>
      <c r="O736" s="887" t="s">
        <v>593</v>
      </c>
      <c r="P736" s="85" t="str">
        <f>IF(AND('331-CT'!$E$7=TH!H736,OR(N736="331",O736="331")),"x","")</f>
        <v/>
      </c>
      <c r="Q736" s="85" t="str">
        <f>IF(AND(B736='111'!$L$11,OR($N736=$Q$7,$O736=$Q$7)),"x","")</f>
        <v/>
      </c>
      <c r="R736" s="85" t="str">
        <f>IF(AND($N736=$Q$7,$B736&lt;'111'!$L$11),"x","")</f>
        <v/>
      </c>
      <c r="S736" s="85" t="str">
        <f>IF(AND($O736=$Q$7,$B736&lt;'111'!$L$11),"x","")</f>
        <v/>
      </c>
      <c r="T736" s="85" t="str">
        <f>IF(ISERROR(FIND('112'!$M$9,G736,1)),"",IF((AND(FIND('112'!$M$9,G736,1)&gt;=1,B736='112'!$K$9,OR($N736='112'!$I$6,$O736='112'!$I$6))),"x",""))</f>
        <v/>
      </c>
      <c r="U736" s="85" t="str">
        <f>IF(ISERROR(FIND('112'!$M$9,G736,1)),"",IF((AND(LEFT(G736,2)=LEFT('112'!$M$9,2),B736&lt;'112'!$K$9,$N736='112'!$I$6)),"x",""))</f>
        <v/>
      </c>
      <c r="V736" s="85" t="str">
        <f>IF(ISERROR(FIND('112'!$M$9,G736,1)),"",IF((AND(RIGHT(G736,2)=RIGHT('112'!$M$9,2),B736&lt;'112'!$K$9,$O736='112'!$I$6)),"x",""))</f>
        <v/>
      </c>
      <c r="W736" s="85" t="str">
        <f>IF(AND('341-CT'!$H$9=H736,OR(LEFT(N736,3)=$W$7,LEFT(O736,3)=$W$7)),"x","")</f>
        <v/>
      </c>
      <c r="X736" s="85" t="str">
        <f>IF(OR(TH!N736=TH!$X$7,O736=TH!$X$7),"x","")</f>
        <v/>
      </c>
      <c r="Y736" s="85" t="str">
        <f>IF(AND(OR(N736="131",O736="131"),H736='131-CT'!$H$9),"x","")</f>
        <v/>
      </c>
      <c r="Z736" s="85"/>
      <c r="AA736" s="85" t="str">
        <f>IF(AND(MONTH(E736)='IN-NX'!$J$5,'IN-NX'!$D$7=D736),"x","")</f>
        <v/>
      </c>
      <c r="AB736" s="85" t="str">
        <f>IF(AND(OR(LEFT(TH!N736,2)="15",LEFT(TH!O736,2)="15"),'152-CT'!$J$8=TH!F736),"x","")</f>
        <v/>
      </c>
      <c r="AC736" s="85" t="str">
        <f>IF(AND(OR(LEFT(TH!N736,2)="15",LEFT(TH!O736,2)="15"),TK!$E$7=TH!F736),"x","")</f>
        <v/>
      </c>
      <c r="AD736" s="85" t="str">
        <f>IF(AND(N736="1521",MONTH(C736)='BK-NL'!$M$11),"x","")</f>
        <v/>
      </c>
    </row>
    <row r="737" spans="1:30" s="348" customFormat="1" ht="15.75" customHeight="1">
      <c r="A737" s="343" t="str">
        <f>IF(B737&lt;&gt;"",IF(AND(B737='IN-TC'!$S$4,OR(TH!N737="1111",TH!O737="1111")),TH!D737,""),"")</f>
        <v/>
      </c>
      <c r="B737" s="63">
        <f t="shared" si="62"/>
        <v>4</v>
      </c>
      <c r="C737" s="879">
        <v>42489</v>
      </c>
      <c r="D737" s="879" t="s">
        <v>585</v>
      </c>
      <c r="E737" s="879">
        <f t="shared" si="74"/>
        <v>42489</v>
      </c>
      <c r="F737" s="880" t="s">
        <v>1333</v>
      </c>
      <c r="G737" s="880"/>
      <c r="H737" s="73"/>
      <c r="I737" s="448"/>
      <c r="J737" s="448"/>
      <c r="K737" s="439"/>
      <c r="L737" s="448"/>
      <c r="M737" s="881"/>
      <c r="N737" s="887" t="s">
        <v>283</v>
      </c>
      <c r="O737" s="887" t="s">
        <v>593</v>
      </c>
      <c r="P737" s="85" t="str">
        <f>IF(AND('331-CT'!$E$7=TH!H737,OR(N737="331",O737="331")),"x","")</f>
        <v/>
      </c>
      <c r="Q737" s="85" t="str">
        <f>IF(AND(B737='111'!$L$11,OR($N737=$Q$7,$O737=$Q$7)),"x","")</f>
        <v/>
      </c>
      <c r="R737" s="85" t="str">
        <f>IF(AND($N737=$Q$7,$B737&lt;'111'!$L$11),"x","")</f>
        <v/>
      </c>
      <c r="S737" s="85" t="str">
        <f>IF(AND($O737=$Q$7,$B737&lt;'111'!$L$11),"x","")</f>
        <v/>
      </c>
      <c r="T737" s="85" t="str">
        <f>IF(ISERROR(FIND('112'!$M$9,G737,1)),"",IF((AND(FIND('112'!$M$9,G737,1)&gt;=1,B737='112'!$K$9,OR($N737='112'!$I$6,$O737='112'!$I$6))),"x",""))</f>
        <v/>
      </c>
      <c r="U737" s="85" t="str">
        <f>IF(ISERROR(FIND('112'!$M$9,G737,1)),"",IF((AND(LEFT(G737,2)=LEFT('112'!$M$9,2),B737&lt;'112'!$K$9,$N737='112'!$I$6)),"x",""))</f>
        <v/>
      </c>
      <c r="V737" s="85" t="str">
        <f>IF(ISERROR(FIND('112'!$M$9,G737,1)),"",IF((AND(RIGHT(G737,2)=RIGHT('112'!$M$9,2),B737&lt;'112'!$K$9,$O737='112'!$I$6)),"x",""))</f>
        <v/>
      </c>
      <c r="W737" s="85" t="str">
        <f>IF(AND('341-CT'!$H$9=H737,OR(LEFT(N737,3)=$W$7,LEFT(O737,3)=$W$7)),"x","")</f>
        <v/>
      </c>
      <c r="X737" s="85" t="str">
        <f>IF(OR(TH!N737=TH!$X$7,O737=TH!$X$7),"x","")</f>
        <v/>
      </c>
      <c r="Y737" s="85" t="str">
        <f>IF(AND(OR(N737="131",O737="131"),H737='131-CT'!$H$9),"x","")</f>
        <v/>
      </c>
      <c r="Z737" s="85"/>
      <c r="AA737" s="85" t="str">
        <f>IF(AND(MONTH(E737)='IN-NX'!$J$5,'IN-NX'!$D$7=D737),"x","")</f>
        <v/>
      </c>
      <c r="AB737" s="85" t="str">
        <f>IF(AND(OR(LEFT(TH!N737,2)="15",LEFT(TH!O737,2)="15"),'152-CT'!$J$8=TH!F737),"x","")</f>
        <v/>
      </c>
      <c r="AC737" s="85" t="str">
        <f>IF(AND(OR(LEFT(TH!N737,2)="15",LEFT(TH!O737,2)="15"),TK!$E$7=TH!F737),"x","")</f>
        <v/>
      </c>
      <c r="AD737" s="85" t="str">
        <f>IF(AND(N737="1521",MONTH(C737)='BK-NL'!$M$11),"x","")</f>
        <v/>
      </c>
    </row>
    <row r="738" spans="1:30" s="348" customFormat="1" ht="15.75" customHeight="1">
      <c r="A738" s="343" t="str">
        <f>IF(B738&lt;&gt;"",IF(AND(B738='IN-TC'!$S$4,OR(TH!N738="1111",TH!O738="1111")),TH!D738,""),"")</f>
        <v/>
      </c>
      <c r="B738" s="63">
        <f t="shared" si="62"/>
        <v>5</v>
      </c>
      <c r="C738" s="879">
        <v>42521</v>
      </c>
      <c r="D738" s="879" t="s">
        <v>585</v>
      </c>
      <c r="E738" s="879">
        <f t="shared" si="74"/>
        <v>42521</v>
      </c>
      <c r="F738" s="880" t="s">
        <v>1332</v>
      </c>
      <c r="G738" s="880"/>
      <c r="H738" s="74"/>
      <c r="I738" s="447"/>
      <c r="J738" s="447"/>
      <c r="K738" s="438"/>
      <c r="L738" s="447"/>
      <c r="M738" s="881"/>
      <c r="N738" s="885" t="s">
        <v>283</v>
      </c>
      <c r="O738" s="886" t="s">
        <v>592</v>
      </c>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
      </c>
      <c r="U738" s="85" t="str">
        <f>IF(ISERROR(FIND('112'!$M$9,G738,1)),"",IF((AND(LEFT(G738,2)=LEFT('112'!$M$9,2),B738&lt;'112'!$K$9,$N738='112'!$I$6)),"x",""))</f>
        <v/>
      </c>
      <c r="V738" s="85" t="str">
        <f>IF(ISERROR(FIND('112'!$M$9,G738,1)),"",IF((AND(RIGHT(G738,2)=RIGHT('112'!$M$9,2),B738&lt;'112'!$K$9,$O738='112'!$I$6)),"x",""))</f>
        <v/>
      </c>
      <c r="W738" s="85" t="str">
        <f>IF(AND('341-CT'!$H$9=H738,OR(LEFT(N738,3)=$W$7,LEFT(O738,3)=$W$7)),"x","")</f>
        <v/>
      </c>
      <c r="X738" s="85" t="str">
        <f>IF(OR(TH!N738=TH!$X$7,O738=TH!$X$7),"x","")</f>
        <v/>
      </c>
      <c r="Y738" s="85" t="str">
        <f>IF(AND(OR(N738="131",O738="131"),H738='131-CT'!$H$9),"x","")</f>
        <v/>
      </c>
      <c r="Z738" s="85"/>
      <c r="AA738" s="85" t="str">
        <f>IF(AND(MONTH(E738)='IN-NX'!$J$5,'IN-NX'!$D$7=D738),"x","")</f>
        <v/>
      </c>
      <c r="AB738" s="85" t="str">
        <f>IF(AND(OR(LEFT(TH!N738,2)="15",LEFT(TH!O738,2)="15"),'152-CT'!$J$8=TH!F738),"x","")</f>
        <v/>
      </c>
      <c r="AC738" s="85" t="str">
        <f>IF(AND(OR(LEFT(TH!N738,2)="15",LEFT(TH!O738,2)="15"),TK!$E$7=TH!F738),"x","")</f>
        <v/>
      </c>
      <c r="AD738" s="85" t="str">
        <f>IF(AND(N738="1521",MONTH(C738)='BK-NL'!$M$11),"x","")</f>
        <v/>
      </c>
    </row>
    <row r="739" spans="1:30" s="348" customFormat="1" ht="15.75" customHeight="1">
      <c r="A739" s="343" t="str">
        <f>IF(B739&lt;&gt;"",IF(AND(B739='IN-TC'!$S$4,OR(TH!N739="1111",TH!O739="1111")),TH!D739,""),"")</f>
        <v/>
      </c>
      <c r="B739" s="63">
        <f t="shared" si="62"/>
        <v>5</v>
      </c>
      <c r="C739" s="879">
        <v>42521</v>
      </c>
      <c r="D739" s="879" t="s">
        <v>585</v>
      </c>
      <c r="E739" s="879">
        <f t="shared" si="74"/>
        <v>42521</v>
      </c>
      <c r="F739" s="880" t="s">
        <v>1333</v>
      </c>
      <c r="G739" s="995"/>
      <c r="H739" s="73"/>
      <c r="I739" s="448"/>
      <c r="J739" s="448"/>
      <c r="K739" s="439"/>
      <c r="L739" s="448"/>
      <c r="M739" s="881"/>
      <c r="N739" s="887" t="s">
        <v>101</v>
      </c>
      <c r="O739" s="887" t="s">
        <v>593</v>
      </c>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
      </c>
      <c r="U739" s="85" t="str">
        <f>IF(ISERROR(FIND('112'!$M$9,G739,1)),"",IF((AND(LEFT(G739,2)=LEFT('112'!$M$9,2),B739&lt;'112'!$K$9,$N739='112'!$I$6)),"x",""))</f>
        <v/>
      </c>
      <c r="V739" s="85" t="str">
        <f>IF(ISERROR(FIND('112'!$M$9,G739,1)),"",IF((AND(RIGHT(G739,2)=RIGHT('112'!$M$9,2),B739&lt;'112'!$K$9,$O739='112'!$I$6)),"x",""))</f>
        <v/>
      </c>
      <c r="W739" s="85" t="str">
        <f>IF(AND('341-CT'!$H$9=H739,OR(LEFT(N739,3)=$W$7,LEFT(O739,3)=$W$7)),"x","")</f>
        <v/>
      </c>
      <c r="X739" s="85" t="str">
        <f>IF(OR(TH!N739=TH!$X$7,O739=TH!$X$7),"x","")</f>
        <v/>
      </c>
      <c r="Y739" s="85" t="str">
        <f>IF(AND(OR(N739="131",O739="131"),H739='131-CT'!$H$9),"x","")</f>
        <v/>
      </c>
      <c r="Z739" s="85"/>
      <c r="AA739" s="85" t="str">
        <f>IF(AND(MONTH(E739)='IN-NX'!$J$5,'IN-NX'!$D$7=D739),"x","")</f>
        <v/>
      </c>
      <c r="AB739" s="85" t="str">
        <f>IF(AND(OR(LEFT(TH!N739,2)="15",LEFT(TH!O739,2)="15"),'152-CT'!$J$8=TH!F739),"x","")</f>
        <v/>
      </c>
      <c r="AC739" s="85" t="str">
        <f>IF(AND(OR(LEFT(TH!N739,2)="15",LEFT(TH!O739,2)="15"),TK!$E$7=TH!F739),"x","")</f>
        <v/>
      </c>
      <c r="AD739" s="85" t="str">
        <f>IF(AND(N739="1521",MONTH(C739)='BK-NL'!$M$11),"x","")</f>
        <v/>
      </c>
    </row>
    <row r="740" spans="1:30" s="348" customFormat="1" ht="15.75" customHeight="1">
      <c r="A740" s="343" t="str">
        <f>IF(B740&lt;&gt;"",IF(AND(B740='IN-TC'!$S$4,OR(TH!N740="1111",TH!O740="1111")),TH!D740,""),"")</f>
        <v/>
      </c>
      <c r="B740" s="63">
        <f t="shared" si="62"/>
        <v>5</v>
      </c>
      <c r="C740" s="879">
        <v>42521</v>
      </c>
      <c r="D740" s="879" t="s">
        <v>585</v>
      </c>
      <c r="E740" s="879">
        <f t="shared" si="74"/>
        <v>42521</v>
      </c>
      <c r="F740" s="880" t="s">
        <v>1333</v>
      </c>
      <c r="G740" s="880"/>
      <c r="H740" s="73"/>
      <c r="I740" s="448"/>
      <c r="J740" s="448"/>
      <c r="K740" s="439"/>
      <c r="L740" s="448"/>
      <c r="M740" s="881"/>
      <c r="N740" s="887" t="s">
        <v>283</v>
      </c>
      <c r="O740" s="887" t="s">
        <v>593</v>
      </c>
      <c r="P740" s="85" t="str">
        <f>IF(AND('331-CT'!$E$7=TH!H740,OR(N740="331",O740="331")),"x","")</f>
        <v/>
      </c>
      <c r="Q740" s="85" t="str">
        <f>IF(AND(B740='111'!$L$11,OR($N740=$Q$7,$O740=$Q$7)),"x","")</f>
        <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IF(AND('341-CT'!$H$9=H740,OR(LEFT(N740,3)=$W$7,LEFT(O740,3)=$W$7)),"x","")</f>
        <v/>
      </c>
      <c r="X740" s="85" t="str">
        <f>IF(OR(TH!N740=TH!$X$7,O740=TH!$X$7),"x","")</f>
        <v/>
      </c>
      <c r="Y740" s="85" t="str">
        <f>IF(AND(OR(N740="131",O740="131"),H740='131-CT'!$H$9),"x","")</f>
        <v/>
      </c>
      <c r="Z740" s="85"/>
      <c r="AA740" s="85" t="str">
        <f>IF(AND(MONTH(E740)='IN-NX'!$J$5,'IN-NX'!$D$7=D740),"x","")</f>
        <v/>
      </c>
      <c r="AB740" s="85" t="str">
        <f>IF(AND(OR(LEFT(TH!N740,2)="15",LEFT(TH!O740,2)="15"),'152-CT'!$J$8=TH!F740),"x","")</f>
        <v/>
      </c>
      <c r="AC740" s="85" t="str">
        <f>IF(AND(OR(LEFT(TH!N740,2)="15",LEFT(TH!O740,2)="15"),TK!$E$7=TH!F740),"x","")</f>
        <v/>
      </c>
      <c r="AD740" s="85" t="str">
        <f>IF(AND(N740="1521",MONTH(C740)='BK-NL'!$M$11),"x","")</f>
        <v/>
      </c>
    </row>
    <row r="741" spans="1:30" s="348" customFormat="1" ht="15.75" customHeight="1">
      <c r="A741" s="343" t="str">
        <f>IF(B741&lt;&gt;"",IF(AND(B741='IN-TC'!$S$4,OR(TH!N741="1111",TH!O741="1111")),TH!D741,""),"")</f>
        <v/>
      </c>
      <c r="B741" s="63">
        <f t="shared" si="62"/>
        <v>6</v>
      </c>
      <c r="C741" s="879">
        <v>42551</v>
      </c>
      <c r="D741" s="879" t="s">
        <v>585</v>
      </c>
      <c r="E741" s="879">
        <f t="shared" si="74"/>
        <v>42551</v>
      </c>
      <c r="F741" s="880" t="s">
        <v>1332</v>
      </c>
      <c r="G741" s="880"/>
      <c r="H741" s="74"/>
      <c r="I741" s="447"/>
      <c r="J741" s="447"/>
      <c r="K741" s="438"/>
      <c r="L741" s="447"/>
      <c r="M741" s="881"/>
      <c r="N741" s="885" t="s">
        <v>283</v>
      </c>
      <c r="O741" s="886" t="s">
        <v>592</v>
      </c>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IF(AND('341-CT'!$H$9=H741,OR(LEFT(N741,3)=$W$7,LEFT(O741,3)=$W$7)),"x","")</f>
        <v/>
      </c>
      <c r="X741" s="85" t="str">
        <f>IF(OR(TH!N741=TH!$X$7,O741=TH!$X$7),"x","")</f>
        <v/>
      </c>
      <c r="Y741" s="85" t="str">
        <f>IF(AND(OR(N741="131",O741="131"),H741='131-CT'!$H$9),"x","")</f>
        <v/>
      </c>
      <c r="Z741" s="85"/>
      <c r="AA741" s="85" t="str">
        <f>IF(AND(MONTH(E741)='IN-NX'!$J$5,'IN-NX'!$D$7=D741),"x","")</f>
        <v/>
      </c>
      <c r="AB741" s="85" t="str">
        <f>IF(AND(OR(LEFT(TH!N741,2)="15",LEFT(TH!O741,2)="15"),'152-CT'!$J$8=TH!F741),"x","")</f>
        <v/>
      </c>
      <c r="AC741" s="85" t="str">
        <f>IF(AND(OR(LEFT(TH!N741,2)="15",LEFT(TH!O741,2)="15"),TK!$E$7=TH!F741),"x","")</f>
        <v/>
      </c>
      <c r="AD741" s="85" t="str">
        <f>IF(AND(N741="1521",MONTH(C741)='BK-NL'!$M$11),"x","")</f>
        <v/>
      </c>
    </row>
    <row r="742" spans="1:30" s="348" customFormat="1" ht="15.75" customHeight="1">
      <c r="A742" s="343" t="str">
        <f>IF(B742&lt;&gt;"",IF(AND(B742='IN-TC'!$S$4,OR(TH!N742="1111",TH!O742="1111")),TH!D742,""),"")</f>
        <v/>
      </c>
      <c r="B742" s="63">
        <f t="shared" si="62"/>
        <v>6</v>
      </c>
      <c r="C742" s="879">
        <v>42551</v>
      </c>
      <c r="D742" s="879" t="s">
        <v>585</v>
      </c>
      <c r="E742" s="879">
        <f t="shared" si="74"/>
        <v>42551</v>
      </c>
      <c r="F742" s="880" t="s">
        <v>1333</v>
      </c>
      <c r="G742" s="995"/>
      <c r="H742" s="73"/>
      <c r="I742" s="448"/>
      <c r="J742" s="448"/>
      <c r="K742" s="439"/>
      <c r="L742" s="448"/>
      <c r="M742" s="881"/>
      <c r="N742" s="887" t="s">
        <v>101</v>
      </c>
      <c r="O742" s="887" t="s">
        <v>593</v>
      </c>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IF(AND('341-CT'!$H$9=H742,OR(LEFT(N742,3)=$W$7,LEFT(O742,3)=$W$7)),"x","")</f>
        <v/>
      </c>
      <c r="X742" s="85" t="str">
        <f>IF(OR(TH!N742=TH!$X$7,O742=TH!$X$7),"x","")</f>
        <v/>
      </c>
      <c r="Y742" s="85" t="str">
        <f>IF(AND(OR(N742="131",O742="131"),H742='131-CT'!$H$9),"x","")</f>
        <v/>
      </c>
      <c r="Z742" s="85"/>
      <c r="AA742" s="85" t="str">
        <f>IF(AND(MONTH(E742)='IN-NX'!$J$5,'IN-NX'!$D$7=D742),"x","")</f>
        <v/>
      </c>
      <c r="AB742" s="85" t="str">
        <f>IF(AND(OR(LEFT(TH!N742,2)="15",LEFT(TH!O742,2)="15"),'152-CT'!$J$8=TH!F742),"x","")</f>
        <v/>
      </c>
      <c r="AC742" s="85" t="str">
        <f>IF(AND(OR(LEFT(TH!N742,2)="15",LEFT(TH!O742,2)="15"),TK!$E$7=TH!F742),"x","")</f>
        <v/>
      </c>
      <c r="AD742" s="85" t="str">
        <f>IF(AND(N742="1521",MONTH(C742)='BK-NL'!$M$11),"x","")</f>
        <v/>
      </c>
    </row>
    <row r="743" spans="1:30" s="348" customFormat="1" ht="15.75" customHeight="1">
      <c r="A743" s="343" t="str">
        <f>IF(B743&lt;&gt;"",IF(AND(B743='IN-TC'!$S$4,OR(TH!N743="1111",TH!O743="1111")),TH!D743,""),"")</f>
        <v/>
      </c>
      <c r="B743" s="63">
        <f t="shared" si="62"/>
        <v>6</v>
      </c>
      <c r="C743" s="879">
        <v>42551</v>
      </c>
      <c r="D743" s="879" t="s">
        <v>585</v>
      </c>
      <c r="E743" s="879">
        <f t="shared" si="74"/>
        <v>42551</v>
      </c>
      <c r="F743" s="880" t="s">
        <v>1333</v>
      </c>
      <c r="G743" s="880"/>
      <c r="H743" s="73"/>
      <c r="I743" s="448"/>
      <c r="J743" s="448"/>
      <c r="K743" s="439"/>
      <c r="L743" s="448"/>
      <c r="M743" s="881"/>
      <c r="N743" s="887" t="s">
        <v>283</v>
      </c>
      <c r="O743" s="887" t="s">
        <v>593</v>
      </c>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IF(AND('341-CT'!$H$9=H743,OR(LEFT(N743,3)=$W$7,LEFT(O743,3)=$W$7)),"x","")</f>
        <v/>
      </c>
      <c r="X743" s="85" t="str">
        <f>IF(OR(TH!N743=TH!$X$7,O743=TH!$X$7),"x","")</f>
        <v/>
      </c>
      <c r="Y743" s="85" t="str">
        <f>IF(AND(OR(N743="131",O743="131"),H743='131-CT'!$H$9),"x","")</f>
        <v/>
      </c>
      <c r="Z743" s="85"/>
      <c r="AA743" s="85" t="str">
        <f>IF(AND(MONTH(E743)='IN-NX'!$J$5,'IN-NX'!$D$7=D743),"x","")</f>
        <v/>
      </c>
      <c r="AB743" s="85" t="str">
        <f>IF(AND(OR(LEFT(TH!N743,2)="15",LEFT(TH!O743,2)="15"),'152-CT'!$J$8=TH!F743),"x","")</f>
        <v/>
      </c>
      <c r="AC743" s="85" t="str">
        <f>IF(AND(OR(LEFT(TH!N743,2)="15",LEFT(TH!O743,2)="15"),TK!$E$7=TH!F743),"x","")</f>
        <v/>
      </c>
      <c r="AD743" s="85" t="str">
        <f>IF(AND(N743="1521",MONTH(C743)='BK-NL'!$M$11),"x","")</f>
        <v/>
      </c>
    </row>
    <row r="744" spans="1:30" s="348" customFormat="1" ht="15.75" customHeight="1">
      <c r="A744" s="343" t="str">
        <f>IF(B744&lt;&gt;"",IF(AND(B744='IN-TC'!$S$4,OR(TH!N744="1111",TH!O744="1111")),TH!D744,""),"")</f>
        <v/>
      </c>
      <c r="B744" s="63">
        <f t="shared" si="62"/>
        <v>4</v>
      </c>
      <c r="C744" s="882">
        <v>42489</v>
      </c>
      <c r="D744" s="882" t="s">
        <v>585</v>
      </c>
      <c r="E744" s="882">
        <f>C744</f>
        <v>42489</v>
      </c>
      <c r="F744" s="883" t="s">
        <v>1347</v>
      </c>
      <c r="G744" s="278"/>
      <c r="H744" s="322"/>
      <c r="I744" s="447"/>
      <c r="J744" s="447"/>
      <c r="K744" s="438"/>
      <c r="L744" s="447"/>
      <c r="M744" s="888"/>
      <c r="N744" s="889" t="s">
        <v>594</v>
      </c>
      <c r="O744" s="889" t="s">
        <v>595</v>
      </c>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IF(AND('341-CT'!$H$9=H744,OR(LEFT(N744,3)=$W$7,LEFT(O744,3)=$W$7)),"x","")</f>
        <v/>
      </c>
      <c r="X744" s="85" t="str">
        <f>IF(OR(TH!N744=TH!$X$7,O744=TH!$X$7),"x","")</f>
        <v/>
      </c>
      <c r="Y744" s="85" t="str">
        <f>IF(AND(OR(N744="131",O744="131"),H744='131-CT'!$H$9),"x","")</f>
        <v/>
      </c>
      <c r="Z744" s="85"/>
      <c r="AA744" s="85" t="str">
        <f>IF(AND(MONTH(E744)='IN-NX'!$J$5,'IN-NX'!$D$7=D744),"x","")</f>
        <v/>
      </c>
      <c r="AB744" s="85" t="str">
        <f>IF(AND(OR(LEFT(TH!N744,2)="15",LEFT(TH!O744,2)="15"),'152-CT'!$J$8=TH!F744),"x","")</f>
        <v/>
      </c>
      <c r="AC744" s="85" t="str">
        <f>IF(AND(OR(LEFT(TH!N744,2)="15",LEFT(TH!O744,2)="15"),TK!$E$7=TH!F744),"x","")</f>
        <v/>
      </c>
      <c r="AD744" s="85" t="str">
        <f>IF(AND(N744="1521",MONTH(C744)='BK-NL'!$M$11),"x","")</f>
        <v/>
      </c>
    </row>
    <row r="745" spans="1:30" s="348" customFormat="1" ht="15.75" customHeight="1">
      <c r="A745" s="343" t="str">
        <f>IF(B745&lt;&gt;"",IF(AND(B745='IN-TC'!$S$4,OR(TH!N745="1111",TH!O745="1111")),TH!D745,""),"")</f>
        <v/>
      </c>
      <c r="B745" s="63">
        <f t="shared" si="62"/>
        <v>4</v>
      </c>
      <c r="C745" s="882">
        <v>42489</v>
      </c>
      <c r="D745" s="882" t="s">
        <v>585</v>
      </c>
      <c r="E745" s="882">
        <f t="shared" ref="E745:E757" si="75">C745</f>
        <v>42489</v>
      </c>
      <c r="F745" s="883" t="s">
        <v>1348</v>
      </c>
      <c r="G745" s="278"/>
      <c r="H745" s="322"/>
      <c r="I745" s="447"/>
      <c r="J745" s="447"/>
      <c r="K745" s="438"/>
      <c r="L745" s="447"/>
      <c r="M745" s="888"/>
      <c r="N745" s="889" t="s">
        <v>283</v>
      </c>
      <c r="O745" s="889" t="s">
        <v>595</v>
      </c>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IF(AND('341-CT'!$H$9=H745,OR(LEFT(N745,3)=$W$7,LEFT(O745,3)=$W$7)),"x","")</f>
        <v/>
      </c>
      <c r="X745" s="85" t="str">
        <f>IF(OR(TH!N745=TH!$X$7,O745=TH!$X$7),"x","")</f>
        <v/>
      </c>
      <c r="Y745" s="85" t="str">
        <f>IF(AND(OR(N745="131",O745="131"),H745='131-CT'!$H$9),"x","")</f>
        <v/>
      </c>
      <c r="Z745" s="85"/>
      <c r="AA745" s="85" t="str">
        <f>IF(AND(MONTH(E745)='IN-NX'!$J$5,'IN-NX'!$D$7=D745),"x","")</f>
        <v/>
      </c>
      <c r="AB745" s="85" t="str">
        <f>IF(AND(OR(LEFT(TH!N745,2)="15",LEFT(TH!O745,2)="15"),'152-CT'!$J$8=TH!F745),"x","")</f>
        <v/>
      </c>
      <c r="AC745" s="85" t="str">
        <f>IF(AND(OR(LEFT(TH!N745,2)="15",LEFT(TH!O745,2)="15"),TK!$E$7=TH!F745),"x","")</f>
        <v/>
      </c>
      <c r="AD745" s="85" t="str">
        <f>IF(AND(N745="1521",MONTH(C745)='BK-NL'!$M$11),"x","")</f>
        <v/>
      </c>
    </row>
    <row r="746" spans="1:30" s="348" customFormat="1" ht="15.75" customHeight="1">
      <c r="A746" s="343" t="str">
        <f>IF(B746&lt;&gt;"",IF(AND(B746='IN-TC'!$S$4,OR(TH!N746="1111",TH!O746="1111")),TH!D746,""),"")</f>
        <v/>
      </c>
      <c r="B746" s="63">
        <f t="shared" si="62"/>
        <v>4</v>
      </c>
      <c r="C746" s="882">
        <v>42489</v>
      </c>
      <c r="D746" s="882" t="s">
        <v>585</v>
      </c>
      <c r="E746" s="882">
        <f t="shared" si="75"/>
        <v>42489</v>
      </c>
      <c r="F746" s="883" t="s">
        <v>1349</v>
      </c>
      <c r="G746" s="990" t="s">
        <v>586</v>
      </c>
      <c r="H746" s="322"/>
      <c r="I746" s="447"/>
      <c r="J746" s="447"/>
      <c r="K746" s="438"/>
      <c r="L746" s="447"/>
      <c r="M746" s="888">
        <f>G744*$G746</f>
        <v>0</v>
      </c>
      <c r="N746" s="889" t="s">
        <v>595</v>
      </c>
      <c r="O746" s="889" t="s">
        <v>596</v>
      </c>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IF(AND('341-CT'!$H$9=H746,OR(LEFT(N746,3)=$W$7,LEFT(O746,3)=$W$7)),"x","")</f>
        <v/>
      </c>
      <c r="X746" s="85" t="str">
        <f>IF(OR(TH!N746=TH!$X$7,O746=TH!$X$7),"x","")</f>
        <v/>
      </c>
      <c r="Y746" s="85" t="str">
        <f>IF(AND(OR(N746="131",O746="131"),H746='131-CT'!$H$9),"x","")</f>
        <v/>
      </c>
      <c r="Z746" s="85"/>
      <c r="AA746" s="85" t="str">
        <f>IF(AND(MONTH(E746)='IN-NX'!$J$5,'IN-NX'!$D$7=D746),"x","")</f>
        <v/>
      </c>
      <c r="AB746" s="85" t="str">
        <f>IF(AND(OR(LEFT(TH!N746,2)="15",LEFT(TH!O746,2)="15"),'152-CT'!$J$8=TH!F746),"x","")</f>
        <v/>
      </c>
      <c r="AC746" s="85" t="str">
        <f>IF(AND(OR(LEFT(TH!N746,2)="15",LEFT(TH!O746,2)="15"),TK!$E$7=TH!F746),"x","")</f>
        <v/>
      </c>
      <c r="AD746" s="85" t="str">
        <f>IF(AND(N746="1521",MONTH(C746)='BK-NL'!$M$11),"x","")</f>
        <v/>
      </c>
    </row>
    <row r="747" spans="1:30" s="348" customFormat="1" ht="15.75" customHeight="1">
      <c r="A747" s="343" t="str">
        <f>IF(B747&lt;&gt;"",IF(AND(B747='IN-TC'!$S$4,OR(TH!N747="1111",TH!O747="1111")),TH!D747,""),"")</f>
        <v/>
      </c>
      <c r="B747" s="63">
        <f t="shared" si="62"/>
        <v>4</v>
      </c>
      <c r="C747" s="882">
        <v>42489</v>
      </c>
      <c r="D747" s="882" t="s">
        <v>585</v>
      </c>
      <c r="E747" s="882">
        <f t="shared" si="75"/>
        <v>42489</v>
      </c>
      <c r="F747" s="883" t="s">
        <v>1350</v>
      </c>
      <c r="G747" s="278"/>
      <c r="H747" s="322"/>
      <c r="I747" s="447"/>
      <c r="J747" s="447"/>
      <c r="K747" s="438"/>
      <c r="L747" s="447"/>
      <c r="M747" s="888">
        <f>G745*$G746</f>
        <v>0</v>
      </c>
      <c r="N747" s="890" t="s">
        <v>595</v>
      </c>
      <c r="O747" s="891" t="s">
        <v>596</v>
      </c>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IF(AND('341-CT'!$H$9=H747,OR(LEFT(N747,3)=$W$7,LEFT(O747,3)=$W$7)),"x","")</f>
        <v/>
      </c>
      <c r="X747" s="85" t="str">
        <f>IF(OR(TH!N747=TH!$X$7,O747=TH!$X$7),"x","")</f>
        <v/>
      </c>
      <c r="Y747" s="85" t="str">
        <f>IF(AND(OR(N747="131",O747="131"),H747='131-CT'!$H$9),"x","")</f>
        <v/>
      </c>
      <c r="Z747" s="85"/>
      <c r="AA747" s="85" t="str">
        <f>IF(AND(MONTH(E747)='IN-NX'!$J$5,'IN-NX'!$D$7=D747),"x","")</f>
        <v/>
      </c>
      <c r="AB747" s="85" t="str">
        <f>IF(AND(OR(LEFT(TH!N747,2)="15",LEFT(TH!O747,2)="15"),'152-CT'!$J$8=TH!F747),"x","")</f>
        <v/>
      </c>
      <c r="AC747" s="85" t="str">
        <f>IF(AND(OR(LEFT(TH!N747,2)="15",LEFT(TH!O747,2)="15"),TK!$E$7=TH!F747),"x","")</f>
        <v/>
      </c>
      <c r="AD747" s="85" t="str">
        <f>IF(AND(N747="1521",MONTH(C747)='BK-NL'!$M$11),"x","")</f>
        <v/>
      </c>
    </row>
    <row r="748" spans="1:30" s="348" customFormat="1" ht="15.75" customHeight="1">
      <c r="A748" s="343" t="str">
        <f>IF(B748&lt;&gt;"",IF(AND(B748='IN-TC'!$S$4,OR(TH!N748="1111",TH!O748="1111")),TH!D748,""),"")</f>
        <v/>
      </c>
      <c r="B748" s="63">
        <f t="shared" si="62"/>
        <v>4</v>
      </c>
      <c r="C748" s="882">
        <v>42489</v>
      </c>
      <c r="D748" s="882" t="s">
        <v>585</v>
      </c>
      <c r="E748" s="882">
        <f t="shared" si="75"/>
        <v>42489</v>
      </c>
      <c r="F748" s="883" t="s">
        <v>1351</v>
      </c>
      <c r="G748" s="990" t="s">
        <v>587</v>
      </c>
      <c r="H748" s="322"/>
      <c r="I748" s="447"/>
      <c r="J748" s="447"/>
      <c r="K748" s="438"/>
      <c r="L748" s="447"/>
      <c r="M748" s="888">
        <f>G744*$G748</f>
        <v>0</v>
      </c>
      <c r="N748" s="889" t="s">
        <v>594</v>
      </c>
      <c r="O748" s="889" t="s">
        <v>596</v>
      </c>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IF(AND('341-CT'!$H$9=H748,OR(LEFT(N748,3)=$W$7,LEFT(O748,3)=$W$7)),"x","")</f>
        <v/>
      </c>
      <c r="X748" s="85" t="str">
        <f>IF(OR(TH!N748=TH!$X$7,O748=TH!$X$7),"x","")</f>
        <v/>
      </c>
      <c r="Y748" s="85" t="str">
        <f>IF(AND(OR(N748="131",O748="131"),H748='131-CT'!$H$9),"x","")</f>
        <v/>
      </c>
      <c r="Z748" s="85"/>
      <c r="AA748" s="85" t="str">
        <f>IF(AND(MONTH(E748)='IN-NX'!$J$5,'IN-NX'!$D$7=D748),"x","")</f>
        <v/>
      </c>
      <c r="AB748" s="85" t="str">
        <f>IF(AND(OR(LEFT(TH!N748,2)="15",LEFT(TH!O748,2)="15"),'152-CT'!$J$8=TH!F748),"x","")</f>
        <v/>
      </c>
      <c r="AC748" s="85" t="str">
        <f>IF(AND(OR(LEFT(TH!N748,2)="15",LEFT(TH!O748,2)="15"),TK!$E$7=TH!F748),"x","")</f>
        <v/>
      </c>
      <c r="AD748" s="85" t="str">
        <f>IF(AND(N748="1521",MONTH(C748)='BK-NL'!$M$11),"x","")</f>
        <v/>
      </c>
    </row>
    <row r="749" spans="1:30" s="348" customFormat="1" ht="15.75" customHeight="1">
      <c r="A749" s="343" t="str">
        <f>IF(B749&lt;&gt;"",IF(AND(B749='IN-TC'!$S$4,OR(TH!N749="1111",TH!O749="1111")),TH!D749,""),"")</f>
        <v/>
      </c>
      <c r="B749" s="63">
        <f t="shared" si="62"/>
        <v>4</v>
      </c>
      <c r="C749" s="882">
        <v>42489</v>
      </c>
      <c r="D749" s="882" t="s">
        <v>585</v>
      </c>
      <c r="E749" s="882">
        <f t="shared" si="75"/>
        <v>42489</v>
      </c>
      <c r="F749" s="883" t="s">
        <v>1352</v>
      </c>
      <c r="G749" s="278"/>
      <c r="H749" s="322"/>
      <c r="I749" s="447"/>
      <c r="J749" s="447"/>
      <c r="K749" s="438"/>
      <c r="L749" s="447"/>
      <c r="M749" s="888">
        <f>G745*$G748</f>
        <v>0</v>
      </c>
      <c r="N749" s="889" t="s">
        <v>283</v>
      </c>
      <c r="O749" s="889" t="s">
        <v>596</v>
      </c>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IF(AND('341-CT'!$H$9=H749,OR(LEFT(N749,3)=$W$7,LEFT(O749,3)=$W$7)),"x","")</f>
        <v/>
      </c>
      <c r="X749" s="85" t="str">
        <f>IF(OR(TH!N749=TH!$X$7,O749=TH!$X$7),"x","")</f>
        <v/>
      </c>
      <c r="Y749" s="85" t="str">
        <f>IF(AND(OR(N749="131",O749="131"),H749='131-CT'!$H$9),"x","")</f>
        <v/>
      </c>
      <c r="Z749" s="85"/>
      <c r="AA749" s="85" t="str">
        <f>IF(AND(MONTH(E749)='IN-NX'!$J$5,'IN-NX'!$D$7=D749),"x","")</f>
        <v/>
      </c>
      <c r="AB749" s="85" t="str">
        <f>IF(AND(OR(LEFT(TH!N749,2)="15",LEFT(TH!O749,2)="15"),'152-CT'!$J$8=TH!F749),"x","")</f>
        <v/>
      </c>
      <c r="AC749" s="85" t="str">
        <f>IF(AND(OR(LEFT(TH!N749,2)="15",LEFT(TH!O749,2)="15"),TK!$E$7=TH!F749),"x","")</f>
        <v/>
      </c>
      <c r="AD749" s="85" t="str">
        <f>IF(AND(N749="1521",MONTH(C749)='BK-NL'!$M$11),"x","")</f>
        <v/>
      </c>
    </row>
    <row r="750" spans="1:30" s="348" customFormat="1" ht="15.75" customHeight="1">
      <c r="A750" s="343" t="str">
        <f>IF(B750&lt;&gt;"",IF(AND(B750='IN-TC'!$S$4,OR(TH!N750="1111",TH!O750="1111")),TH!D750,""),"")</f>
        <v/>
      </c>
      <c r="B750" s="63">
        <f t="shared" si="62"/>
        <v>4</v>
      </c>
      <c r="C750" s="882">
        <v>42489</v>
      </c>
      <c r="D750" s="882" t="s">
        <v>585</v>
      </c>
      <c r="E750" s="882">
        <f t="shared" si="75"/>
        <v>42489</v>
      </c>
      <c r="F750" s="883" t="s">
        <v>1353</v>
      </c>
      <c r="G750" s="990" t="s">
        <v>588</v>
      </c>
      <c r="H750" s="324"/>
      <c r="I750" s="445"/>
      <c r="J750" s="445"/>
      <c r="K750" s="436"/>
      <c r="L750" s="445"/>
      <c r="M750" s="888">
        <f>G744*$G750</f>
        <v>0</v>
      </c>
      <c r="N750" s="889" t="s">
        <v>595</v>
      </c>
      <c r="O750" s="889" t="s">
        <v>597</v>
      </c>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IF(AND('341-CT'!$H$9=H750,OR(LEFT(N750,3)=$W$7,LEFT(O750,3)=$W$7)),"x","")</f>
        <v/>
      </c>
      <c r="X750" s="85" t="str">
        <f>IF(OR(TH!N750=TH!$X$7,O750=TH!$X$7),"x","")</f>
        <v/>
      </c>
      <c r="Y750" s="85" t="str">
        <f>IF(AND(OR(N750="131",O750="131"),H750='131-CT'!$H$9),"x","")</f>
        <v/>
      </c>
      <c r="Z750" s="85"/>
      <c r="AA750" s="85" t="str">
        <f>IF(AND(MONTH(E750)='IN-NX'!$J$5,'IN-NX'!$D$7=D750),"x","")</f>
        <v/>
      </c>
      <c r="AB750" s="85" t="str">
        <f>IF(AND(OR(LEFT(TH!N750,2)="15",LEFT(TH!O750,2)="15"),'152-CT'!$J$8=TH!F750),"x","")</f>
        <v/>
      </c>
      <c r="AC750" s="85" t="str">
        <f>IF(AND(OR(LEFT(TH!N750,2)="15",LEFT(TH!O750,2)="15"),TK!$E$7=TH!F750),"x","")</f>
        <v/>
      </c>
      <c r="AD750" s="85" t="str">
        <f>IF(AND(N750="1521",MONTH(C750)='BK-NL'!$M$11),"x","")</f>
        <v/>
      </c>
    </row>
    <row r="751" spans="1:30" s="348" customFormat="1" ht="15.75" customHeight="1">
      <c r="A751" s="343" t="str">
        <f>IF(B751&lt;&gt;"",IF(AND(B751='IN-TC'!$S$4,OR(TH!N751="1111",TH!O751="1111")),TH!D751,""),"")</f>
        <v/>
      </c>
      <c r="B751" s="63">
        <f t="shared" si="62"/>
        <v>4</v>
      </c>
      <c r="C751" s="882">
        <v>42489</v>
      </c>
      <c r="D751" s="882" t="s">
        <v>585</v>
      </c>
      <c r="E751" s="882">
        <f t="shared" si="75"/>
        <v>42489</v>
      </c>
      <c r="F751" s="883" t="s">
        <v>1354</v>
      </c>
      <c r="G751" s="278"/>
      <c r="H751" s="324"/>
      <c r="I751" s="445"/>
      <c r="J751" s="445"/>
      <c r="K751" s="436"/>
      <c r="L751" s="445"/>
      <c r="M751" s="888">
        <f>G745*$G750</f>
        <v>0</v>
      </c>
      <c r="N751" s="889" t="s">
        <v>595</v>
      </c>
      <c r="O751" s="889" t="s">
        <v>597</v>
      </c>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IF(AND('341-CT'!$H$9=H751,OR(LEFT(N751,3)=$W$7,LEFT(O751,3)=$W$7)),"x","")</f>
        <v/>
      </c>
      <c r="X751" s="85" t="str">
        <f>IF(OR(TH!N751=TH!$X$7,O751=TH!$X$7),"x","")</f>
        <v/>
      </c>
      <c r="Y751" s="85" t="str">
        <f>IF(AND(OR(N751="131",O751="131"),H751='131-CT'!$H$9),"x","")</f>
        <v/>
      </c>
      <c r="Z751" s="85"/>
      <c r="AA751" s="85" t="str">
        <f>IF(AND(MONTH(E751)='IN-NX'!$J$5,'IN-NX'!$D$7=D751),"x","")</f>
        <v/>
      </c>
      <c r="AB751" s="85" t="str">
        <f>IF(AND(OR(LEFT(TH!N751,2)="15",LEFT(TH!O751,2)="15"),'152-CT'!$J$8=TH!F751),"x","")</f>
        <v/>
      </c>
      <c r="AC751" s="85" t="str">
        <f>IF(AND(OR(LEFT(TH!N751,2)="15",LEFT(TH!O751,2)="15"),TK!$E$7=TH!F751),"x","")</f>
        <v/>
      </c>
      <c r="AD751" s="85" t="str">
        <f>IF(AND(N751="1521",MONTH(C751)='BK-NL'!$M$11),"x","")</f>
        <v/>
      </c>
    </row>
    <row r="752" spans="1:30" s="348" customFormat="1" ht="15.75" customHeight="1">
      <c r="A752" s="343" t="str">
        <f>IF(B752&lt;&gt;"",IF(AND(B752='IN-TC'!$S$4,OR(TH!N752="1111",TH!O752="1111")),TH!D752,""),"")</f>
        <v/>
      </c>
      <c r="B752" s="63">
        <f t="shared" si="62"/>
        <v>4</v>
      </c>
      <c r="C752" s="882">
        <v>42489</v>
      </c>
      <c r="D752" s="882" t="s">
        <v>585</v>
      </c>
      <c r="E752" s="882">
        <f t="shared" si="75"/>
        <v>42489</v>
      </c>
      <c r="F752" s="883" t="s">
        <v>1355</v>
      </c>
      <c r="G752" s="990" t="s">
        <v>589</v>
      </c>
      <c r="H752" s="322"/>
      <c r="I752" s="447"/>
      <c r="J752" s="447"/>
      <c r="K752" s="438"/>
      <c r="L752" s="447"/>
      <c r="M752" s="888">
        <f>G744*$G752</f>
        <v>0</v>
      </c>
      <c r="N752" s="889" t="s">
        <v>594</v>
      </c>
      <c r="O752" s="889" t="s">
        <v>597</v>
      </c>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IF(AND('341-CT'!$H$9=H752,OR(LEFT(N752,3)=$W$7,LEFT(O752,3)=$W$7)),"x","")</f>
        <v/>
      </c>
      <c r="X752" s="85" t="str">
        <f>IF(OR(TH!N752=TH!$X$7,O752=TH!$X$7),"x","")</f>
        <v/>
      </c>
      <c r="Y752" s="85" t="str">
        <f>IF(AND(OR(N752="131",O752="131"),H752='131-CT'!$H$9),"x","")</f>
        <v/>
      </c>
      <c r="Z752" s="85"/>
      <c r="AA752" s="85" t="str">
        <f>IF(AND(MONTH(E752)='IN-NX'!$J$5,'IN-NX'!$D$7=D752),"x","")</f>
        <v/>
      </c>
      <c r="AB752" s="85" t="str">
        <f>IF(AND(OR(LEFT(TH!N752,2)="15",LEFT(TH!O752,2)="15"),'152-CT'!$J$8=TH!F752),"x","")</f>
        <v/>
      </c>
      <c r="AC752" s="85" t="str">
        <f>IF(AND(OR(LEFT(TH!N752,2)="15",LEFT(TH!O752,2)="15"),TK!$E$7=TH!F752),"x","")</f>
        <v/>
      </c>
      <c r="AD752" s="85" t="str">
        <f>IF(AND(N752="1521",MONTH(C752)='BK-NL'!$M$11),"x","")</f>
        <v/>
      </c>
    </row>
    <row r="753" spans="1:30" s="348" customFormat="1" ht="15.75" customHeight="1">
      <c r="A753" s="343" t="str">
        <f>IF(B753&lt;&gt;"",IF(AND(B753='IN-TC'!$S$4,OR(TH!N753="1111",TH!O753="1111")),TH!D753,""),"")</f>
        <v/>
      </c>
      <c r="B753" s="63">
        <f t="shared" si="62"/>
        <v>4</v>
      </c>
      <c r="C753" s="882">
        <v>42489</v>
      </c>
      <c r="D753" s="882" t="s">
        <v>585</v>
      </c>
      <c r="E753" s="882">
        <f t="shared" si="75"/>
        <v>42489</v>
      </c>
      <c r="F753" s="883" t="s">
        <v>1356</v>
      </c>
      <c r="G753" s="278"/>
      <c r="H753" s="322"/>
      <c r="I753" s="447"/>
      <c r="J753" s="447"/>
      <c r="K753" s="438"/>
      <c r="L753" s="447"/>
      <c r="M753" s="888">
        <f>G745*$G752</f>
        <v>0</v>
      </c>
      <c r="N753" s="889" t="s">
        <v>283</v>
      </c>
      <c r="O753" s="889" t="s">
        <v>597</v>
      </c>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IF(AND('341-CT'!$H$9=H753,OR(LEFT(N753,3)=$W$7,LEFT(O753,3)=$W$7)),"x","")</f>
        <v/>
      </c>
      <c r="X753" s="85" t="str">
        <f>IF(OR(TH!N753=TH!$X$7,O753=TH!$X$7),"x","")</f>
        <v/>
      </c>
      <c r="Y753" s="85" t="str">
        <f>IF(AND(OR(N753="131",O753="131"),H753='131-CT'!$H$9),"x","")</f>
        <v/>
      </c>
      <c r="Z753" s="85"/>
      <c r="AA753" s="85" t="str">
        <f>IF(AND(MONTH(E753)='IN-NX'!$J$5,'IN-NX'!$D$7=D753),"x","")</f>
        <v/>
      </c>
      <c r="AB753" s="85" t="str">
        <f>IF(AND(OR(LEFT(TH!N753,2)="15",LEFT(TH!O753,2)="15"),'152-CT'!$J$8=TH!F753),"x","")</f>
        <v/>
      </c>
      <c r="AC753" s="85" t="str">
        <f>IF(AND(OR(LEFT(TH!N753,2)="15",LEFT(TH!O753,2)="15"),TK!$E$7=TH!F753),"x","")</f>
        <v/>
      </c>
      <c r="AD753" s="85" t="str">
        <f>IF(AND(N753="1521",MONTH(C753)='BK-NL'!$M$11),"x","")</f>
        <v/>
      </c>
    </row>
    <row r="754" spans="1:30" s="348" customFormat="1" ht="15.75" customHeight="1">
      <c r="A754" s="343" t="str">
        <f>IF(B754&lt;&gt;"",IF(AND(B754='IN-TC'!$S$4,OR(TH!N754="1111",TH!O754="1111")),TH!D754,""),"")</f>
        <v/>
      </c>
      <c r="B754" s="63">
        <f t="shared" si="62"/>
        <v>4</v>
      </c>
      <c r="C754" s="882">
        <v>42489</v>
      </c>
      <c r="D754" s="882" t="s">
        <v>585</v>
      </c>
      <c r="E754" s="882">
        <f t="shared" si="75"/>
        <v>42489</v>
      </c>
      <c r="F754" s="883" t="s">
        <v>1357</v>
      </c>
      <c r="G754" s="990" t="s">
        <v>590</v>
      </c>
      <c r="H754" s="322"/>
      <c r="I754" s="447"/>
      <c r="J754" s="447"/>
      <c r="K754" s="438"/>
      <c r="L754" s="447"/>
      <c r="M754" s="888">
        <f>G744*$G754</f>
        <v>0</v>
      </c>
      <c r="N754" s="889" t="s">
        <v>595</v>
      </c>
      <c r="O754" s="889" t="s">
        <v>598</v>
      </c>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IF(AND('341-CT'!$H$9=H754,OR(LEFT(N754,3)=$W$7,LEFT(O754,3)=$W$7)),"x","")</f>
        <v/>
      </c>
      <c r="X754" s="85" t="str">
        <f>IF(OR(TH!N754=TH!$X$7,O754=TH!$X$7),"x","")</f>
        <v/>
      </c>
      <c r="Y754" s="85" t="str">
        <f>IF(AND(OR(N754="131",O754="131"),H754='131-CT'!$H$9),"x","")</f>
        <v/>
      </c>
      <c r="Z754" s="85"/>
      <c r="AA754" s="85" t="str">
        <f>IF(AND(MONTH(E754)='IN-NX'!$J$5,'IN-NX'!$D$7=D754),"x","")</f>
        <v/>
      </c>
      <c r="AB754" s="85" t="str">
        <f>IF(AND(OR(LEFT(TH!N754,2)="15",LEFT(TH!O754,2)="15"),'152-CT'!$J$8=TH!F754),"x","")</f>
        <v/>
      </c>
      <c r="AC754" s="85" t="str">
        <f>IF(AND(OR(LEFT(TH!N754,2)="15",LEFT(TH!O754,2)="15"),TK!$E$7=TH!F754),"x","")</f>
        <v/>
      </c>
      <c r="AD754" s="85" t="str">
        <f>IF(AND(N754="1521",MONTH(C754)='BK-NL'!$M$11),"x","")</f>
        <v/>
      </c>
    </row>
    <row r="755" spans="1:30" s="348" customFormat="1" ht="15.75" customHeight="1">
      <c r="A755" s="343" t="str">
        <f>IF(B755&lt;&gt;"",IF(AND(B755='IN-TC'!$S$4,OR(TH!N755="1111",TH!O755="1111")),TH!D755,""),"")</f>
        <v/>
      </c>
      <c r="B755" s="63">
        <f t="shared" si="62"/>
        <v>4</v>
      </c>
      <c r="C755" s="882">
        <v>42489</v>
      </c>
      <c r="D755" s="882" t="s">
        <v>585</v>
      </c>
      <c r="E755" s="882">
        <f t="shared" si="75"/>
        <v>42489</v>
      </c>
      <c r="F755" s="883" t="s">
        <v>1358</v>
      </c>
      <c r="G755" s="278"/>
      <c r="H755" s="322"/>
      <c r="I755" s="447"/>
      <c r="J755" s="447"/>
      <c r="K755" s="438"/>
      <c r="L755" s="447"/>
      <c r="M755" s="888">
        <f>G745*$G754</f>
        <v>0</v>
      </c>
      <c r="N755" s="889" t="s">
        <v>595</v>
      </c>
      <c r="O755" s="889" t="s">
        <v>598</v>
      </c>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IF(AND('341-CT'!$H$9=H755,OR(LEFT(N755,3)=$W$7,LEFT(O755,3)=$W$7)),"x","")</f>
        <v/>
      </c>
      <c r="X755" s="85" t="str">
        <f>IF(OR(TH!N755=TH!$X$7,O755=TH!$X$7),"x","")</f>
        <v/>
      </c>
      <c r="Y755" s="85" t="str">
        <f>IF(AND(OR(N755="131",O755="131"),H755='131-CT'!$H$9),"x","")</f>
        <v/>
      </c>
      <c r="Z755" s="85"/>
      <c r="AA755" s="85" t="str">
        <f>IF(AND(MONTH(E755)='IN-NX'!$J$5,'IN-NX'!$D$7=D755),"x","")</f>
        <v/>
      </c>
      <c r="AB755" s="85" t="str">
        <f>IF(AND(OR(LEFT(TH!N755,2)="15",LEFT(TH!O755,2)="15"),'152-CT'!$J$8=TH!F755),"x","")</f>
        <v/>
      </c>
      <c r="AC755" s="85" t="str">
        <f>IF(AND(OR(LEFT(TH!N755,2)="15",LEFT(TH!O755,2)="15"),TK!$E$7=TH!F755),"x","")</f>
        <v/>
      </c>
      <c r="AD755" s="85" t="str">
        <f>IF(AND(N755="1521",MONTH(C755)='BK-NL'!$M$11),"x","")</f>
        <v/>
      </c>
    </row>
    <row r="756" spans="1:30" s="348" customFormat="1" ht="15.75" customHeight="1">
      <c r="A756" s="343" t="str">
        <f>IF(B756&lt;&gt;"",IF(AND(B756='IN-TC'!$S$4,OR(TH!N756="1111",TH!O756="1111")),TH!D756,""),"")</f>
        <v/>
      </c>
      <c r="B756" s="63">
        <f t="shared" si="62"/>
        <v>4</v>
      </c>
      <c r="C756" s="882">
        <v>42489</v>
      </c>
      <c r="D756" s="882" t="s">
        <v>585</v>
      </c>
      <c r="E756" s="882">
        <f t="shared" si="75"/>
        <v>42489</v>
      </c>
      <c r="F756" s="883" t="s">
        <v>1359</v>
      </c>
      <c r="G756" s="990" t="s">
        <v>590</v>
      </c>
      <c r="H756" s="1150"/>
      <c r="I756" s="448"/>
      <c r="J756" s="448"/>
      <c r="K756" s="439"/>
      <c r="L756" s="448"/>
      <c r="M756" s="888">
        <f>M754</f>
        <v>0</v>
      </c>
      <c r="N756" s="889" t="s">
        <v>594</v>
      </c>
      <c r="O756" s="889" t="s">
        <v>598</v>
      </c>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IF(AND('341-CT'!$H$9=H756,OR(LEFT(N756,3)=$W$7,LEFT(O756,3)=$W$7)),"x","")</f>
        <v/>
      </c>
      <c r="X756" s="85" t="str">
        <f>IF(OR(TH!N756=TH!$X$7,O756=TH!$X$7),"x","")</f>
        <v/>
      </c>
      <c r="Y756" s="85" t="str">
        <f>IF(AND(OR(N756="131",O756="131"),H756='131-CT'!$H$9),"x","")</f>
        <v/>
      </c>
      <c r="Z756" s="85"/>
      <c r="AA756" s="85" t="str">
        <f>IF(AND(MONTH(E756)='IN-NX'!$J$5,'IN-NX'!$D$7=D756),"x","")</f>
        <v/>
      </c>
      <c r="AB756" s="85" t="str">
        <f>IF(AND(OR(LEFT(TH!N756,2)="15",LEFT(TH!O756,2)="15"),'152-CT'!$J$8=TH!F756),"x","")</f>
        <v/>
      </c>
      <c r="AC756" s="85" t="str">
        <f>IF(AND(OR(LEFT(TH!N756,2)="15",LEFT(TH!O756,2)="15"),TK!$E$7=TH!F756),"x","")</f>
        <v/>
      </c>
      <c r="AD756" s="85" t="str">
        <f>IF(AND(N756="1521",MONTH(C756)='BK-NL'!$M$11),"x","")</f>
        <v/>
      </c>
    </row>
    <row r="757" spans="1:30" s="348" customFormat="1" ht="15.75" customHeight="1">
      <c r="A757" s="343" t="str">
        <f>IF(B757&lt;&gt;"",IF(AND(B757='IN-TC'!$S$4,OR(TH!N757="1111",TH!O757="1111")),TH!D757,""),"")</f>
        <v/>
      </c>
      <c r="B757" s="63">
        <f t="shared" si="62"/>
        <v>4</v>
      </c>
      <c r="C757" s="882">
        <v>42489</v>
      </c>
      <c r="D757" s="882" t="s">
        <v>585</v>
      </c>
      <c r="E757" s="882">
        <f t="shared" si="75"/>
        <v>42489</v>
      </c>
      <c r="F757" s="883" t="s">
        <v>1360</v>
      </c>
      <c r="G757" s="278"/>
      <c r="H757" s="322"/>
      <c r="I757" s="447"/>
      <c r="J757" s="447"/>
      <c r="K757" s="438"/>
      <c r="L757" s="447"/>
      <c r="M757" s="888">
        <f>M755</f>
        <v>0</v>
      </c>
      <c r="N757" s="889" t="s">
        <v>283</v>
      </c>
      <c r="O757" s="889" t="s">
        <v>598</v>
      </c>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IF(AND('341-CT'!$H$9=H757,OR(LEFT(N757,3)=$W$7,LEFT(O757,3)=$W$7)),"x","")</f>
        <v/>
      </c>
      <c r="X757" s="85" t="str">
        <f>IF(OR(TH!N757=TH!$X$7,O757=TH!$X$7),"x","")</f>
        <v/>
      </c>
      <c r="Y757" s="85" t="str">
        <f>IF(AND(OR(N757="131",O757="131"),H757='131-CT'!$H$9),"x","")</f>
        <v/>
      </c>
      <c r="Z757" s="85"/>
      <c r="AA757" s="85" t="str">
        <f>IF(AND(MONTH(E757)='IN-NX'!$J$5,'IN-NX'!$D$7=D757),"x","")</f>
        <v/>
      </c>
      <c r="AB757" s="85" t="str">
        <f>IF(AND(OR(LEFT(TH!N757,2)="15",LEFT(TH!O757,2)="15"),'152-CT'!$J$8=TH!F757),"x","")</f>
        <v/>
      </c>
      <c r="AC757" s="85" t="str">
        <f>IF(AND(OR(LEFT(TH!N757,2)="15",LEFT(TH!O757,2)="15"),TK!$E$7=TH!F757),"x","")</f>
        <v/>
      </c>
      <c r="AD757" s="85" t="str">
        <f>IF(AND(N757="1521",MONTH(C757)='BK-NL'!$M$11),"x","")</f>
        <v/>
      </c>
    </row>
    <row r="758" spans="1:30" s="348" customFormat="1" ht="15.75" customHeight="1">
      <c r="A758" s="343" t="str">
        <f>IF(B758&lt;&gt;"",IF(AND(B758='IN-TC'!$S$4,OR(TH!N758="1111",TH!O758="1111")),TH!D758,""),"")</f>
        <v/>
      </c>
      <c r="B758" s="63">
        <f t="shared" si="62"/>
        <v>5</v>
      </c>
      <c r="C758" s="882">
        <v>42521</v>
      </c>
      <c r="D758" s="882" t="s">
        <v>585</v>
      </c>
      <c r="E758" s="882">
        <f>C758</f>
        <v>42521</v>
      </c>
      <c r="F758" s="883" t="s">
        <v>1347</v>
      </c>
      <c r="G758" s="278"/>
      <c r="H758" s="322"/>
      <c r="I758" s="447"/>
      <c r="J758" s="447"/>
      <c r="K758" s="438"/>
      <c r="L758" s="447"/>
      <c r="M758" s="888"/>
      <c r="N758" s="889" t="s">
        <v>594</v>
      </c>
      <c r="O758" s="889" t="s">
        <v>595</v>
      </c>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IF(AND('341-CT'!$H$9=H758,OR(LEFT(N758,3)=$W$7,LEFT(O758,3)=$W$7)),"x","")</f>
        <v/>
      </c>
      <c r="X758" s="85" t="str">
        <f>IF(OR(TH!N758=TH!$X$7,O758=TH!$X$7),"x","")</f>
        <v/>
      </c>
      <c r="Y758" s="85" t="str">
        <f>IF(AND(OR(N758="131",O758="131"),H758='131-CT'!$H$9),"x","")</f>
        <v/>
      </c>
      <c r="Z758" s="85"/>
      <c r="AA758" s="85" t="str">
        <f>IF(AND(MONTH(E758)='IN-NX'!$J$5,'IN-NX'!$D$7=D758),"x","")</f>
        <v/>
      </c>
      <c r="AB758" s="85" t="str">
        <f>IF(AND(OR(LEFT(TH!N758,2)="15",LEFT(TH!O758,2)="15"),'152-CT'!$J$8=TH!F758),"x","")</f>
        <v/>
      </c>
      <c r="AC758" s="85" t="str">
        <f>IF(AND(OR(LEFT(TH!N758,2)="15",LEFT(TH!O758,2)="15"),TK!$E$7=TH!F758),"x","")</f>
        <v/>
      </c>
      <c r="AD758" s="85" t="str">
        <f>IF(AND(N758="1521",MONTH(C758)='BK-NL'!$M$11),"x","")</f>
        <v/>
      </c>
    </row>
    <row r="759" spans="1:30" s="348" customFormat="1" ht="15.75" customHeight="1">
      <c r="A759" s="343" t="str">
        <f>IF(B759&lt;&gt;"",IF(AND(B759='IN-TC'!$S$4,OR(TH!N759="1111",TH!O759="1111")),TH!D759,""),"")</f>
        <v/>
      </c>
      <c r="B759" s="63">
        <f t="shared" si="62"/>
        <v>5</v>
      </c>
      <c r="C759" s="882">
        <v>42521</v>
      </c>
      <c r="D759" s="882" t="s">
        <v>585</v>
      </c>
      <c r="E759" s="882">
        <f t="shared" ref="E759:E778" si="76">C759</f>
        <v>42521</v>
      </c>
      <c r="F759" s="883" t="s">
        <v>1348</v>
      </c>
      <c r="G759" s="278"/>
      <c r="H759" s="322"/>
      <c r="I759" s="447"/>
      <c r="J759" s="447"/>
      <c r="K759" s="438"/>
      <c r="L759" s="447"/>
      <c r="M759" s="888"/>
      <c r="N759" s="889" t="s">
        <v>283</v>
      </c>
      <c r="O759" s="889" t="s">
        <v>595</v>
      </c>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IF(AND('341-CT'!$H$9=H759,OR(LEFT(N759,3)=$W$7,LEFT(O759,3)=$W$7)),"x","")</f>
        <v/>
      </c>
      <c r="X759" s="85" t="str">
        <f>IF(OR(TH!N759=TH!$X$7,O759=TH!$X$7),"x","")</f>
        <v/>
      </c>
      <c r="Y759" s="85" t="str">
        <f>IF(AND(OR(N759="131",O759="131"),H759='131-CT'!$H$9),"x","")</f>
        <v/>
      </c>
      <c r="Z759" s="85"/>
      <c r="AA759" s="85" t="str">
        <f>IF(AND(MONTH(E759)='IN-NX'!$J$5,'IN-NX'!$D$7=D759),"x","")</f>
        <v/>
      </c>
      <c r="AB759" s="85" t="str">
        <f>IF(AND(OR(LEFT(TH!N759,2)="15",LEFT(TH!O759,2)="15"),'152-CT'!$J$8=TH!F759),"x","")</f>
        <v/>
      </c>
      <c r="AC759" s="85" t="str">
        <f>IF(AND(OR(LEFT(TH!N759,2)="15",LEFT(TH!O759,2)="15"),TK!$E$7=TH!F759),"x","")</f>
        <v/>
      </c>
      <c r="AD759" s="85" t="str">
        <f>IF(AND(N759="1521",MONTH(C759)='BK-NL'!$M$11),"x","")</f>
        <v/>
      </c>
    </row>
    <row r="760" spans="1:30" s="348" customFormat="1" ht="15.75" customHeight="1">
      <c r="A760" s="343" t="str">
        <f>IF(B760&lt;&gt;"",IF(AND(B760='IN-TC'!$S$4,OR(TH!N760="1111",TH!O760="1111")),TH!D760,""),"")</f>
        <v/>
      </c>
      <c r="B760" s="63">
        <f t="shared" si="62"/>
        <v>5</v>
      </c>
      <c r="C760" s="882">
        <v>42521</v>
      </c>
      <c r="D760" s="882" t="s">
        <v>585</v>
      </c>
      <c r="E760" s="882">
        <f t="shared" si="76"/>
        <v>42521</v>
      </c>
      <c r="F760" s="883" t="s">
        <v>1349</v>
      </c>
      <c r="G760" s="990" t="s">
        <v>586</v>
      </c>
      <c r="H760" s="322"/>
      <c r="I760" s="447"/>
      <c r="J760" s="447"/>
      <c r="K760" s="438"/>
      <c r="L760" s="447"/>
      <c r="M760" s="888">
        <f>G758*$G760</f>
        <v>0</v>
      </c>
      <c r="N760" s="889" t="s">
        <v>595</v>
      </c>
      <c r="O760" s="889" t="s">
        <v>596</v>
      </c>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IF(AND('341-CT'!$H$9=H760,OR(LEFT(N760,3)=$W$7,LEFT(O760,3)=$W$7)),"x","")</f>
        <v/>
      </c>
      <c r="X760" s="85" t="str">
        <f>IF(OR(TH!N760=TH!$X$7,O760=TH!$X$7),"x","")</f>
        <v/>
      </c>
      <c r="Y760" s="85" t="str">
        <f>IF(AND(OR(N760="131",O760="131"),H760='131-CT'!$H$9),"x","")</f>
        <v/>
      </c>
      <c r="Z760" s="85"/>
      <c r="AA760" s="85" t="str">
        <f>IF(AND(MONTH(E760)='IN-NX'!$J$5,'IN-NX'!$D$7=D760),"x","")</f>
        <v/>
      </c>
      <c r="AB760" s="85" t="str">
        <f>IF(AND(OR(LEFT(TH!N760,2)="15",LEFT(TH!O760,2)="15"),'152-CT'!$J$8=TH!F760),"x","")</f>
        <v/>
      </c>
      <c r="AC760" s="85" t="str">
        <f>IF(AND(OR(LEFT(TH!N760,2)="15",LEFT(TH!O760,2)="15"),TK!$E$7=TH!F760),"x","")</f>
        <v/>
      </c>
      <c r="AD760" s="85" t="str">
        <f>IF(AND(N760="1521",MONTH(C760)='BK-NL'!$M$11),"x","")</f>
        <v/>
      </c>
    </row>
    <row r="761" spans="1:30" s="348" customFormat="1" ht="15.75" customHeight="1">
      <c r="A761" s="343" t="str">
        <f>IF(B761&lt;&gt;"",IF(AND(B761='IN-TC'!$S$4,OR(TH!N761="1111",TH!O761="1111")),TH!D761,""),"")</f>
        <v/>
      </c>
      <c r="B761" s="63">
        <f t="shared" si="62"/>
        <v>5</v>
      </c>
      <c r="C761" s="882">
        <v>42521</v>
      </c>
      <c r="D761" s="882" t="s">
        <v>585</v>
      </c>
      <c r="E761" s="882">
        <f t="shared" si="76"/>
        <v>42521</v>
      </c>
      <c r="F761" s="883" t="s">
        <v>1350</v>
      </c>
      <c r="G761" s="278"/>
      <c r="H761" s="322"/>
      <c r="I761" s="447"/>
      <c r="J761" s="447"/>
      <c r="K761" s="438"/>
      <c r="L761" s="447"/>
      <c r="M761" s="888">
        <f>G759*$G760</f>
        <v>0</v>
      </c>
      <c r="N761" s="890" t="s">
        <v>595</v>
      </c>
      <c r="O761" s="891" t="s">
        <v>596</v>
      </c>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IF(AND('341-CT'!$H$9=H761,OR(LEFT(N761,3)=$W$7,LEFT(O761,3)=$W$7)),"x","")</f>
        <v/>
      </c>
      <c r="X761" s="85" t="str">
        <f>IF(OR(TH!N761=TH!$X$7,O761=TH!$X$7),"x","")</f>
        <v/>
      </c>
      <c r="Y761" s="85" t="str">
        <f>IF(AND(OR(N761="131",O761="131"),H761='131-CT'!$H$9),"x","")</f>
        <v/>
      </c>
      <c r="Z761" s="85"/>
      <c r="AA761" s="85" t="str">
        <f>IF(AND(MONTH(E761)='IN-NX'!$J$5,'IN-NX'!$D$7=D761),"x","")</f>
        <v/>
      </c>
      <c r="AB761" s="85" t="str">
        <f>IF(AND(OR(LEFT(TH!N761,2)="15",LEFT(TH!O761,2)="15"),'152-CT'!$J$8=TH!F761),"x","")</f>
        <v/>
      </c>
      <c r="AC761" s="85" t="str">
        <f>IF(AND(OR(LEFT(TH!N761,2)="15",LEFT(TH!O761,2)="15"),TK!$E$7=TH!F761),"x","")</f>
        <v/>
      </c>
      <c r="AD761" s="85" t="str">
        <f>IF(AND(N761="1521",MONTH(C761)='BK-NL'!$M$11),"x","")</f>
        <v/>
      </c>
    </row>
    <row r="762" spans="1:30" s="348" customFormat="1" ht="15.75" customHeight="1">
      <c r="A762" s="343" t="str">
        <f>IF(B762&lt;&gt;"",IF(AND(B762='IN-TC'!$S$4,OR(TH!N762="1111",TH!O762="1111")),TH!D762,""),"")</f>
        <v/>
      </c>
      <c r="B762" s="63">
        <f t="shared" si="62"/>
        <v>5</v>
      </c>
      <c r="C762" s="882">
        <v>42521</v>
      </c>
      <c r="D762" s="882" t="s">
        <v>585</v>
      </c>
      <c r="E762" s="882">
        <f t="shared" si="76"/>
        <v>42521</v>
      </c>
      <c r="F762" s="883" t="s">
        <v>1351</v>
      </c>
      <c r="G762" s="990" t="s">
        <v>587</v>
      </c>
      <c r="H762" s="322"/>
      <c r="I762" s="447"/>
      <c r="J762" s="447"/>
      <c r="K762" s="438"/>
      <c r="L762" s="447"/>
      <c r="M762" s="888">
        <f>G758*$G762</f>
        <v>0</v>
      </c>
      <c r="N762" s="889" t="s">
        <v>594</v>
      </c>
      <c r="O762" s="889" t="s">
        <v>596</v>
      </c>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IF(AND('341-CT'!$H$9=H762,OR(LEFT(N762,3)=$W$7,LEFT(O762,3)=$W$7)),"x","")</f>
        <v/>
      </c>
      <c r="X762" s="85" t="str">
        <f>IF(OR(TH!N762=TH!$X$7,O762=TH!$X$7),"x","")</f>
        <v/>
      </c>
      <c r="Y762" s="85" t="str">
        <f>IF(AND(OR(N762="131",O762="131"),H762='131-CT'!$H$9),"x","")</f>
        <v/>
      </c>
      <c r="Z762" s="85"/>
      <c r="AA762" s="85" t="str">
        <f>IF(AND(MONTH(E762)='IN-NX'!$J$5,'IN-NX'!$D$7=D762),"x","")</f>
        <v/>
      </c>
      <c r="AB762" s="85" t="str">
        <f>IF(AND(OR(LEFT(TH!N762,2)="15",LEFT(TH!O762,2)="15"),'152-CT'!$J$8=TH!F762),"x","")</f>
        <v/>
      </c>
      <c r="AC762" s="85" t="str">
        <f>IF(AND(OR(LEFT(TH!N762,2)="15",LEFT(TH!O762,2)="15"),TK!$E$7=TH!F762),"x","")</f>
        <v/>
      </c>
      <c r="AD762" s="85" t="str">
        <f>IF(AND(N762="1521",MONTH(C762)='BK-NL'!$M$11),"x","")</f>
        <v/>
      </c>
    </row>
    <row r="763" spans="1:30" s="348" customFormat="1" ht="15.75" customHeight="1">
      <c r="A763" s="343" t="str">
        <f>IF(B763&lt;&gt;"",IF(AND(B763='IN-TC'!$S$4,OR(TH!N763="1111",TH!O763="1111")),TH!D763,""),"")</f>
        <v/>
      </c>
      <c r="B763" s="63">
        <f t="shared" si="62"/>
        <v>5</v>
      </c>
      <c r="C763" s="882">
        <v>42521</v>
      </c>
      <c r="D763" s="882" t="s">
        <v>585</v>
      </c>
      <c r="E763" s="882">
        <f t="shared" si="76"/>
        <v>42521</v>
      </c>
      <c r="F763" s="883" t="s">
        <v>1352</v>
      </c>
      <c r="G763" s="278"/>
      <c r="H763" s="322"/>
      <c r="I763" s="447"/>
      <c r="J763" s="447"/>
      <c r="K763" s="438"/>
      <c r="L763" s="447"/>
      <c r="M763" s="888">
        <f>G759*$G762</f>
        <v>0</v>
      </c>
      <c r="N763" s="889" t="s">
        <v>283</v>
      </c>
      <c r="O763" s="889" t="s">
        <v>596</v>
      </c>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IF(AND('341-CT'!$H$9=H763,OR(LEFT(N763,3)=$W$7,LEFT(O763,3)=$W$7)),"x","")</f>
        <v/>
      </c>
      <c r="X763" s="85" t="str">
        <f>IF(OR(TH!N763=TH!$X$7,O763=TH!$X$7),"x","")</f>
        <v/>
      </c>
      <c r="Y763" s="85" t="str">
        <f>IF(AND(OR(N763="131",O763="131"),H763='131-CT'!$H$9),"x","")</f>
        <v/>
      </c>
      <c r="Z763" s="85"/>
      <c r="AA763" s="85" t="str">
        <f>IF(AND(MONTH(E763)='IN-NX'!$J$5,'IN-NX'!$D$7=D763),"x","")</f>
        <v/>
      </c>
      <c r="AB763" s="85" t="str">
        <f>IF(AND(OR(LEFT(TH!N763,2)="15",LEFT(TH!O763,2)="15"),'152-CT'!$J$8=TH!F763),"x","")</f>
        <v/>
      </c>
      <c r="AC763" s="85" t="str">
        <f>IF(AND(OR(LEFT(TH!N763,2)="15",LEFT(TH!O763,2)="15"),TK!$E$7=TH!F763),"x","")</f>
        <v/>
      </c>
      <c r="AD763" s="85" t="str">
        <f>IF(AND(N763="1521",MONTH(C763)='BK-NL'!$M$11),"x","")</f>
        <v/>
      </c>
    </row>
    <row r="764" spans="1:30" s="348" customFormat="1" ht="15.75" customHeight="1">
      <c r="A764" s="343" t="str">
        <f>IF(B764&lt;&gt;"",IF(AND(B764='IN-TC'!$S$4,OR(TH!N764="1111",TH!O764="1111")),TH!D764,""),"")</f>
        <v/>
      </c>
      <c r="B764" s="63">
        <f t="shared" si="62"/>
        <v>5</v>
      </c>
      <c r="C764" s="882">
        <v>42521</v>
      </c>
      <c r="D764" s="882" t="s">
        <v>585</v>
      </c>
      <c r="E764" s="882">
        <f t="shared" si="76"/>
        <v>42521</v>
      </c>
      <c r="F764" s="883" t="s">
        <v>1353</v>
      </c>
      <c r="G764" s="990" t="s">
        <v>588</v>
      </c>
      <c r="H764" s="324"/>
      <c r="I764" s="445"/>
      <c r="J764" s="445"/>
      <c r="K764" s="436"/>
      <c r="L764" s="445"/>
      <c r="M764" s="888">
        <f>G758*$G764</f>
        <v>0</v>
      </c>
      <c r="N764" s="889" t="s">
        <v>595</v>
      </c>
      <c r="O764" s="889" t="s">
        <v>597</v>
      </c>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IF(AND('341-CT'!$H$9=H764,OR(LEFT(N764,3)=$W$7,LEFT(O764,3)=$W$7)),"x","")</f>
        <v/>
      </c>
      <c r="X764" s="85" t="str">
        <f>IF(OR(TH!N764=TH!$X$7,O764=TH!$X$7),"x","")</f>
        <v/>
      </c>
      <c r="Y764" s="85" t="str">
        <f>IF(AND(OR(N764="131",O764="131"),H764='131-CT'!$H$9),"x","")</f>
        <v/>
      </c>
      <c r="Z764" s="85"/>
      <c r="AA764" s="85" t="str">
        <f>IF(AND(MONTH(E764)='IN-NX'!$J$5,'IN-NX'!$D$7=D764),"x","")</f>
        <v/>
      </c>
      <c r="AB764" s="85" t="str">
        <f>IF(AND(OR(LEFT(TH!N764,2)="15",LEFT(TH!O764,2)="15"),'152-CT'!$J$8=TH!F764),"x","")</f>
        <v/>
      </c>
      <c r="AC764" s="85" t="str">
        <f>IF(AND(OR(LEFT(TH!N764,2)="15",LEFT(TH!O764,2)="15"),TK!$E$7=TH!F764),"x","")</f>
        <v/>
      </c>
      <c r="AD764" s="85" t="str">
        <f>IF(AND(N764="1521",MONTH(C764)='BK-NL'!$M$11),"x","")</f>
        <v/>
      </c>
    </row>
    <row r="765" spans="1:30" s="348" customFormat="1" ht="15.75" customHeight="1">
      <c r="A765" s="343" t="str">
        <f>IF(B765&lt;&gt;"",IF(AND(B765='IN-TC'!$S$4,OR(TH!N765="1111",TH!O765="1111")),TH!D765,""),"")</f>
        <v/>
      </c>
      <c r="B765" s="63">
        <f t="shared" si="62"/>
        <v>5</v>
      </c>
      <c r="C765" s="882">
        <v>42521</v>
      </c>
      <c r="D765" s="882" t="s">
        <v>585</v>
      </c>
      <c r="E765" s="882">
        <f t="shared" si="76"/>
        <v>42521</v>
      </c>
      <c r="F765" s="883" t="s">
        <v>1354</v>
      </c>
      <c r="G765" s="278"/>
      <c r="H765" s="324"/>
      <c r="I765" s="445"/>
      <c r="J765" s="445"/>
      <c r="K765" s="436"/>
      <c r="L765" s="445"/>
      <c r="M765" s="888">
        <f>G759*$G764</f>
        <v>0</v>
      </c>
      <c r="N765" s="889" t="s">
        <v>595</v>
      </c>
      <c r="O765" s="889" t="s">
        <v>597</v>
      </c>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IF(AND('341-CT'!$H$9=H765,OR(LEFT(N765,3)=$W$7,LEFT(O765,3)=$W$7)),"x","")</f>
        <v/>
      </c>
      <c r="X765" s="85" t="str">
        <f>IF(OR(TH!N765=TH!$X$7,O765=TH!$X$7),"x","")</f>
        <v/>
      </c>
      <c r="Y765" s="85" t="str">
        <f>IF(AND(OR(N765="131",O765="131"),H765='131-CT'!$H$9),"x","")</f>
        <v/>
      </c>
      <c r="Z765" s="85"/>
      <c r="AA765" s="85" t="str">
        <f>IF(AND(MONTH(E765)='IN-NX'!$J$5,'IN-NX'!$D$7=D765),"x","")</f>
        <v/>
      </c>
      <c r="AB765" s="85" t="str">
        <f>IF(AND(OR(LEFT(TH!N765,2)="15",LEFT(TH!O765,2)="15"),'152-CT'!$J$8=TH!F765),"x","")</f>
        <v/>
      </c>
      <c r="AC765" s="85" t="str">
        <f>IF(AND(OR(LEFT(TH!N765,2)="15",LEFT(TH!O765,2)="15"),TK!$E$7=TH!F765),"x","")</f>
        <v/>
      </c>
      <c r="AD765" s="85" t="str">
        <f>IF(AND(N765="1521",MONTH(C765)='BK-NL'!$M$11),"x","")</f>
        <v/>
      </c>
    </row>
    <row r="766" spans="1:30" s="348" customFormat="1" ht="15.75" customHeight="1">
      <c r="A766" s="343" t="str">
        <f>IF(B766&lt;&gt;"",IF(AND(B766='IN-TC'!$S$4,OR(TH!N766="1111",TH!O766="1111")),TH!D766,""),"")</f>
        <v/>
      </c>
      <c r="B766" s="63">
        <f t="shared" si="62"/>
        <v>5</v>
      </c>
      <c r="C766" s="882">
        <v>42521</v>
      </c>
      <c r="D766" s="882" t="s">
        <v>585</v>
      </c>
      <c r="E766" s="882">
        <f t="shared" si="76"/>
        <v>42521</v>
      </c>
      <c r="F766" s="883" t="s">
        <v>1355</v>
      </c>
      <c r="G766" s="990" t="s">
        <v>589</v>
      </c>
      <c r="H766" s="322"/>
      <c r="I766" s="447"/>
      <c r="J766" s="447"/>
      <c r="K766" s="438"/>
      <c r="L766" s="447"/>
      <c r="M766" s="888">
        <f>G758*$G766</f>
        <v>0</v>
      </c>
      <c r="N766" s="889" t="s">
        <v>594</v>
      </c>
      <c r="O766" s="889" t="s">
        <v>597</v>
      </c>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IF(AND('341-CT'!$H$9=H766,OR(LEFT(N766,3)=$W$7,LEFT(O766,3)=$W$7)),"x","")</f>
        <v/>
      </c>
      <c r="X766" s="85" t="str">
        <f>IF(OR(TH!N766=TH!$X$7,O766=TH!$X$7),"x","")</f>
        <v/>
      </c>
      <c r="Y766" s="85" t="str">
        <f>IF(AND(OR(N766="131",O766="131"),H766='131-CT'!$H$9),"x","")</f>
        <v/>
      </c>
      <c r="Z766" s="85"/>
      <c r="AA766" s="85" t="str">
        <f>IF(AND(MONTH(E766)='IN-NX'!$J$5,'IN-NX'!$D$7=D766),"x","")</f>
        <v/>
      </c>
      <c r="AB766" s="85" t="str">
        <f>IF(AND(OR(LEFT(TH!N766,2)="15",LEFT(TH!O766,2)="15"),'152-CT'!$J$8=TH!F766),"x","")</f>
        <v/>
      </c>
      <c r="AC766" s="85" t="str">
        <f>IF(AND(OR(LEFT(TH!N766,2)="15",LEFT(TH!O766,2)="15"),TK!$E$7=TH!F766),"x","")</f>
        <v/>
      </c>
      <c r="AD766" s="85" t="str">
        <f>IF(AND(N766="1521",MONTH(C766)='BK-NL'!$M$11),"x","")</f>
        <v/>
      </c>
    </row>
    <row r="767" spans="1:30" s="348" customFormat="1" ht="15.75" customHeight="1">
      <c r="A767" s="343" t="str">
        <f>IF(B767&lt;&gt;"",IF(AND(B767='IN-TC'!$S$4,OR(TH!N767="1111",TH!O767="1111")),TH!D767,""),"")</f>
        <v/>
      </c>
      <c r="B767" s="63">
        <f t="shared" si="62"/>
        <v>5</v>
      </c>
      <c r="C767" s="882">
        <v>42521</v>
      </c>
      <c r="D767" s="882" t="s">
        <v>585</v>
      </c>
      <c r="E767" s="882">
        <f t="shared" si="76"/>
        <v>42521</v>
      </c>
      <c r="F767" s="883" t="s">
        <v>1356</v>
      </c>
      <c r="G767" s="278"/>
      <c r="H767" s="322"/>
      <c r="I767" s="447"/>
      <c r="J767" s="447"/>
      <c r="K767" s="438"/>
      <c r="L767" s="447"/>
      <c r="M767" s="888">
        <f>G759*$G766</f>
        <v>0</v>
      </c>
      <c r="N767" s="889" t="s">
        <v>283</v>
      </c>
      <c r="O767" s="889" t="s">
        <v>597</v>
      </c>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IF(AND('341-CT'!$H$9=H767,OR(LEFT(N767,3)=$W$7,LEFT(O767,3)=$W$7)),"x","")</f>
        <v/>
      </c>
      <c r="X767" s="85" t="str">
        <f>IF(OR(TH!N767=TH!$X$7,O767=TH!$X$7),"x","")</f>
        <v/>
      </c>
      <c r="Y767" s="85" t="str">
        <f>IF(AND(OR(N767="131",O767="131"),H767='131-CT'!$H$9),"x","")</f>
        <v/>
      </c>
      <c r="Z767" s="85"/>
      <c r="AA767" s="85" t="str">
        <f>IF(AND(MONTH(E767)='IN-NX'!$J$5,'IN-NX'!$D$7=D767),"x","")</f>
        <v/>
      </c>
      <c r="AB767" s="85" t="str">
        <f>IF(AND(OR(LEFT(TH!N767,2)="15",LEFT(TH!O767,2)="15"),'152-CT'!$J$8=TH!F767),"x","")</f>
        <v/>
      </c>
      <c r="AC767" s="85" t="str">
        <f>IF(AND(OR(LEFT(TH!N767,2)="15",LEFT(TH!O767,2)="15"),TK!$E$7=TH!F767),"x","")</f>
        <v/>
      </c>
      <c r="AD767" s="85" t="str">
        <f>IF(AND(N767="1521",MONTH(C767)='BK-NL'!$M$11),"x","")</f>
        <v/>
      </c>
    </row>
    <row r="768" spans="1:30" s="348" customFormat="1" ht="15.75" customHeight="1">
      <c r="A768" s="343" t="str">
        <f>IF(B768&lt;&gt;"",IF(AND(B768='IN-TC'!$S$4,OR(TH!N768="1111",TH!O768="1111")),TH!D768,""),"")</f>
        <v/>
      </c>
      <c r="B768" s="63">
        <f t="shared" si="62"/>
        <v>5</v>
      </c>
      <c r="C768" s="882">
        <v>42521</v>
      </c>
      <c r="D768" s="882" t="s">
        <v>585</v>
      </c>
      <c r="E768" s="882">
        <f t="shared" si="76"/>
        <v>42521</v>
      </c>
      <c r="F768" s="883" t="s">
        <v>1357</v>
      </c>
      <c r="G768" s="990" t="s">
        <v>590</v>
      </c>
      <c r="H768" s="322"/>
      <c r="I768" s="447"/>
      <c r="J768" s="447"/>
      <c r="K768" s="438"/>
      <c r="L768" s="447"/>
      <c r="M768" s="888">
        <f>G758*$G768</f>
        <v>0</v>
      </c>
      <c r="N768" s="889" t="s">
        <v>595</v>
      </c>
      <c r="O768" s="889" t="s">
        <v>598</v>
      </c>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IF(AND('341-CT'!$H$9=H768,OR(LEFT(N768,3)=$W$7,LEFT(O768,3)=$W$7)),"x","")</f>
        <v/>
      </c>
      <c r="X768" s="85" t="str">
        <f>IF(OR(TH!N768=TH!$X$7,O768=TH!$X$7),"x","")</f>
        <v/>
      </c>
      <c r="Y768" s="85" t="str">
        <f>IF(AND(OR(N768="131",O768="131"),H768='131-CT'!$H$9),"x","")</f>
        <v/>
      </c>
      <c r="Z768" s="85"/>
      <c r="AA768" s="85" t="str">
        <f>IF(AND(MONTH(E768)='IN-NX'!$J$5,'IN-NX'!$D$7=D768),"x","")</f>
        <v/>
      </c>
      <c r="AB768" s="85" t="str">
        <f>IF(AND(OR(LEFT(TH!N768,2)="15",LEFT(TH!O768,2)="15"),'152-CT'!$J$8=TH!F768),"x","")</f>
        <v/>
      </c>
      <c r="AC768" s="85" t="str">
        <f>IF(AND(OR(LEFT(TH!N768,2)="15",LEFT(TH!O768,2)="15"),TK!$E$7=TH!F768),"x","")</f>
        <v/>
      </c>
      <c r="AD768" s="85" t="str">
        <f>IF(AND(N768="1521",MONTH(C768)='BK-NL'!$M$11),"x","")</f>
        <v/>
      </c>
    </row>
    <row r="769" spans="1:30" s="348" customFormat="1" ht="15.75" customHeight="1">
      <c r="A769" s="343" t="str">
        <f>IF(B769&lt;&gt;"",IF(AND(B769='IN-TC'!$S$4,OR(TH!N769="1111",TH!O769="1111")),TH!D769,""),"")</f>
        <v/>
      </c>
      <c r="B769" s="63">
        <f t="shared" si="62"/>
        <v>5</v>
      </c>
      <c r="C769" s="882">
        <v>42521</v>
      </c>
      <c r="D769" s="882" t="s">
        <v>585</v>
      </c>
      <c r="E769" s="882">
        <f t="shared" si="76"/>
        <v>42521</v>
      </c>
      <c r="F769" s="883" t="s">
        <v>1358</v>
      </c>
      <c r="G769" s="278"/>
      <c r="H769" s="322"/>
      <c r="I769" s="447"/>
      <c r="J769" s="447"/>
      <c r="K769" s="438"/>
      <c r="L769" s="447"/>
      <c r="M769" s="888">
        <f>G759*$G768</f>
        <v>0</v>
      </c>
      <c r="N769" s="889" t="s">
        <v>595</v>
      </c>
      <c r="O769" s="889" t="s">
        <v>598</v>
      </c>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IF(AND('341-CT'!$H$9=H769,OR(LEFT(N769,3)=$W$7,LEFT(O769,3)=$W$7)),"x","")</f>
        <v/>
      </c>
      <c r="X769" s="85" t="str">
        <f>IF(OR(TH!N769=TH!$X$7,O769=TH!$X$7),"x","")</f>
        <v/>
      </c>
      <c r="Y769" s="85" t="str">
        <f>IF(AND(OR(N769="131",O769="131"),H769='131-CT'!$H$9),"x","")</f>
        <v/>
      </c>
      <c r="Z769" s="85"/>
      <c r="AA769" s="85" t="str">
        <f>IF(AND(MONTH(E769)='IN-NX'!$J$5,'IN-NX'!$D$7=D769),"x","")</f>
        <v/>
      </c>
      <c r="AB769" s="85" t="str">
        <f>IF(AND(OR(LEFT(TH!N769,2)="15",LEFT(TH!O769,2)="15"),'152-CT'!$J$8=TH!F769),"x","")</f>
        <v/>
      </c>
      <c r="AC769" s="85" t="str">
        <f>IF(AND(OR(LEFT(TH!N769,2)="15",LEFT(TH!O769,2)="15"),TK!$E$7=TH!F769),"x","")</f>
        <v/>
      </c>
      <c r="AD769" s="85" t="str">
        <f>IF(AND(N769="1521",MONTH(C769)='BK-NL'!$M$11),"x","")</f>
        <v/>
      </c>
    </row>
    <row r="770" spans="1:30" s="348" customFormat="1" ht="15.75" customHeight="1">
      <c r="A770" s="343" t="str">
        <f>IF(B770&lt;&gt;"",IF(AND(B770='IN-TC'!$S$4,OR(TH!N770="1111",TH!O770="1111")),TH!D770,""),"")</f>
        <v/>
      </c>
      <c r="B770" s="63">
        <f t="shared" si="62"/>
        <v>5</v>
      </c>
      <c r="C770" s="882">
        <v>42521</v>
      </c>
      <c r="D770" s="882" t="s">
        <v>585</v>
      </c>
      <c r="E770" s="882">
        <f t="shared" si="76"/>
        <v>42521</v>
      </c>
      <c r="F770" s="883" t="s">
        <v>1359</v>
      </c>
      <c r="G770" s="990" t="s">
        <v>590</v>
      </c>
      <c r="H770" s="1150"/>
      <c r="I770" s="448"/>
      <c r="J770" s="448"/>
      <c r="K770" s="439"/>
      <c r="L770" s="448"/>
      <c r="M770" s="888">
        <f>M768</f>
        <v>0</v>
      </c>
      <c r="N770" s="889" t="s">
        <v>594</v>
      </c>
      <c r="O770" s="889" t="s">
        <v>598</v>
      </c>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IF(AND('341-CT'!$H$9=H770,OR(LEFT(N770,3)=$W$7,LEFT(O770,3)=$W$7)),"x","")</f>
        <v/>
      </c>
      <c r="X770" s="85" t="str">
        <f>IF(OR(TH!N770=TH!$X$7,O770=TH!$X$7),"x","")</f>
        <v/>
      </c>
      <c r="Y770" s="85" t="str">
        <f>IF(AND(OR(N770="131",O770="131"),H770='131-CT'!$H$9),"x","")</f>
        <v/>
      </c>
      <c r="Z770" s="85"/>
      <c r="AA770" s="85" t="str">
        <f>IF(AND(MONTH(E770)='IN-NX'!$J$5,'IN-NX'!$D$7=D770),"x","")</f>
        <v/>
      </c>
      <c r="AB770" s="85" t="str">
        <f>IF(AND(OR(LEFT(TH!N770,2)="15",LEFT(TH!O770,2)="15"),'152-CT'!$J$8=TH!F770),"x","")</f>
        <v/>
      </c>
      <c r="AC770" s="85" t="str">
        <f>IF(AND(OR(LEFT(TH!N770,2)="15",LEFT(TH!O770,2)="15"),TK!$E$7=TH!F770),"x","")</f>
        <v/>
      </c>
      <c r="AD770" s="85" t="str">
        <f>IF(AND(N770="1521",MONTH(C770)='BK-NL'!$M$11),"x","")</f>
        <v/>
      </c>
    </row>
    <row r="771" spans="1:30" s="348" customFormat="1" ht="15.75" customHeight="1">
      <c r="A771" s="343" t="str">
        <f>IF(B771&lt;&gt;"",IF(AND(B771='IN-TC'!$S$4,OR(TH!N771="1111",TH!O771="1111")),TH!D771,""),"")</f>
        <v/>
      </c>
      <c r="B771" s="63">
        <f t="shared" si="62"/>
        <v>5</v>
      </c>
      <c r="C771" s="882">
        <v>42521</v>
      </c>
      <c r="D771" s="882" t="s">
        <v>585</v>
      </c>
      <c r="E771" s="882">
        <f t="shared" si="76"/>
        <v>42521</v>
      </c>
      <c r="F771" s="883" t="s">
        <v>1360</v>
      </c>
      <c r="G771" s="278"/>
      <c r="H771" s="322"/>
      <c r="I771" s="447"/>
      <c r="J771" s="447"/>
      <c r="K771" s="438"/>
      <c r="L771" s="447"/>
      <c r="M771" s="888">
        <f>M769</f>
        <v>0</v>
      </c>
      <c r="N771" s="889" t="s">
        <v>283</v>
      </c>
      <c r="O771" s="889" t="s">
        <v>598</v>
      </c>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IF(AND('341-CT'!$H$9=H771,OR(LEFT(N771,3)=$W$7,LEFT(O771,3)=$W$7)),"x","")</f>
        <v/>
      </c>
      <c r="X771" s="85" t="str">
        <f>IF(OR(TH!N771=TH!$X$7,O771=TH!$X$7),"x","")</f>
        <v/>
      </c>
      <c r="Y771" s="85" t="str">
        <f>IF(AND(OR(N771="131",O771="131"),H771='131-CT'!$H$9),"x","")</f>
        <v/>
      </c>
      <c r="Z771" s="85"/>
      <c r="AA771" s="85" t="str">
        <f>IF(AND(MONTH(E771)='IN-NX'!$J$5,'IN-NX'!$D$7=D771),"x","")</f>
        <v/>
      </c>
      <c r="AB771" s="85" t="str">
        <f>IF(AND(OR(LEFT(TH!N771,2)="15",LEFT(TH!O771,2)="15"),'152-CT'!$J$8=TH!F771),"x","")</f>
        <v/>
      </c>
      <c r="AC771" s="85" t="str">
        <f>IF(AND(OR(LEFT(TH!N771,2)="15",LEFT(TH!O771,2)="15"),TK!$E$7=TH!F771),"x","")</f>
        <v/>
      </c>
      <c r="AD771" s="85" t="str">
        <f>IF(AND(N771="1521",MONTH(C771)='BK-NL'!$M$11),"x","")</f>
        <v/>
      </c>
    </row>
    <row r="772" spans="1:30" s="348" customFormat="1" ht="15.75" customHeight="1">
      <c r="A772" s="343" t="str">
        <f>IF(B772&lt;&gt;"",IF(AND(B772='IN-TC'!$S$4,OR(TH!N772="1111",TH!O772="1111")),TH!D772,""),"")</f>
        <v/>
      </c>
      <c r="B772" s="63">
        <f t="shared" si="62"/>
        <v>6</v>
      </c>
      <c r="C772" s="882">
        <v>42551</v>
      </c>
      <c r="D772" s="882" t="s">
        <v>585</v>
      </c>
      <c r="E772" s="882">
        <f t="shared" si="76"/>
        <v>42551</v>
      </c>
      <c r="F772" s="883" t="s">
        <v>1347</v>
      </c>
      <c r="G772" s="278"/>
      <c r="H772" s="322"/>
      <c r="I772" s="447"/>
      <c r="J772" s="447"/>
      <c r="K772" s="438"/>
      <c r="L772" s="447"/>
      <c r="M772" s="888"/>
      <c r="N772" s="889" t="s">
        <v>594</v>
      </c>
      <c r="O772" s="889" t="s">
        <v>595</v>
      </c>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IF(AND('341-CT'!$H$9=H772,OR(LEFT(N772,3)=$W$7,LEFT(O772,3)=$W$7)),"x","")</f>
        <v/>
      </c>
      <c r="X772" s="85" t="str">
        <f>IF(OR(TH!N772=TH!$X$7,O772=TH!$X$7),"x","")</f>
        <v/>
      </c>
      <c r="Y772" s="85" t="str">
        <f>IF(AND(OR(N772="131",O772="131"),H772='131-CT'!$H$9),"x","")</f>
        <v/>
      </c>
      <c r="Z772" s="85"/>
      <c r="AA772" s="85" t="str">
        <f>IF(AND(MONTH(E772)='IN-NX'!$J$5,'IN-NX'!$D$7=D772),"x","")</f>
        <v/>
      </c>
      <c r="AB772" s="85" t="str">
        <f>IF(AND(OR(LEFT(TH!N772,2)="15",LEFT(TH!O772,2)="15"),'152-CT'!$J$8=TH!F772),"x","")</f>
        <v/>
      </c>
      <c r="AC772" s="85" t="str">
        <f>IF(AND(OR(LEFT(TH!N772,2)="15",LEFT(TH!O772,2)="15"),TK!$E$7=TH!F772),"x","")</f>
        <v/>
      </c>
      <c r="AD772" s="85" t="str">
        <f>IF(AND(N772="1521",MONTH(C772)='BK-NL'!$M$11),"x","")</f>
        <v/>
      </c>
    </row>
    <row r="773" spans="1:30" s="348" customFormat="1" ht="15.75" customHeight="1">
      <c r="A773" s="343" t="str">
        <f>IF(B773&lt;&gt;"",IF(AND(B773='IN-TC'!$S$4,OR(TH!N773="1111",TH!O773="1111")),TH!D773,""),"")</f>
        <v/>
      </c>
      <c r="B773" s="63">
        <f t="shared" si="62"/>
        <v>6</v>
      </c>
      <c r="C773" s="882">
        <v>42551</v>
      </c>
      <c r="D773" s="882" t="s">
        <v>585</v>
      </c>
      <c r="E773" s="882">
        <f t="shared" si="76"/>
        <v>42551</v>
      </c>
      <c r="F773" s="883" t="s">
        <v>1348</v>
      </c>
      <c r="G773" s="278"/>
      <c r="H773" s="322"/>
      <c r="I773" s="447"/>
      <c r="J773" s="447"/>
      <c r="K773" s="438"/>
      <c r="L773" s="447"/>
      <c r="M773" s="888"/>
      <c r="N773" s="889" t="s">
        <v>283</v>
      </c>
      <c r="O773" s="889" t="s">
        <v>595</v>
      </c>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IF(AND('341-CT'!$H$9=H773,OR(LEFT(N773,3)=$W$7,LEFT(O773,3)=$W$7)),"x","")</f>
        <v/>
      </c>
      <c r="X773" s="85" t="str">
        <f>IF(OR(TH!N773=TH!$X$7,O773=TH!$X$7),"x","")</f>
        <v/>
      </c>
      <c r="Y773" s="85" t="str">
        <f>IF(AND(OR(N773="131",O773="131"),H773='131-CT'!$H$9),"x","")</f>
        <v/>
      </c>
      <c r="Z773" s="85"/>
      <c r="AA773" s="85" t="str">
        <f>IF(AND(MONTH(E773)='IN-NX'!$J$5,'IN-NX'!$D$7=D773),"x","")</f>
        <v/>
      </c>
      <c r="AB773" s="85" t="str">
        <f>IF(AND(OR(LEFT(TH!N773,2)="15",LEFT(TH!O773,2)="15"),'152-CT'!$J$8=TH!F773),"x","")</f>
        <v/>
      </c>
      <c r="AC773" s="85" t="str">
        <f>IF(AND(OR(LEFT(TH!N773,2)="15",LEFT(TH!O773,2)="15"),TK!$E$7=TH!F773),"x","")</f>
        <v/>
      </c>
      <c r="AD773" s="85" t="str">
        <f>IF(AND(N773="1521",MONTH(C773)='BK-NL'!$M$11),"x","")</f>
        <v/>
      </c>
    </row>
    <row r="774" spans="1:30" s="348" customFormat="1" ht="15.75" customHeight="1">
      <c r="A774" s="343" t="str">
        <f>IF(B774&lt;&gt;"",IF(AND(B774='IN-TC'!$S$4,OR(TH!N774="1111",TH!O774="1111")),TH!D774,""),"")</f>
        <v/>
      </c>
      <c r="B774" s="63">
        <f t="shared" si="62"/>
        <v>6</v>
      </c>
      <c r="C774" s="882">
        <v>42551</v>
      </c>
      <c r="D774" s="882" t="s">
        <v>585</v>
      </c>
      <c r="E774" s="882">
        <f t="shared" si="76"/>
        <v>42551</v>
      </c>
      <c r="F774" s="883" t="s">
        <v>1349</v>
      </c>
      <c r="G774" s="990" t="s">
        <v>586</v>
      </c>
      <c r="H774" s="322"/>
      <c r="I774" s="447"/>
      <c r="J774" s="447"/>
      <c r="K774" s="438"/>
      <c r="L774" s="447"/>
      <c r="M774" s="888">
        <f>G772*$G774</f>
        <v>0</v>
      </c>
      <c r="N774" s="889" t="s">
        <v>595</v>
      </c>
      <c r="O774" s="889" t="s">
        <v>596</v>
      </c>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IF(AND('341-CT'!$H$9=H774,OR(LEFT(N774,3)=$W$7,LEFT(O774,3)=$W$7)),"x","")</f>
        <v/>
      </c>
      <c r="X774" s="85" t="str">
        <f>IF(OR(TH!N774=TH!$X$7,O774=TH!$X$7),"x","")</f>
        <v/>
      </c>
      <c r="Y774" s="85" t="str">
        <f>IF(AND(OR(N774="131",O774="131"),H774='131-CT'!$H$9),"x","")</f>
        <v/>
      </c>
      <c r="Z774" s="85"/>
      <c r="AA774" s="85" t="str">
        <f>IF(AND(MONTH(E774)='IN-NX'!$J$5,'IN-NX'!$D$7=D774),"x","")</f>
        <v/>
      </c>
      <c r="AB774" s="85" t="str">
        <f>IF(AND(OR(LEFT(TH!N774,2)="15",LEFT(TH!O774,2)="15"),'152-CT'!$J$8=TH!F774),"x","")</f>
        <v/>
      </c>
      <c r="AC774" s="85" t="str">
        <f>IF(AND(OR(LEFT(TH!N774,2)="15",LEFT(TH!O774,2)="15"),TK!$E$7=TH!F774),"x","")</f>
        <v/>
      </c>
      <c r="AD774" s="85" t="str">
        <f>IF(AND(N774="1521",MONTH(C774)='BK-NL'!$M$11),"x","")</f>
        <v/>
      </c>
    </row>
    <row r="775" spans="1:30" s="348" customFormat="1" ht="15.75" customHeight="1">
      <c r="A775" s="343" t="str">
        <f>IF(B775&lt;&gt;"",IF(AND(B775='IN-TC'!$S$4,OR(TH!N775="1111",TH!O775="1111")),TH!D775,""),"")</f>
        <v/>
      </c>
      <c r="B775" s="63">
        <f t="shared" si="62"/>
        <v>6</v>
      </c>
      <c r="C775" s="882">
        <v>42551</v>
      </c>
      <c r="D775" s="882" t="s">
        <v>585</v>
      </c>
      <c r="E775" s="882">
        <f t="shared" si="76"/>
        <v>42551</v>
      </c>
      <c r="F775" s="883" t="s">
        <v>1350</v>
      </c>
      <c r="G775" s="278"/>
      <c r="H775" s="322"/>
      <c r="I775" s="447"/>
      <c r="J775" s="447"/>
      <c r="K775" s="438"/>
      <c r="L775" s="447"/>
      <c r="M775" s="888">
        <f>G773*$G774</f>
        <v>0</v>
      </c>
      <c r="N775" s="890" t="s">
        <v>595</v>
      </c>
      <c r="O775" s="891" t="s">
        <v>596</v>
      </c>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IF(AND('341-CT'!$H$9=H775,OR(LEFT(N775,3)=$W$7,LEFT(O775,3)=$W$7)),"x","")</f>
        <v/>
      </c>
      <c r="X775" s="85" t="str">
        <f>IF(OR(TH!N775=TH!$X$7,O775=TH!$X$7),"x","")</f>
        <v/>
      </c>
      <c r="Y775" s="85" t="str">
        <f>IF(AND(OR(N775="131",O775="131"),H775='131-CT'!$H$9),"x","")</f>
        <v/>
      </c>
      <c r="Z775" s="85"/>
      <c r="AA775" s="85" t="str">
        <f>IF(AND(MONTH(E775)='IN-NX'!$J$5,'IN-NX'!$D$7=D775),"x","")</f>
        <v/>
      </c>
      <c r="AB775" s="85" t="str">
        <f>IF(AND(OR(LEFT(TH!N775,2)="15",LEFT(TH!O775,2)="15"),'152-CT'!$J$8=TH!F775),"x","")</f>
        <v/>
      </c>
      <c r="AC775" s="85" t="str">
        <f>IF(AND(OR(LEFT(TH!N775,2)="15",LEFT(TH!O775,2)="15"),TK!$E$7=TH!F775),"x","")</f>
        <v/>
      </c>
      <c r="AD775" s="85" t="str">
        <f>IF(AND(N775="1521",MONTH(C775)='BK-NL'!$M$11),"x","")</f>
        <v/>
      </c>
    </row>
    <row r="776" spans="1:30" s="348" customFormat="1" ht="15.75" customHeight="1">
      <c r="A776" s="343" t="str">
        <f>IF(B776&lt;&gt;"",IF(AND(B776='IN-TC'!$S$4,OR(TH!N776="1111",TH!O776="1111")),TH!D776,""),"")</f>
        <v/>
      </c>
      <c r="B776" s="63">
        <f t="shared" si="62"/>
        <v>6</v>
      </c>
      <c r="C776" s="882">
        <v>42551</v>
      </c>
      <c r="D776" s="882" t="s">
        <v>585</v>
      </c>
      <c r="E776" s="882">
        <f t="shared" si="76"/>
        <v>42551</v>
      </c>
      <c r="F776" s="883" t="s">
        <v>1351</v>
      </c>
      <c r="G776" s="990" t="s">
        <v>587</v>
      </c>
      <c r="H776" s="322"/>
      <c r="I776" s="447"/>
      <c r="J776" s="447"/>
      <c r="K776" s="438"/>
      <c r="L776" s="447"/>
      <c r="M776" s="888">
        <f>G772*$G776</f>
        <v>0</v>
      </c>
      <c r="N776" s="889" t="s">
        <v>594</v>
      </c>
      <c r="O776" s="889" t="s">
        <v>596</v>
      </c>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IF(AND('341-CT'!$H$9=H776,OR(LEFT(N776,3)=$W$7,LEFT(O776,3)=$W$7)),"x","")</f>
        <v/>
      </c>
      <c r="X776" s="85" t="str">
        <f>IF(OR(TH!N776=TH!$X$7,O776=TH!$X$7),"x","")</f>
        <v/>
      </c>
      <c r="Y776" s="85" t="str">
        <f>IF(AND(OR(N776="131",O776="131"),H776='131-CT'!$H$9),"x","")</f>
        <v/>
      </c>
      <c r="Z776" s="85"/>
      <c r="AA776" s="85" t="str">
        <f>IF(AND(MONTH(E776)='IN-NX'!$J$5,'IN-NX'!$D$7=D776),"x","")</f>
        <v/>
      </c>
      <c r="AB776" s="85" t="str">
        <f>IF(AND(OR(LEFT(TH!N776,2)="15",LEFT(TH!O776,2)="15"),'152-CT'!$J$8=TH!F776),"x","")</f>
        <v/>
      </c>
      <c r="AC776" s="85" t="str">
        <f>IF(AND(OR(LEFT(TH!N776,2)="15",LEFT(TH!O776,2)="15"),TK!$E$7=TH!F776),"x","")</f>
        <v/>
      </c>
      <c r="AD776" s="85" t="str">
        <f>IF(AND(N776="1521",MONTH(C776)='BK-NL'!$M$11),"x","")</f>
        <v/>
      </c>
    </row>
    <row r="777" spans="1:30" s="348" customFormat="1" ht="15.75" customHeight="1">
      <c r="A777" s="343" t="str">
        <f>IF(B777&lt;&gt;"",IF(AND(B777='IN-TC'!$S$4,OR(TH!N777="1111",TH!O777="1111")),TH!D777,""),"")</f>
        <v/>
      </c>
      <c r="B777" s="63">
        <f t="shared" si="62"/>
        <v>6</v>
      </c>
      <c r="C777" s="882">
        <v>42551</v>
      </c>
      <c r="D777" s="882" t="s">
        <v>585</v>
      </c>
      <c r="E777" s="882">
        <f t="shared" si="76"/>
        <v>42551</v>
      </c>
      <c r="F777" s="883" t="s">
        <v>1352</v>
      </c>
      <c r="G777" s="278"/>
      <c r="H777" s="322"/>
      <c r="I777" s="447"/>
      <c r="J777" s="447"/>
      <c r="K777" s="438"/>
      <c r="L777" s="447"/>
      <c r="M777" s="888">
        <f>G773*$G776</f>
        <v>0</v>
      </c>
      <c r="N777" s="889" t="s">
        <v>283</v>
      </c>
      <c r="O777" s="889" t="s">
        <v>596</v>
      </c>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IF(AND('341-CT'!$H$9=H777,OR(LEFT(N777,3)=$W$7,LEFT(O777,3)=$W$7)),"x","")</f>
        <v/>
      </c>
      <c r="X777" s="85" t="str">
        <f>IF(OR(TH!N777=TH!$X$7,O777=TH!$X$7),"x","")</f>
        <v/>
      </c>
      <c r="Y777" s="85" t="str">
        <f>IF(AND(OR(N777="131",O777="131"),H777='131-CT'!$H$9),"x","")</f>
        <v/>
      </c>
      <c r="Z777" s="85"/>
      <c r="AA777" s="85" t="str">
        <f>IF(AND(MONTH(E777)='IN-NX'!$J$5,'IN-NX'!$D$7=D777),"x","")</f>
        <v/>
      </c>
      <c r="AB777" s="85" t="str">
        <f>IF(AND(OR(LEFT(TH!N777,2)="15",LEFT(TH!O777,2)="15"),'152-CT'!$J$8=TH!F777),"x","")</f>
        <v/>
      </c>
      <c r="AC777" s="85" t="str">
        <f>IF(AND(OR(LEFT(TH!N777,2)="15",LEFT(TH!O777,2)="15"),TK!$E$7=TH!F777),"x","")</f>
        <v/>
      </c>
      <c r="AD777" s="85" t="str">
        <f>IF(AND(N777="1521",MONTH(C777)='BK-NL'!$M$11),"x","")</f>
        <v/>
      </c>
    </row>
    <row r="778" spans="1:30" s="348" customFormat="1" ht="15.75" customHeight="1">
      <c r="A778" s="343" t="str">
        <f>IF(B778&lt;&gt;"",IF(AND(B778='IN-TC'!$S$4,OR(TH!N778="1111",TH!O778="1111")),TH!D778,""),"")</f>
        <v/>
      </c>
      <c r="B778" s="63">
        <f t="shared" si="62"/>
        <v>6</v>
      </c>
      <c r="C778" s="882">
        <v>42551</v>
      </c>
      <c r="D778" s="882" t="s">
        <v>585</v>
      </c>
      <c r="E778" s="882">
        <f t="shared" si="76"/>
        <v>42551</v>
      </c>
      <c r="F778" s="883" t="s">
        <v>1353</v>
      </c>
      <c r="G778" s="990" t="s">
        <v>588</v>
      </c>
      <c r="H778" s="324"/>
      <c r="I778" s="445"/>
      <c r="J778" s="445"/>
      <c r="K778" s="436"/>
      <c r="L778" s="445"/>
      <c r="M778" s="888">
        <f>G772*$G778</f>
        <v>0</v>
      </c>
      <c r="N778" s="889" t="s">
        <v>595</v>
      </c>
      <c r="O778" s="889" t="s">
        <v>597</v>
      </c>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IF(AND('341-CT'!$H$9=H778,OR(LEFT(N778,3)=$W$7,LEFT(O778,3)=$W$7)),"x","")</f>
        <v/>
      </c>
      <c r="X778" s="85" t="str">
        <f>IF(OR(TH!N778=TH!$X$7,O778=TH!$X$7),"x","")</f>
        <v/>
      </c>
      <c r="Y778" s="85" t="str">
        <f>IF(AND(OR(N778="131",O778="131"),H778='131-CT'!$H$9),"x","")</f>
        <v/>
      </c>
      <c r="Z778" s="85"/>
      <c r="AA778" s="85" t="str">
        <f>IF(AND(MONTH(E778)='IN-NX'!$J$5,'IN-NX'!$D$7=D778),"x","")</f>
        <v/>
      </c>
      <c r="AB778" s="85" t="str">
        <f>IF(AND(OR(LEFT(TH!N778,2)="15",LEFT(TH!O778,2)="15"),'152-CT'!$J$8=TH!F778),"x","")</f>
        <v/>
      </c>
      <c r="AC778" s="85" t="str">
        <f>IF(AND(OR(LEFT(TH!N778,2)="15",LEFT(TH!O778,2)="15"),TK!$E$7=TH!F778),"x","")</f>
        <v/>
      </c>
      <c r="AD778" s="85" t="str">
        <f>IF(AND(N778="1521",MONTH(C778)='BK-NL'!$M$11),"x","")</f>
        <v/>
      </c>
    </row>
    <row r="779" spans="1:30" s="348" customFormat="1" ht="15.75" customHeight="1">
      <c r="A779" s="343" t="str">
        <f>IF(B779&lt;&gt;"",IF(AND(B779='IN-TC'!$S$4,OR(TH!N779="1111",TH!O779="1111")),TH!D779,""),"")</f>
        <v/>
      </c>
      <c r="B779" s="63">
        <f t="shared" si="62"/>
        <v>6</v>
      </c>
      <c r="C779" s="882">
        <v>42551</v>
      </c>
      <c r="D779" s="882" t="s">
        <v>585</v>
      </c>
      <c r="E779" s="882">
        <f>C779</f>
        <v>42551</v>
      </c>
      <c r="F779" s="883" t="s">
        <v>1354</v>
      </c>
      <c r="G779" s="278"/>
      <c r="H779" s="324"/>
      <c r="I779" s="445"/>
      <c r="J779" s="445"/>
      <c r="K779" s="436"/>
      <c r="L779" s="445"/>
      <c r="M779" s="888">
        <f>G773*$G778</f>
        <v>0</v>
      </c>
      <c r="N779" s="889" t="s">
        <v>595</v>
      </c>
      <c r="O779" s="889" t="s">
        <v>597</v>
      </c>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IF(AND('341-CT'!$H$9=H779,OR(LEFT(N779,3)=$W$7,LEFT(O779,3)=$W$7)),"x","")</f>
        <v/>
      </c>
      <c r="X779" s="85" t="str">
        <f>IF(OR(TH!N779=TH!$X$7,O779=TH!$X$7),"x","")</f>
        <v/>
      </c>
      <c r="Y779" s="85" t="str">
        <f>IF(AND(OR(N779="131",O779="131"),H779='131-CT'!$H$9),"x","")</f>
        <v/>
      </c>
      <c r="Z779" s="85"/>
      <c r="AA779" s="85" t="str">
        <f>IF(AND(MONTH(E779)='IN-NX'!$J$5,'IN-NX'!$D$7=D779),"x","")</f>
        <v/>
      </c>
      <c r="AB779" s="85" t="str">
        <f>IF(AND(OR(LEFT(TH!N779,2)="15",LEFT(TH!O779,2)="15"),'152-CT'!$J$8=TH!F779),"x","")</f>
        <v/>
      </c>
      <c r="AC779" s="85" t="str">
        <f>IF(AND(OR(LEFT(TH!N779,2)="15",LEFT(TH!O779,2)="15"),TK!$E$7=TH!F779),"x","")</f>
        <v/>
      </c>
      <c r="AD779" s="85" t="str">
        <f>IF(AND(N779="1521",MONTH(C779)='BK-NL'!$M$11),"x","")</f>
        <v/>
      </c>
    </row>
    <row r="780" spans="1:30" s="348" customFormat="1" ht="15.75" customHeight="1">
      <c r="A780" s="343" t="str">
        <f>IF(B780&lt;&gt;"",IF(AND(B780='IN-TC'!$S$4,OR(TH!N780="1111",TH!O780="1111")),TH!D780,""),"")</f>
        <v/>
      </c>
      <c r="B780" s="63">
        <f t="shared" si="62"/>
        <v>6</v>
      </c>
      <c r="C780" s="882">
        <v>42551</v>
      </c>
      <c r="D780" s="882" t="s">
        <v>585</v>
      </c>
      <c r="E780" s="882">
        <f t="shared" ref="E780:E785" si="77">C780</f>
        <v>42551</v>
      </c>
      <c r="F780" s="883" t="s">
        <v>1355</v>
      </c>
      <c r="G780" s="990" t="s">
        <v>589</v>
      </c>
      <c r="H780" s="322"/>
      <c r="I780" s="447"/>
      <c r="J780" s="447"/>
      <c r="K780" s="438"/>
      <c r="L780" s="447"/>
      <c r="M780" s="888">
        <f>G772*$G780</f>
        <v>0</v>
      </c>
      <c r="N780" s="889" t="s">
        <v>594</v>
      </c>
      <c r="O780" s="889" t="s">
        <v>597</v>
      </c>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IF(AND('341-CT'!$H$9=H780,OR(LEFT(N780,3)=$W$7,LEFT(O780,3)=$W$7)),"x","")</f>
        <v/>
      </c>
      <c r="X780" s="85" t="str">
        <f>IF(OR(TH!N780=TH!$X$7,O780=TH!$X$7),"x","")</f>
        <v/>
      </c>
      <c r="Y780" s="85" t="str">
        <f>IF(AND(OR(N780="131",O780="131"),H780='131-CT'!$H$9),"x","")</f>
        <v/>
      </c>
      <c r="Z780" s="85"/>
      <c r="AA780" s="85" t="str">
        <f>IF(AND(MONTH(E780)='IN-NX'!$J$5,'IN-NX'!$D$7=D780),"x","")</f>
        <v/>
      </c>
      <c r="AB780" s="85" t="str">
        <f>IF(AND(OR(LEFT(TH!N780,2)="15",LEFT(TH!O780,2)="15"),'152-CT'!$J$8=TH!F780),"x","")</f>
        <v/>
      </c>
      <c r="AC780" s="85" t="str">
        <f>IF(AND(OR(LEFT(TH!N780,2)="15",LEFT(TH!O780,2)="15"),TK!$E$7=TH!F780),"x","")</f>
        <v/>
      </c>
      <c r="AD780" s="85" t="str">
        <f>IF(AND(N780="1521",MONTH(C780)='BK-NL'!$M$11),"x","")</f>
        <v/>
      </c>
    </row>
    <row r="781" spans="1:30" s="348" customFormat="1" ht="15.75" customHeight="1">
      <c r="A781" s="343" t="str">
        <f>IF(B781&lt;&gt;"",IF(AND(B781='IN-TC'!$S$4,OR(TH!N781="1111",TH!O781="1111")),TH!D781,""),"")</f>
        <v/>
      </c>
      <c r="B781" s="63">
        <f t="shared" si="62"/>
        <v>6</v>
      </c>
      <c r="C781" s="882">
        <v>42551</v>
      </c>
      <c r="D781" s="882" t="s">
        <v>585</v>
      </c>
      <c r="E781" s="882">
        <f t="shared" si="77"/>
        <v>42551</v>
      </c>
      <c r="F781" s="883" t="s">
        <v>1356</v>
      </c>
      <c r="G781" s="278"/>
      <c r="H781" s="322"/>
      <c r="I781" s="447"/>
      <c r="J781" s="447"/>
      <c r="K781" s="438"/>
      <c r="L781" s="447"/>
      <c r="M781" s="888">
        <f>G773*$G780</f>
        <v>0</v>
      </c>
      <c r="N781" s="889" t="s">
        <v>283</v>
      </c>
      <c r="O781" s="889" t="s">
        <v>597</v>
      </c>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IF(AND('341-CT'!$H$9=H781,OR(LEFT(N781,3)=$W$7,LEFT(O781,3)=$W$7)),"x","")</f>
        <v/>
      </c>
      <c r="X781" s="85" t="str">
        <f>IF(OR(TH!N781=TH!$X$7,O781=TH!$X$7),"x","")</f>
        <v/>
      </c>
      <c r="Y781" s="85" t="str">
        <f>IF(AND(OR(N781="131",O781="131"),H781='131-CT'!$H$9),"x","")</f>
        <v/>
      </c>
      <c r="Z781" s="85"/>
      <c r="AA781" s="85" t="str">
        <f>IF(AND(MONTH(E781)='IN-NX'!$J$5,'IN-NX'!$D$7=D781),"x","")</f>
        <v/>
      </c>
      <c r="AB781" s="85" t="str">
        <f>IF(AND(OR(LEFT(TH!N781,2)="15",LEFT(TH!O781,2)="15"),'152-CT'!$J$8=TH!F781),"x","")</f>
        <v/>
      </c>
      <c r="AC781" s="85" t="str">
        <f>IF(AND(OR(LEFT(TH!N781,2)="15",LEFT(TH!O781,2)="15"),TK!$E$7=TH!F781),"x","")</f>
        <v/>
      </c>
      <c r="AD781" s="85" t="str">
        <f>IF(AND(N781="1521",MONTH(C781)='BK-NL'!$M$11),"x","")</f>
        <v/>
      </c>
    </row>
    <row r="782" spans="1:30" s="348" customFormat="1" ht="15.75" customHeight="1">
      <c r="A782" s="343" t="str">
        <f>IF(B782&lt;&gt;"",IF(AND(B782='IN-TC'!$S$4,OR(TH!N782="1111",TH!O782="1111")),TH!D782,""),"")</f>
        <v/>
      </c>
      <c r="B782" s="63">
        <f t="shared" si="62"/>
        <v>6</v>
      </c>
      <c r="C782" s="882">
        <v>42551</v>
      </c>
      <c r="D782" s="882" t="s">
        <v>585</v>
      </c>
      <c r="E782" s="882">
        <f t="shared" si="77"/>
        <v>42551</v>
      </c>
      <c r="F782" s="883" t="s">
        <v>1357</v>
      </c>
      <c r="G782" s="990" t="s">
        <v>590</v>
      </c>
      <c r="H782" s="322"/>
      <c r="I782" s="447"/>
      <c r="J782" s="447"/>
      <c r="K782" s="438"/>
      <c r="L782" s="447"/>
      <c r="M782" s="888">
        <f>G772*$G782</f>
        <v>0</v>
      </c>
      <c r="N782" s="889" t="s">
        <v>595</v>
      </c>
      <c r="O782" s="889" t="s">
        <v>598</v>
      </c>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IF(AND('341-CT'!$H$9=H782,OR(LEFT(N782,3)=$W$7,LEFT(O782,3)=$W$7)),"x","")</f>
        <v/>
      </c>
      <c r="X782" s="85" t="str">
        <f>IF(OR(TH!N782=TH!$X$7,O782=TH!$X$7),"x","")</f>
        <v/>
      </c>
      <c r="Y782" s="85" t="str">
        <f>IF(AND(OR(N782="131",O782="131"),H782='131-CT'!$H$9),"x","")</f>
        <v/>
      </c>
      <c r="Z782" s="85"/>
      <c r="AA782" s="85" t="str">
        <f>IF(AND(MONTH(E782)='IN-NX'!$J$5,'IN-NX'!$D$7=D782),"x","")</f>
        <v/>
      </c>
      <c r="AB782" s="85" t="str">
        <f>IF(AND(OR(LEFT(TH!N782,2)="15",LEFT(TH!O782,2)="15"),'152-CT'!$J$8=TH!F782),"x","")</f>
        <v/>
      </c>
      <c r="AC782" s="85" t="str">
        <f>IF(AND(OR(LEFT(TH!N782,2)="15",LEFT(TH!O782,2)="15"),TK!$E$7=TH!F782),"x","")</f>
        <v/>
      </c>
      <c r="AD782" s="85" t="str">
        <f>IF(AND(N782="1521",MONTH(C782)='BK-NL'!$M$11),"x","")</f>
        <v/>
      </c>
    </row>
    <row r="783" spans="1:30" s="348" customFormat="1" ht="15.75" customHeight="1">
      <c r="A783" s="343" t="str">
        <f>IF(B783&lt;&gt;"",IF(AND(B783='IN-TC'!$S$4,OR(TH!N783="1111",TH!O783="1111")),TH!D783,""),"")</f>
        <v/>
      </c>
      <c r="B783" s="63">
        <f t="shared" si="62"/>
        <v>6</v>
      </c>
      <c r="C783" s="882">
        <v>42551</v>
      </c>
      <c r="D783" s="882" t="s">
        <v>585</v>
      </c>
      <c r="E783" s="882">
        <f t="shared" si="77"/>
        <v>42551</v>
      </c>
      <c r="F783" s="883" t="s">
        <v>1358</v>
      </c>
      <c r="G783" s="278"/>
      <c r="H783" s="322"/>
      <c r="I783" s="447"/>
      <c r="J783" s="447"/>
      <c r="K783" s="438"/>
      <c r="L783" s="447"/>
      <c r="M783" s="888">
        <f>G773*$G782</f>
        <v>0</v>
      </c>
      <c r="N783" s="889" t="s">
        <v>595</v>
      </c>
      <c r="O783" s="889" t="s">
        <v>598</v>
      </c>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IF(AND('341-CT'!$H$9=H783,OR(LEFT(N783,3)=$W$7,LEFT(O783,3)=$W$7)),"x","")</f>
        <v/>
      </c>
      <c r="X783" s="85" t="str">
        <f>IF(OR(TH!N783=TH!$X$7,O783=TH!$X$7),"x","")</f>
        <v/>
      </c>
      <c r="Y783" s="85" t="str">
        <f>IF(AND(OR(N783="131",O783="131"),H783='131-CT'!$H$9),"x","")</f>
        <v/>
      </c>
      <c r="Z783" s="85"/>
      <c r="AA783" s="85" t="str">
        <f>IF(AND(MONTH(E783)='IN-NX'!$J$5,'IN-NX'!$D$7=D783),"x","")</f>
        <v/>
      </c>
      <c r="AB783" s="85" t="str">
        <f>IF(AND(OR(LEFT(TH!N783,2)="15",LEFT(TH!O783,2)="15"),'152-CT'!$J$8=TH!F783),"x","")</f>
        <v/>
      </c>
      <c r="AC783" s="85" t="str">
        <f>IF(AND(OR(LEFT(TH!N783,2)="15",LEFT(TH!O783,2)="15"),TK!$E$7=TH!F783),"x","")</f>
        <v/>
      </c>
      <c r="AD783" s="85" t="str">
        <f>IF(AND(N783="1521",MONTH(C783)='BK-NL'!$M$11),"x","")</f>
        <v/>
      </c>
    </row>
    <row r="784" spans="1:30" s="348" customFormat="1" ht="15.75" customHeight="1">
      <c r="A784" s="343" t="str">
        <f>IF(B784&lt;&gt;"",IF(AND(B784='IN-TC'!$S$4,OR(TH!N784="1111",TH!O784="1111")),TH!D784,""),"")</f>
        <v/>
      </c>
      <c r="B784" s="63">
        <f t="shared" si="62"/>
        <v>6</v>
      </c>
      <c r="C784" s="882">
        <v>42551</v>
      </c>
      <c r="D784" s="882" t="s">
        <v>585</v>
      </c>
      <c r="E784" s="882">
        <f t="shared" si="77"/>
        <v>42551</v>
      </c>
      <c r="F784" s="883" t="s">
        <v>1359</v>
      </c>
      <c r="G784" s="990" t="s">
        <v>590</v>
      </c>
      <c r="H784" s="1150"/>
      <c r="I784" s="448"/>
      <c r="J784" s="448"/>
      <c r="K784" s="439"/>
      <c r="L784" s="448"/>
      <c r="M784" s="888">
        <f>M782</f>
        <v>0</v>
      </c>
      <c r="N784" s="889" t="s">
        <v>594</v>
      </c>
      <c r="O784" s="889" t="s">
        <v>598</v>
      </c>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IF(AND('341-CT'!$H$9=H784,OR(LEFT(N784,3)=$W$7,LEFT(O784,3)=$W$7)),"x","")</f>
        <v/>
      </c>
      <c r="X784" s="85" t="str">
        <f>IF(OR(TH!N784=TH!$X$7,O784=TH!$X$7),"x","")</f>
        <v/>
      </c>
      <c r="Y784" s="85" t="str">
        <f>IF(AND(OR(N784="131",O784="131"),H784='131-CT'!$H$9),"x","")</f>
        <v/>
      </c>
      <c r="Z784" s="85"/>
      <c r="AA784" s="85" t="str">
        <f>IF(AND(MONTH(E784)='IN-NX'!$J$5,'IN-NX'!$D$7=D784),"x","")</f>
        <v/>
      </c>
      <c r="AB784" s="85" t="str">
        <f>IF(AND(OR(LEFT(TH!N784,2)="15",LEFT(TH!O784,2)="15"),'152-CT'!$J$8=TH!F784),"x","")</f>
        <v/>
      </c>
      <c r="AC784" s="85" t="str">
        <f>IF(AND(OR(LEFT(TH!N784,2)="15",LEFT(TH!O784,2)="15"),TK!$E$7=TH!F784),"x","")</f>
        <v/>
      </c>
      <c r="AD784" s="85" t="str">
        <f>IF(AND(N784="1521",MONTH(C784)='BK-NL'!$M$11),"x","")</f>
        <v/>
      </c>
    </row>
    <row r="785" spans="1:30" s="348" customFormat="1" ht="15.75" customHeight="1">
      <c r="A785" s="343" t="str">
        <f>IF(B785&lt;&gt;"",IF(AND(B785='IN-TC'!$S$4,OR(TH!N785="1111",TH!O785="1111")),TH!D785,""),"")</f>
        <v/>
      </c>
      <c r="B785" s="63">
        <f t="shared" si="62"/>
        <v>6</v>
      </c>
      <c r="C785" s="882">
        <v>42551</v>
      </c>
      <c r="D785" s="882" t="s">
        <v>585</v>
      </c>
      <c r="E785" s="882">
        <f t="shared" si="77"/>
        <v>42551</v>
      </c>
      <c r="F785" s="883" t="s">
        <v>1360</v>
      </c>
      <c r="G785" s="278"/>
      <c r="H785" s="322"/>
      <c r="I785" s="447"/>
      <c r="J785" s="447"/>
      <c r="K785" s="438"/>
      <c r="L785" s="447"/>
      <c r="M785" s="888">
        <f>M783</f>
        <v>0</v>
      </c>
      <c r="N785" s="889" t="s">
        <v>283</v>
      </c>
      <c r="O785" s="889" t="s">
        <v>598</v>
      </c>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IF(AND('341-CT'!$H$9=H785,OR(LEFT(N785,3)=$W$7,LEFT(O785,3)=$W$7)),"x","")</f>
        <v/>
      </c>
      <c r="X785" s="85" t="str">
        <f>IF(OR(TH!N785=TH!$X$7,O785=TH!$X$7),"x","")</f>
        <v/>
      </c>
      <c r="Y785" s="85" t="str">
        <f>IF(AND(OR(N785="131",O785="131"),H785='131-CT'!$H$9),"x","")</f>
        <v/>
      </c>
      <c r="Z785" s="85"/>
      <c r="AA785" s="85" t="str">
        <f>IF(AND(MONTH(E785)='IN-NX'!$J$5,'IN-NX'!$D$7=D785),"x","")</f>
        <v/>
      </c>
      <c r="AB785" s="85" t="str">
        <f>IF(AND(OR(LEFT(TH!N785,2)="15",LEFT(TH!O785,2)="15"),'152-CT'!$J$8=TH!F785),"x","")</f>
        <v/>
      </c>
      <c r="AC785" s="85" t="str">
        <f>IF(AND(OR(LEFT(TH!N785,2)="15",LEFT(TH!O785,2)="15"),TK!$E$7=TH!F785),"x","")</f>
        <v/>
      </c>
      <c r="AD785" s="85" t="str">
        <f>IF(AND(N785="1521",MONTH(C785)='BK-NL'!$M$11),"x","")</f>
        <v/>
      </c>
    </row>
    <row r="786" spans="1:30" s="1185" customFormat="1" ht="15.75" customHeight="1">
      <c r="A786" s="1184" t="str">
        <f>IF(B786&lt;&gt;"",IF(AND(B786='IN-TC'!$S$4,OR(TH!N786="1111",TH!O786="1111")),TH!D786,""),"")</f>
        <v/>
      </c>
      <c r="B786" s="1152">
        <f>IF(C786&lt;&gt;"",MONTH(C786),"")</f>
        <v>4</v>
      </c>
      <c r="C786" s="876">
        <v>42473</v>
      </c>
      <c r="D786" s="876" t="s">
        <v>599</v>
      </c>
      <c r="E786" s="876">
        <f>C786</f>
        <v>42473</v>
      </c>
      <c r="F786" s="877" t="s">
        <v>454</v>
      </c>
      <c r="G786" s="993" t="s">
        <v>1391</v>
      </c>
      <c r="H786" s="985" t="s">
        <v>1392</v>
      </c>
      <c r="I786" s="986">
        <v>8800</v>
      </c>
      <c r="J786" s="988">
        <v>8.6999999999999993</v>
      </c>
      <c r="K786" s="987">
        <f>I786*J786</f>
        <v>76560</v>
      </c>
      <c r="L786" s="986">
        <v>22250</v>
      </c>
      <c r="M786" s="1154">
        <f>ROUND(K786*L786,0)</f>
        <v>1703460000</v>
      </c>
      <c r="N786" s="884" t="s">
        <v>591</v>
      </c>
      <c r="O786" s="884" t="s">
        <v>299</v>
      </c>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IF(AND('341-CT'!$H$9=H786,OR(LEFT(N786,3)=$W$7,LEFT(O786,3)=$W$7)),"x","")</f>
        <v/>
      </c>
      <c r="X786" s="85" t="str">
        <f>IF(OR(TH!N786=TH!$X$7,O786=TH!$X$7),"x","")</f>
        <v/>
      </c>
      <c r="Y786" s="85" t="str">
        <f>IF(AND(OR(N786="131",O786="131"),H786='131-CT'!$H$9),"x","")</f>
        <v/>
      </c>
      <c r="Z786" s="85"/>
      <c r="AA786" s="85" t="str">
        <f>IF(AND(MONTH(E786)='IN-NX'!$J$5,'IN-NX'!$D$7=D786),"x","")</f>
        <v/>
      </c>
      <c r="AB786" s="85" t="str">
        <f>IF(AND(OR(LEFT(TH!N786,2)="15",LEFT(TH!O786,2)="15"),'152-CT'!$J$8=TH!F786),"x","")</f>
        <v/>
      </c>
      <c r="AC786" s="85" t="str">
        <f>IF(AND(OR(LEFT(TH!N786,2)="15",LEFT(TH!O786,2)="15"),TK!$E$7=TH!F786),"x","")</f>
        <v/>
      </c>
      <c r="AD786" s="85" t="str">
        <f>IF(AND(N786="1521",MONTH(C786)='BK-NL'!$M$11),"x","")</f>
        <v/>
      </c>
    </row>
    <row r="787" spans="1:30" s="348" customFormat="1" ht="15.75" customHeight="1">
      <c r="A787" s="343" t="str">
        <f>IF(B787&lt;&gt;"",IF(AND(B787='IN-TC'!$S$4,OR(TH!N787="1111",TH!O787="1111")),TH!D787,""),"")</f>
        <v/>
      </c>
      <c r="B787" s="63">
        <f t="shared" ref="B787:B790" si="78">IF(C787&lt;&gt;"",MONTH(C787),"")</f>
        <v>4</v>
      </c>
      <c r="C787" s="81">
        <v>42461</v>
      </c>
      <c r="D787" s="81" t="s">
        <v>599</v>
      </c>
      <c r="E787" s="1158">
        <f t="shared" ref="E787:E790" si="79">C787</f>
        <v>42461</v>
      </c>
      <c r="F787" s="82" t="s">
        <v>454</v>
      </c>
      <c r="G787" s="82"/>
      <c r="H787" s="83" t="s">
        <v>701</v>
      </c>
      <c r="I787" s="445">
        <v>5000</v>
      </c>
      <c r="J787" s="445"/>
      <c r="K787" s="436"/>
      <c r="L787" s="445"/>
      <c r="M787" s="84">
        <f>ROUND(I787*J787,0)</f>
        <v>0</v>
      </c>
      <c r="N787" s="85" t="s">
        <v>283</v>
      </c>
      <c r="O787" s="85" t="s">
        <v>285</v>
      </c>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IF(AND('341-CT'!$H$9=H787,OR(LEFT(N787,3)=$W$7,LEFT(O787,3)=$W$7)),"x","")</f>
        <v/>
      </c>
      <c r="X787" s="85" t="str">
        <f>IF(OR(TH!N787=TH!$X$7,O787=TH!$X$7),"x","")</f>
        <v/>
      </c>
      <c r="Y787" s="85" t="str">
        <f>IF(AND(OR(N787="131",O787="131"),H787='131-CT'!$H$9),"x","")</f>
        <v/>
      </c>
      <c r="Z787" s="85"/>
      <c r="AA787" s="85" t="str">
        <f>IF(AND(MONTH(E787)='IN-NX'!$J$5,'IN-NX'!$D$7=D787),"x","")</f>
        <v/>
      </c>
      <c r="AB787" s="85" t="str">
        <f>IF(AND(OR(LEFT(TH!N787,2)="15",LEFT(TH!O787,2)="15"),'152-CT'!$J$8=TH!F787),"x","")</f>
        <v/>
      </c>
      <c r="AC787" s="85" t="str">
        <f>IF(AND(OR(LEFT(TH!N787,2)="15",LEFT(TH!O787,2)="15"),TK!$E$7=TH!F787),"x","")</f>
        <v/>
      </c>
      <c r="AD787" s="85" t="str">
        <f>IF(AND(N787="1521",MONTH(C787)='BK-NL'!$M$11),"x","")</f>
        <v/>
      </c>
    </row>
    <row r="788" spans="1:30" ht="15.75" customHeight="1">
      <c r="A788" s="343" t="str">
        <f>IF(B788&lt;&gt;"",IF(AND(B788='IN-TC'!$S$4,OR(TH!N788="1111",TH!O788="1111")),TH!D788,""),"")</f>
        <v/>
      </c>
      <c r="B788" s="63">
        <f t="shared" si="78"/>
        <v>4</v>
      </c>
      <c r="C788" s="81">
        <v>42473</v>
      </c>
      <c r="D788" s="81" t="s">
        <v>703</v>
      </c>
      <c r="E788" s="1158">
        <f t="shared" si="79"/>
        <v>42473</v>
      </c>
      <c r="F788" s="82" t="s">
        <v>454</v>
      </c>
      <c r="G788" s="82"/>
      <c r="H788" s="83" t="s">
        <v>701</v>
      </c>
      <c r="I788" s="445">
        <v>5000</v>
      </c>
      <c r="J788" s="445"/>
      <c r="K788" s="436"/>
      <c r="L788" s="445"/>
      <c r="M788" s="84">
        <f t="shared" ref="M788:M790" si="80">ROUND(I788*J788,0)</f>
        <v>0</v>
      </c>
      <c r="N788" s="85" t="s">
        <v>285</v>
      </c>
      <c r="O788" s="85" t="s">
        <v>283</v>
      </c>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IF(AND('341-CT'!$H$9=H788,OR(LEFT(N788,3)=$W$7,LEFT(O788,3)=$W$7)),"x","")</f>
        <v/>
      </c>
      <c r="X788" s="85" t="str">
        <f>IF(OR(TH!N788=TH!$X$7,O788=TH!$X$7),"x","")</f>
        <v/>
      </c>
      <c r="Y788" s="85" t="str">
        <f>IF(AND(OR(N788="131",O788="131"),H788='131-CT'!$H$9),"x","")</f>
        <v/>
      </c>
      <c r="Z788" s="85"/>
      <c r="AA788" s="85" t="str">
        <f>IF(AND(MONTH(E788)='IN-NX'!$J$5,'IN-NX'!$D$7=D788),"x","")</f>
        <v/>
      </c>
      <c r="AB788" s="85" t="str">
        <f>IF(AND(OR(LEFT(TH!N788,2)="15",LEFT(TH!O788,2)="15"),'152-CT'!$J$8=TH!F788),"x","")</f>
        <v/>
      </c>
      <c r="AC788" s="85" t="str">
        <f>IF(AND(OR(LEFT(TH!N788,2)="15",LEFT(TH!O788,2)="15"),TK!$E$7=TH!F788),"x","")</f>
        <v/>
      </c>
      <c r="AD788" s="85" t="str">
        <f>IF(AND(N788="1521",MONTH(C788)='BK-NL'!$M$11),"x","")</f>
        <v/>
      </c>
    </row>
    <row r="789" spans="1:30" ht="15.75" customHeight="1">
      <c r="A789" s="343" t="str">
        <f>IF(B789&lt;&gt;"",IF(AND(B789='IN-TC'!$S$4,OR(TH!N789="1111",TH!O789="1111")),TH!D789,""),"")</f>
        <v/>
      </c>
      <c r="B789" s="63">
        <f t="shared" si="78"/>
        <v>4</v>
      </c>
      <c r="C789" s="81">
        <v>42473</v>
      </c>
      <c r="D789" s="81" t="s">
        <v>703</v>
      </c>
      <c r="E789" s="1158">
        <f t="shared" si="79"/>
        <v>42473</v>
      </c>
      <c r="F789" s="82" t="s">
        <v>454</v>
      </c>
      <c r="G789" s="82"/>
      <c r="H789" s="83" t="s">
        <v>701</v>
      </c>
      <c r="I789" s="445">
        <v>3800</v>
      </c>
      <c r="J789" s="445"/>
      <c r="K789" s="436"/>
      <c r="L789" s="445"/>
      <c r="M789" s="84">
        <f t="shared" si="80"/>
        <v>0</v>
      </c>
      <c r="N789" s="85" t="s">
        <v>285</v>
      </c>
      <c r="O789" s="85" t="s">
        <v>283</v>
      </c>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IF(AND('341-CT'!$H$9=H789,OR(LEFT(N789,3)=$W$7,LEFT(O789,3)=$W$7)),"x","")</f>
        <v/>
      </c>
      <c r="X789" s="85" t="str">
        <f>IF(OR(TH!N789=TH!$X$7,O789=TH!$X$7),"x","")</f>
        <v/>
      </c>
      <c r="Y789" s="85" t="str">
        <f>IF(AND(OR(N789="131",O789="131"),H789='131-CT'!$H$9),"x","")</f>
        <v/>
      </c>
      <c r="Z789" s="85"/>
      <c r="AA789" s="85" t="str">
        <f>IF(AND(MONTH(E789)='IN-NX'!$J$5,'IN-NX'!$D$7=D789),"x","")</f>
        <v/>
      </c>
      <c r="AB789" s="85" t="str">
        <f>IF(AND(OR(LEFT(TH!N789,2)="15",LEFT(TH!O789,2)="15"),'152-CT'!$J$8=TH!F789),"x","")</f>
        <v/>
      </c>
      <c r="AC789" s="85" t="str">
        <f>IF(AND(OR(LEFT(TH!N789,2)="15",LEFT(TH!O789,2)="15"),TK!$E$7=TH!F789),"x","")</f>
        <v/>
      </c>
      <c r="AD789" s="85" t="str">
        <f>IF(AND(N789="1521",MONTH(C789)='BK-NL'!$M$11),"x","")</f>
        <v/>
      </c>
    </row>
    <row r="790" spans="1:30" ht="15.75" customHeight="1">
      <c r="A790" s="343" t="str">
        <f>IF(B790&lt;&gt;"",IF(AND(B790='IN-TC'!$S$4,OR(TH!N790="1111",TH!O790="1111")),TH!D790,""),"")</f>
        <v/>
      </c>
      <c r="B790" s="63">
        <f t="shared" si="78"/>
        <v>4</v>
      </c>
      <c r="C790" s="81">
        <v>42473</v>
      </c>
      <c r="D790" s="81" t="s">
        <v>600</v>
      </c>
      <c r="E790" s="1158">
        <f t="shared" si="79"/>
        <v>42473</v>
      </c>
      <c r="F790" s="82" t="s">
        <v>454</v>
      </c>
      <c r="G790" s="82"/>
      <c r="H790" s="83" t="s">
        <v>1392</v>
      </c>
      <c r="I790" s="445">
        <v>8800</v>
      </c>
      <c r="J790" s="445"/>
      <c r="K790" s="436"/>
      <c r="L790" s="445"/>
      <c r="M790" s="84">
        <f t="shared" si="80"/>
        <v>0</v>
      </c>
      <c r="N790" s="85" t="s">
        <v>295</v>
      </c>
      <c r="O790" s="85" t="s">
        <v>285</v>
      </c>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IF(AND('341-CT'!$H$9=H790,OR(LEFT(N790,3)=$W$7,LEFT(O790,3)=$W$7)),"x","")</f>
        <v/>
      </c>
      <c r="X790" s="85" t="str">
        <f>IF(OR(TH!N790=TH!$X$7,O790=TH!$X$7),"x","")</f>
        <v/>
      </c>
      <c r="Y790" s="85" t="str">
        <f>IF(AND(OR(N790="131",O790="131"),H790='131-CT'!$H$9),"x","")</f>
        <v/>
      </c>
      <c r="Z790" s="85"/>
      <c r="AA790" s="85" t="str">
        <f>IF(AND(MONTH(E790)='IN-NX'!$J$5,'IN-NX'!$D$7=D790),"x","")</f>
        <v/>
      </c>
      <c r="AB790" s="85" t="str">
        <f>IF(AND(OR(LEFT(TH!N790,2)="15",LEFT(TH!O790,2)="15"),'152-CT'!$J$8=TH!F790),"x","")</f>
        <v/>
      </c>
      <c r="AC790" s="85" t="str">
        <f>IF(AND(OR(LEFT(TH!N790,2)="15",LEFT(TH!O790,2)="15"),TK!$E$7=TH!F790),"x","")</f>
        <v/>
      </c>
      <c r="AD790" s="85" t="str">
        <f>IF(AND(N790="1521",MONTH(C790)='BK-NL'!$M$11),"x","")</f>
        <v/>
      </c>
    </row>
    <row r="791" spans="1:30" ht="15.75" customHeight="1">
      <c r="A791" s="343" t="str">
        <f>IF(B791&lt;&gt;"",IF(AND(B791='IN-TC'!$S$4,OR(TH!N791="1111",TH!O791="1111")),TH!D791,""),"")</f>
        <v/>
      </c>
      <c r="B791" s="63" t="str">
        <f t="shared" ref="B791:B798" si="81">IF(C791&lt;&gt;"",MONTH(C791),"")</f>
        <v/>
      </c>
      <c r="C791" s="64"/>
      <c r="D791" s="64"/>
      <c r="E791" s="64"/>
      <c r="F791" s="67"/>
      <c r="G791" s="67"/>
      <c r="H791" s="74"/>
      <c r="I791" s="447"/>
      <c r="J791" s="447"/>
      <c r="K791" s="438"/>
      <c r="L791" s="447"/>
      <c r="M791" s="65"/>
      <c r="N791" s="66"/>
      <c r="O791" s="66"/>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IF(AND('341-CT'!$H$9=H791,OR(LEFT(N791,3)=$W$7,LEFT(O791,3)=$W$7)),"x","")</f>
        <v/>
      </c>
      <c r="X791" s="85" t="str">
        <f>IF(OR(TH!N791=TH!$X$7,O791=TH!$X$7),"x","")</f>
        <v/>
      </c>
      <c r="Y791" s="85" t="str">
        <f>IF(AND(OR(N791="131",O791="131"),H791='131-CT'!$H$9),"x","")</f>
        <v/>
      </c>
      <c r="Z791" s="85"/>
      <c r="AA791" s="85" t="str">
        <f>IF(AND(MONTH(E791)='IN-NX'!$J$5,'IN-NX'!$D$7=D791),"x","")</f>
        <v/>
      </c>
      <c r="AB791" s="85" t="str">
        <f>IF(AND(OR(LEFT(TH!N791,2)="15",LEFT(TH!O791,2)="15"),'152-CT'!$J$8=TH!F791),"x","")</f>
        <v/>
      </c>
      <c r="AC791" s="85" t="str">
        <f>IF(AND(OR(LEFT(TH!N791,2)="15",LEFT(TH!O791,2)="15"),TK!$E$7=TH!F791),"x","")</f>
        <v/>
      </c>
      <c r="AD791" s="85" t="str">
        <f>IF(AND(N791="1521",MONTH(C791)='BK-NL'!$M$11),"x","")</f>
        <v/>
      </c>
    </row>
    <row r="792" spans="1:30" ht="15.75" customHeight="1">
      <c r="A792" s="343" t="str">
        <f>IF(B792&lt;&gt;"",IF(AND(B792='IN-TC'!$S$4,OR(TH!N792="1111",TH!O792="1111")),TH!D792,""),"")</f>
        <v/>
      </c>
      <c r="B792" s="63" t="str">
        <f t="shared" si="81"/>
        <v/>
      </c>
      <c r="C792" s="64"/>
      <c r="D792" s="64"/>
      <c r="E792" s="64"/>
      <c r="F792" s="67"/>
      <c r="G792" s="67"/>
      <c r="H792" s="74"/>
      <c r="I792" s="447"/>
      <c r="J792" s="447"/>
      <c r="K792" s="438"/>
      <c r="L792" s="447"/>
      <c r="M792" s="65"/>
      <c r="N792" s="66"/>
      <c r="O792" s="66"/>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IF(AND('341-CT'!$H$9=H792,OR(LEFT(N792,3)=$W$7,LEFT(O792,3)=$W$7)),"x","")</f>
        <v/>
      </c>
      <c r="X792" s="85" t="str">
        <f>IF(OR(TH!N792=TH!$X$7,O792=TH!$X$7),"x","")</f>
        <v/>
      </c>
      <c r="Y792" s="85" t="str">
        <f>IF(AND(OR(N792="131",O792="131"),H792='131-CT'!$H$9),"x","")</f>
        <v/>
      </c>
      <c r="Z792" s="85"/>
      <c r="AA792" s="85" t="str">
        <f>IF(AND(MONTH(E792)='IN-NX'!$J$5,'IN-NX'!$D$7=D792),"x","")</f>
        <v/>
      </c>
      <c r="AB792" s="85" t="str">
        <f>IF(AND(OR(LEFT(TH!N792,2)="15",LEFT(TH!O792,2)="15"),'152-CT'!$J$8=TH!F792),"x","")</f>
        <v/>
      </c>
      <c r="AC792" s="85" t="str">
        <f>IF(AND(OR(LEFT(TH!N792,2)="15",LEFT(TH!O792,2)="15"),TK!$E$7=TH!F792),"x","")</f>
        <v/>
      </c>
      <c r="AD792" s="85" t="str">
        <f>IF(AND(N792="1521",MONTH(C792)='BK-NL'!$M$11),"x","")</f>
        <v/>
      </c>
    </row>
    <row r="793" spans="1:30" ht="15.75" customHeight="1">
      <c r="A793" s="343" t="str">
        <f>IF(B793&lt;&gt;"",IF(AND(B793='IN-TC'!$S$4,OR(TH!N793="1111",TH!O793="1111")),TH!D793,""),"")</f>
        <v/>
      </c>
      <c r="B793" s="63" t="str">
        <f t="shared" si="81"/>
        <v/>
      </c>
      <c r="C793" s="64"/>
      <c r="D793" s="64"/>
      <c r="E793" s="64"/>
      <c r="F793" s="67"/>
      <c r="G793" s="67"/>
      <c r="H793" s="74"/>
      <c r="I793" s="447"/>
      <c r="J793" s="447"/>
      <c r="K793" s="438"/>
      <c r="L793" s="447"/>
      <c r="M793" s="65"/>
      <c r="N793" s="66"/>
      <c r="O793" s="66"/>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IF(AND('341-CT'!$H$9=H793,OR(LEFT(N793,3)=$W$7,LEFT(O793,3)=$W$7)),"x","")</f>
        <v/>
      </c>
      <c r="X793" s="85" t="str">
        <f>IF(OR(TH!N793=TH!$X$7,O793=TH!$X$7),"x","")</f>
        <v/>
      </c>
      <c r="Y793" s="85" t="str">
        <f>IF(AND(OR(N793="131",O793="131"),H793='131-CT'!$H$9),"x","")</f>
        <v/>
      </c>
      <c r="Z793" s="85"/>
      <c r="AA793" s="85" t="str">
        <f>IF(AND(MONTH(E793)='IN-NX'!$J$5,'IN-NX'!$D$7=D793),"x","")</f>
        <v/>
      </c>
      <c r="AB793" s="85" t="str">
        <f>IF(AND(OR(LEFT(TH!N793,2)="15",LEFT(TH!O793,2)="15"),'152-CT'!$J$8=TH!F793),"x","")</f>
        <v/>
      </c>
      <c r="AC793" s="85" t="str">
        <f>IF(AND(OR(LEFT(TH!N793,2)="15",LEFT(TH!O793,2)="15"),TK!$E$7=TH!F793),"x","")</f>
        <v/>
      </c>
      <c r="AD793" s="85" t="str">
        <f>IF(AND(N793="1521",MONTH(C793)='BK-NL'!$M$11),"x","")</f>
        <v/>
      </c>
    </row>
    <row r="794" spans="1:30" ht="15.75" customHeight="1">
      <c r="A794" s="343" t="str">
        <f>IF(B794&lt;&gt;"",IF(AND(B794='IN-TC'!$S$4,OR(TH!N794="1111",TH!O794="1111")),TH!D794,""),"")</f>
        <v/>
      </c>
      <c r="B794" s="63" t="str">
        <f t="shared" si="81"/>
        <v/>
      </c>
      <c r="C794" s="64"/>
      <c r="D794" s="64"/>
      <c r="E794" s="64"/>
      <c r="F794" s="67"/>
      <c r="G794" s="67"/>
      <c r="H794" s="74"/>
      <c r="I794" s="447"/>
      <c r="J794" s="447"/>
      <c r="K794" s="438"/>
      <c r="L794" s="447"/>
      <c r="M794" s="65"/>
      <c r="N794" s="66"/>
      <c r="O794" s="66"/>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IF(AND('341-CT'!$H$9=H794,OR(LEFT(N794,3)=$W$7,LEFT(O794,3)=$W$7)),"x","")</f>
        <v/>
      </c>
      <c r="X794" s="85" t="str">
        <f>IF(OR(TH!N794=TH!$X$7,O794=TH!$X$7),"x","")</f>
        <v/>
      </c>
      <c r="Y794" s="85" t="str">
        <f>IF(AND(OR(N794="131",O794="131"),H794='131-CT'!$H$9),"x","")</f>
        <v/>
      </c>
      <c r="Z794" s="85"/>
      <c r="AA794" s="85" t="str">
        <f>IF(AND(MONTH(E794)='IN-NX'!$J$5,'IN-NX'!$D$7=D794),"x","")</f>
        <v/>
      </c>
      <c r="AB794" s="85" t="str">
        <f>IF(AND(OR(LEFT(TH!N794,2)="15",LEFT(TH!O794,2)="15"),'152-CT'!$J$8=TH!F794),"x","")</f>
        <v/>
      </c>
      <c r="AC794" s="85" t="str">
        <f>IF(AND(OR(LEFT(TH!N794,2)="15",LEFT(TH!O794,2)="15"),TK!$E$7=TH!F794),"x","")</f>
        <v/>
      </c>
      <c r="AD794" s="85" t="str">
        <f>IF(AND(N794="1521",MONTH(C794)='BK-NL'!$M$11),"x","")</f>
        <v/>
      </c>
    </row>
    <row r="795" spans="1:30" ht="15.75" customHeight="1">
      <c r="A795" s="343" t="str">
        <f>IF(B795&lt;&gt;"",IF(AND(B795='IN-TC'!$S$4,OR(TH!N795="1111",TH!O795="1111")),TH!D795,""),"")</f>
        <v/>
      </c>
      <c r="B795" s="63" t="str">
        <f t="shared" si="81"/>
        <v/>
      </c>
      <c r="C795" s="64"/>
      <c r="D795" s="64"/>
      <c r="E795" s="64"/>
      <c r="F795" s="67"/>
      <c r="G795" s="67"/>
      <c r="H795" s="74"/>
      <c r="I795" s="447"/>
      <c r="J795" s="447"/>
      <c r="K795" s="438"/>
      <c r="L795" s="447"/>
      <c r="M795" s="65"/>
      <c r="N795" s="66"/>
      <c r="O795" s="66"/>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IF(AND('341-CT'!$H$9=H795,OR(LEFT(N795,3)=$W$7,LEFT(O795,3)=$W$7)),"x","")</f>
        <v/>
      </c>
      <c r="X795" s="85" t="str">
        <f>IF(OR(TH!N795=TH!$X$7,O795=TH!$X$7),"x","")</f>
        <v/>
      </c>
      <c r="Y795" s="85" t="str">
        <f>IF(AND(OR(N795="131",O795="131"),H795='131-CT'!$H$9),"x","")</f>
        <v/>
      </c>
      <c r="Z795" s="85"/>
      <c r="AA795" s="85" t="str">
        <f>IF(AND(MONTH(E795)='IN-NX'!$J$5,'IN-NX'!$D$7=D795),"x","")</f>
        <v/>
      </c>
      <c r="AB795" s="85" t="str">
        <f>IF(AND(OR(LEFT(TH!N795,2)="15",LEFT(TH!O795,2)="15"),'152-CT'!$J$8=TH!F795),"x","")</f>
        <v/>
      </c>
      <c r="AC795" s="85" t="str">
        <f>IF(AND(OR(LEFT(TH!N795,2)="15",LEFT(TH!O795,2)="15"),TK!$E$7=TH!F795),"x","")</f>
        <v/>
      </c>
      <c r="AD795" s="85" t="str">
        <f>IF(AND(N795="1521",MONTH(C795)='BK-NL'!$M$11),"x","")</f>
        <v/>
      </c>
    </row>
    <row r="796" spans="1:30" ht="15.75" customHeight="1">
      <c r="A796" s="343" t="str">
        <f>IF(B796&lt;&gt;"",IF(AND(B796='IN-TC'!$S$4,OR(TH!N796="1111",TH!O796="1111")),TH!D796,""),"")</f>
        <v/>
      </c>
      <c r="B796" s="63" t="str">
        <f t="shared" si="81"/>
        <v/>
      </c>
      <c r="C796" s="64"/>
      <c r="D796" s="64"/>
      <c r="E796" s="64"/>
      <c r="F796" s="67"/>
      <c r="G796" s="67"/>
      <c r="H796" s="74"/>
      <c r="I796" s="447"/>
      <c r="J796" s="447"/>
      <c r="K796" s="438"/>
      <c r="L796" s="447"/>
      <c r="M796" s="65"/>
      <c r="N796" s="66"/>
      <c r="O796" s="66"/>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IF(AND('341-CT'!$H$9=H796,OR(LEFT(N796,3)=$W$7,LEFT(O796,3)=$W$7)),"x","")</f>
        <v/>
      </c>
      <c r="X796" s="85" t="str">
        <f>IF(OR(TH!N796=TH!$X$7,O796=TH!$X$7),"x","")</f>
        <v/>
      </c>
      <c r="Y796" s="85" t="str">
        <f>IF(AND(OR(N796="131",O796="131"),H796='131-CT'!$H$9),"x","")</f>
        <v/>
      </c>
      <c r="Z796" s="85"/>
      <c r="AA796" s="85" t="str">
        <f>IF(AND(MONTH(E796)='IN-NX'!$J$5,'IN-NX'!$D$7=D796),"x","")</f>
        <v/>
      </c>
      <c r="AB796" s="85" t="str">
        <f>IF(AND(OR(LEFT(TH!N796,2)="15",LEFT(TH!O796,2)="15"),'152-CT'!$J$8=TH!F796),"x","")</f>
        <v/>
      </c>
      <c r="AC796" s="85" t="str">
        <f>IF(AND(OR(LEFT(TH!N796,2)="15",LEFT(TH!O796,2)="15"),TK!$E$7=TH!F796),"x","")</f>
        <v/>
      </c>
      <c r="AD796" s="85" t="str">
        <f>IF(AND(N796="1521",MONTH(C796)='BK-NL'!$M$11),"x","")</f>
        <v/>
      </c>
    </row>
    <row r="797" spans="1:30" ht="15.75" customHeight="1">
      <c r="A797" s="343" t="str">
        <f>IF(B797&lt;&gt;"",IF(AND(B797='IN-TC'!$S$4,OR(TH!N797="1111",TH!O797="1111")),TH!D797,""),"")</f>
        <v/>
      </c>
      <c r="B797" s="63" t="str">
        <f t="shared" si="81"/>
        <v/>
      </c>
      <c r="C797" s="64"/>
      <c r="D797" s="64"/>
      <c r="E797" s="64"/>
      <c r="F797" s="67"/>
      <c r="G797" s="67"/>
      <c r="H797" s="74"/>
      <c r="I797" s="447"/>
      <c r="J797" s="447"/>
      <c r="K797" s="438"/>
      <c r="L797" s="447"/>
      <c r="M797" s="65"/>
      <c r="N797" s="66"/>
      <c r="O797" s="66"/>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IF(AND('341-CT'!$H$9=H797,OR(LEFT(N797,3)=$W$7,LEFT(O797,3)=$W$7)),"x","")</f>
        <v/>
      </c>
      <c r="X797" s="85" t="str">
        <f>IF(OR(TH!N797=TH!$X$7,O797=TH!$X$7),"x","")</f>
        <v/>
      </c>
      <c r="Y797" s="85" t="str">
        <f>IF(AND(OR(N797="131",O797="131"),H797='131-CT'!$H$9),"x","")</f>
        <v/>
      </c>
      <c r="Z797" s="85"/>
      <c r="AA797" s="85" t="str">
        <f>IF(AND(MONTH(E797)='IN-NX'!$J$5,'IN-NX'!$D$7=D797),"x","")</f>
        <v/>
      </c>
      <c r="AB797" s="85" t="str">
        <f>IF(AND(OR(LEFT(TH!N797,2)="15",LEFT(TH!O797,2)="15"),'152-CT'!$J$8=TH!F797),"x","")</f>
        <v/>
      </c>
      <c r="AC797" s="85" t="str">
        <f>IF(AND(OR(LEFT(TH!N797,2)="15",LEFT(TH!O797,2)="15"),TK!$E$7=TH!F797),"x","")</f>
        <v/>
      </c>
      <c r="AD797" s="85" t="str">
        <f>IF(AND(N797="1521",MONTH(C797)='BK-NL'!$M$11),"x","")</f>
        <v/>
      </c>
    </row>
    <row r="798" spans="1:30" ht="15.75" customHeight="1">
      <c r="A798" s="343" t="str">
        <f>IF(B798&lt;&gt;"",IF(AND(B798='IN-TC'!$S$4,OR(TH!N798="1111",TH!O798="1111")),TH!D798,""),"")</f>
        <v/>
      </c>
      <c r="B798" s="63" t="str">
        <f t="shared" si="81"/>
        <v/>
      </c>
      <c r="C798" s="64"/>
      <c r="D798" s="64"/>
      <c r="E798" s="64"/>
      <c r="F798" s="67"/>
      <c r="G798" s="67"/>
      <c r="H798" s="74"/>
      <c r="I798" s="447"/>
      <c r="J798" s="447"/>
      <c r="K798" s="438"/>
      <c r="L798" s="447"/>
      <c r="M798" s="65"/>
      <c r="N798" s="66"/>
      <c r="O798" s="66"/>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IF(AND('341-CT'!$H$9=H798,OR(LEFT(N798,3)=$W$7,LEFT(O798,3)=$W$7)),"x","")</f>
        <v/>
      </c>
      <c r="X798" s="85" t="str">
        <f>IF(OR(TH!N798=TH!$X$7,O798=TH!$X$7),"x","")</f>
        <v/>
      </c>
      <c r="Y798" s="85" t="str">
        <f>IF(AND(OR(N798="131",O798="131"),H798='131-CT'!$H$9),"x","")</f>
        <v/>
      </c>
      <c r="Z798" s="85"/>
      <c r="AA798" s="85" t="str">
        <f>IF(AND(MONTH(E798)='IN-NX'!$J$5,'IN-NX'!$D$7=D798),"x","")</f>
        <v/>
      </c>
      <c r="AB798" s="85" t="str">
        <f>IF(AND(OR(LEFT(TH!N798,2)="15",LEFT(TH!O798,2)="15"),'152-CT'!$J$8=TH!F798),"x","")</f>
        <v/>
      </c>
      <c r="AC798" s="85" t="str">
        <f>IF(AND(OR(LEFT(TH!N798,2)="15",LEFT(TH!O798,2)="15"),TK!$E$7=TH!F798),"x","")</f>
        <v/>
      </c>
      <c r="AD798" s="85" t="str">
        <f>IF(AND(N798="1521",MONTH(C798)='BK-NL'!$M$11),"x","")</f>
        <v/>
      </c>
    </row>
    <row r="799" spans="1:30" ht="15.75" customHeight="1">
      <c r="A799" s="343" t="str">
        <f>IF(B799&lt;&gt;"",IF(AND(B799='IN-TC'!$S$4,OR(TH!N799="1111",TH!O799="1111")),TH!D799,""),"")</f>
        <v/>
      </c>
      <c r="B799" s="63" t="str">
        <f t="shared" ref="B799:B855" si="82">IF(C799&lt;&gt;"",MONTH(C799),"")</f>
        <v/>
      </c>
      <c r="C799" s="64"/>
      <c r="D799" s="64"/>
      <c r="E799" s="64"/>
      <c r="F799" s="67"/>
      <c r="G799" s="67"/>
      <c r="H799" s="74"/>
      <c r="I799" s="447"/>
      <c r="J799" s="447"/>
      <c r="K799" s="438"/>
      <c r="L799" s="447"/>
      <c r="M799" s="65"/>
      <c r="N799" s="66"/>
      <c r="O799" s="66"/>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IF(AND('341-CT'!$H$9=H799,OR(LEFT(N799,3)=$W$7,LEFT(O799,3)=$W$7)),"x","")</f>
        <v/>
      </c>
      <c r="X799" s="85" t="str">
        <f>IF(OR(TH!N799=TH!$X$7,O799=TH!$X$7),"x","")</f>
        <v/>
      </c>
      <c r="Y799" s="85" t="str">
        <f>IF(AND(OR(N799="131",O799="131"),H799='131-CT'!$H$9),"x","")</f>
        <v/>
      </c>
      <c r="Z799" s="85"/>
      <c r="AA799" s="85" t="str">
        <f>IF(AND(MONTH(E799)='IN-NX'!$J$5,'IN-NX'!$D$7=D799),"x","")</f>
        <v/>
      </c>
      <c r="AB799" s="85" t="str">
        <f>IF(AND(OR(LEFT(TH!N799,2)="15",LEFT(TH!O799,2)="15"),'152-CT'!$J$8=TH!F799),"x","")</f>
        <v/>
      </c>
      <c r="AC799" s="85" t="str">
        <f>IF(AND(OR(LEFT(TH!N799,2)="15",LEFT(TH!O799,2)="15"),TK!$E$7=TH!F799),"x","")</f>
        <v/>
      </c>
      <c r="AD799" s="85" t="str">
        <f>IF(AND(N799="1521",MONTH(C799)='BK-NL'!$M$11),"x","")</f>
        <v/>
      </c>
    </row>
    <row r="800" spans="1:30" ht="15.75" customHeight="1">
      <c r="A800" s="343" t="str">
        <f>IF(B800&lt;&gt;"",IF(AND(B800='IN-TC'!$S$4,OR(TH!N800="1111",TH!O800="1111")),TH!D800,""),"")</f>
        <v/>
      </c>
      <c r="B800" s="63" t="str">
        <f t="shared" si="82"/>
        <v/>
      </c>
      <c r="C800" s="64"/>
      <c r="D800" s="64"/>
      <c r="E800" s="64"/>
      <c r="F800" s="67"/>
      <c r="G800" s="67"/>
      <c r="H800" s="74"/>
      <c r="I800" s="447"/>
      <c r="J800" s="447"/>
      <c r="K800" s="438"/>
      <c r="L800" s="447"/>
      <c r="M800" s="65"/>
      <c r="N800" s="66"/>
      <c r="O800" s="66"/>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IF(AND('341-CT'!$H$9=H800,OR(LEFT(N800,3)=$W$7,LEFT(O800,3)=$W$7)),"x","")</f>
        <v/>
      </c>
      <c r="X800" s="85" t="str">
        <f>IF(OR(TH!N800=TH!$X$7,O800=TH!$X$7),"x","")</f>
        <v/>
      </c>
      <c r="Y800" s="85" t="str">
        <f>IF(AND(OR(N800="131",O800="131"),H800='131-CT'!$H$9),"x","")</f>
        <v/>
      </c>
      <c r="Z800" s="85"/>
      <c r="AA800" s="85" t="str">
        <f>IF(AND(MONTH(E800)='IN-NX'!$J$5,'IN-NX'!$D$7=D800),"x","")</f>
        <v/>
      </c>
      <c r="AB800" s="85" t="str">
        <f>IF(AND(OR(LEFT(TH!N800,2)="15",LEFT(TH!O800,2)="15"),'152-CT'!$J$8=TH!F800),"x","")</f>
        <v/>
      </c>
      <c r="AC800" s="85" t="str">
        <f>IF(AND(OR(LEFT(TH!N800,2)="15",LEFT(TH!O800,2)="15"),TK!$E$7=TH!F800),"x","")</f>
        <v/>
      </c>
      <c r="AD800" s="85" t="str">
        <f>IF(AND(N800="1521",MONTH(C800)='BK-NL'!$M$11),"x","")</f>
        <v/>
      </c>
    </row>
    <row r="801" spans="1:30" ht="15.75" customHeight="1">
      <c r="A801" s="343" t="str">
        <f>IF(B801&lt;&gt;"",IF(AND(B801='IN-TC'!$S$4,OR(TH!N801="1111",TH!O801="1111")),TH!D801,""),"")</f>
        <v/>
      </c>
      <c r="B801" s="63" t="str">
        <f t="shared" si="82"/>
        <v/>
      </c>
      <c r="C801" s="64"/>
      <c r="D801" s="64"/>
      <c r="E801" s="64"/>
      <c r="F801" s="67"/>
      <c r="G801" s="67"/>
      <c r="H801" s="74"/>
      <c r="I801" s="447"/>
      <c r="J801" s="447"/>
      <c r="K801" s="438"/>
      <c r="L801" s="447"/>
      <c r="M801" s="65"/>
      <c r="N801" s="66"/>
      <c r="O801" s="66"/>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IF(AND('341-CT'!$H$9=H801,OR(LEFT(N801,3)=$W$7,LEFT(O801,3)=$W$7)),"x","")</f>
        <v/>
      </c>
      <c r="X801" s="85" t="str">
        <f>IF(OR(TH!N801=TH!$X$7,O801=TH!$X$7),"x","")</f>
        <v/>
      </c>
      <c r="Y801" s="85" t="str">
        <f>IF(AND(OR(N801="131",O801="131"),H801='131-CT'!$H$9),"x","")</f>
        <v/>
      </c>
      <c r="Z801" s="85"/>
      <c r="AA801" s="85" t="str">
        <f>IF(AND(MONTH(E801)='IN-NX'!$J$5,'IN-NX'!$D$7=D801),"x","")</f>
        <v/>
      </c>
      <c r="AB801" s="85" t="str">
        <f>IF(AND(OR(LEFT(TH!N801,2)="15",LEFT(TH!O801,2)="15"),'152-CT'!$J$8=TH!F801),"x","")</f>
        <v/>
      </c>
      <c r="AC801" s="85" t="str">
        <f>IF(AND(OR(LEFT(TH!N801,2)="15",LEFT(TH!O801,2)="15"),TK!$E$7=TH!F801),"x","")</f>
        <v/>
      </c>
      <c r="AD801" s="85" t="str">
        <f>IF(AND(N801="1521",MONTH(C801)='BK-NL'!$M$11),"x","")</f>
        <v/>
      </c>
    </row>
    <row r="802" spans="1:30" ht="15.75" customHeight="1">
      <c r="A802" s="343" t="str">
        <f>IF(B802&lt;&gt;"",IF(AND(B802='IN-TC'!$S$4,OR(TH!N802="1111",TH!O802="1111")),TH!D802,""),"")</f>
        <v/>
      </c>
      <c r="B802" s="63" t="str">
        <f t="shared" si="82"/>
        <v/>
      </c>
      <c r="C802" s="64"/>
      <c r="D802" s="64"/>
      <c r="E802" s="64"/>
      <c r="F802" s="67"/>
      <c r="G802" s="67"/>
      <c r="H802" s="74"/>
      <c r="I802" s="447"/>
      <c r="J802" s="447"/>
      <c r="K802" s="438"/>
      <c r="L802" s="447"/>
      <c r="M802" s="65"/>
      <c r="N802" s="66"/>
      <c r="O802" s="66"/>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IF(AND('341-CT'!$H$9=H802,OR(LEFT(N802,3)=$W$7,LEFT(O802,3)=$W$7)),"x","")</f>
        <v/>
      </c>
      <c r="X802" s="85" t="str">
        <f>IF(OR(TH!N802=TH!$X$7,O802=TH!$X$7),"x","")</f>
        <v/>
      </c>
      <c r="Y802" s="85" t="str">
        <f>IF(AND(OR(N802="131",O802="131"),H802='131-CT'!$H$9),"x","")</f>
        <v/>
      </c>
      <c r="Z802" s="85"/>
      <c r="AA802" s="85" t="str">
        <f>IF(AND(MONTH(E802)='IN-NX'!$J$5,'IN-NX'!$D$7=D802),"x","")</f>
        <v/>
      </c>
      <c r="AB802" s="85" t="str">
        <f>IF(AND(OR(LEFT(TH!N802,2)="15",LEFT(TH!O802,2)="15"),'152-CT'!$J$8=TH!F802),"x","")</f>
        <v/>
      </c>
      <c r="AC802" s="85" t="str">
        <f>IF(AND(OR(LEFT(TH!N802,2)="15",LEFT(TH!O802,2)="15"),TK!$E$7=TH!F802),"x","")</f>
        <v/>
      </c>
      <c r="AD802" s="85" t="str">
        <f>IF(AND(N802="1521",MONTH(C802)='BK-NL'!$M$11),"x","")</f>
        <v/>
      </c>
    </row>
    <row r="803" spans="1:30" ht="15.75" customHeight="1">
      <c r="A803" s="343" t="str">
        <f>IF(B803&lt;&gt;"",IF(AND(B803='IN-TC'!$S$4,OR(TH!N803="1111",TH!O803="1111")),TH!D803,""),"")</f>
        <v/>
      </c>
      <c r="B803" s="63" t="str">
        <f t="shared" si="82"/>
        <v/>
      </c>
      <c r="C803" s="64"/>
      <c r="D803" s="64"/>
      <c r="E803" s="64"/>
      <c r="F803" s="67"/>
      <c r="G803" s="67"/>
      <c r="H803" s="74"/>
      <c r="I803" s="447"/>
      <c r="J803" s="447"/>
      <c r="K803" s="438"/>
      <c r="L803" s="447"/>
      <c r="M803" s="65"/>
      <c r="N803" s="66"/>
      <c r="O803" s="66"/>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IF(AND('341-CT'!$H$9=H803,OR(LEFT(N803,3)=$W$7,LEFT(O803,3)=$W$7)),"x","")</f>
        <v/>
      </c>
      <c r="X803" s="85" t="str">
        <f>IF(OR(TH!N803=TH!$X$7,O803=TH!$X$7),"x","")</f>
        <v/>
      </c>
      <c r="Y803" s="85" t="str">
        <f>IF(AND(OR(N803="131",O803="131"),H803='131-CT'!$H$9),"x","")</f>
        <v/>
      </c>
      <c r="Z803" s="85"/>
      <c r="AA803" s="85" t="str">
        <f>IF(AND(MONTH(E803)='IN-NX'!$J$5,'IN-NX'!$D$7=D803),"x","")</f>
        <v/>
      </c>
      <c r="AB803" s="85" t="str">
        <f>IF(AND(OR(LEFT(TH!N803,2)="15",LEFT(TH!O803,2)="15"),'152-CT'!$J$8=TH!F803),"x","")</f>
        <v/>
      </c>
      <c r="AC803" s="85" t="str">
        <f>IF(AND(OR(LEFT(TH!N803,2)="15",LEFT(TH!O803,2)="15"),TK!$E$7=TH!F803),"x","")</f>
        <v/>
      </c>
      <c r="AD803" s="85" t="str">
        <f>IF(AND(N803="1521",MONTH(C803)='BK-NL'!$M$11),"x","")</f>
        <v/>
      </c>
    </row>
    <row r="804" spans="1:30" ht="15.75" customHeight="1">
      <c r="A804" s="343" t="str">
        <f>IF(B804&lt;&gt;"",IF(AND(B804='IN-TC'!$S$4,OR(TH!N804="1111",TH!O804="1111")),TH!D804,""),"")</f>
        <v/>
      </c>
      <c r="B804" s="63" t="str">
        <f t="shared" si="82"/>
        <v/>
      </c>
      <c r="C804" s="64"/>
      <c r="D804" s="64"/>
      <c r="E804" s="64"/>
      <c r="F804" s="67"/>
      <c r="G804" s="996"/>
      <c r="H804" s="322"/>
      <c r="I804" s="447"/>
      <c r="J804" s="447"/>
      <c r="K804" s="438"/>
      <c r="L804" s="447"/>
      <c r="M804" s="65"/>
      <c r="N804" s="66"/>
      <c r="O804" s="66"/>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IF(AND('341-CT'!$H$9=H804,OR(LEFT(N804,3)=$W$7,LEFT(O804,3)=$W$7)),"x","")</f>
        <v/>
      </c>
      <c r="X804" s="85" t="str">
        <f>IF(OR(TH!N804=TH!$X$7,O804=TH!$X$7),"x","")</f>
        <v/>
      </c>
      <c r="Y804" s="85" t="str">
        <f>IF(AND(OR(N804="131",O804="131"),H804='131-CT'!$H$9),"x","")</f>
        <v/>
      </c>
      <c r="Z804" s="85"/>
      <c r="AA804" s="85" t="str">
        <f>IF(AND(MONTH(E804)='IN-NX'!$J$5,'IN-NX'!$D$7=D804),"x","")</f>
        <v/>
      </c>
      <c r="AB804" s="85" t="str">
        <f>IF(AND(OR(LEFT(TH!N804,2)="15",LEFT(TH!O804,2)="15"),'152-CT'!$J$8=TH!F804),"x","")</f>
        <v/>
      </c>
      <c r="AC804" s="85" t="str">
        <f>IF(AND(OR(LEFT(TH!N804,2)="15",LEFT(TH!O804,2)="15"),TK!$E$7=TH!F804),"x","")</f>
        <v/>
      </c>
      <c r="AD804" s="85" t="str">
        <f>IF(AND(N804="1521",MONTH(C804)='BK-NL'!$M$11),"x","")</f>
        <v/>
      </c>
    </row>
    <row r="805" spans="1:30" ht="15.75" customHeight="1">
      <c r="A805" s="343" t="str">
        <f>IF(B805&lt;&gt;"",IF(AND(B805='IN-TC'!$S$4,OR(TH!N805="1111",TH!O805="1111")),TH!D805,""),"")</f>
        <v/>
      </c>
      <c r="B805" s="63" t="str">
        <f t="shared" si="82"/>
        <v/>
      </c>
      <c r="C805" s="64"/>
      <c r="D805" s="64"/>
      <c r="E805" s="64"/>
      <c r="F805" s="67"/>
      <c r="G805" s="996"/>
      <c r="H805" s="322"/>
      <c r="I805" s="447"/>
      <c r="J805" s="447"/>
      <c r="K805" s="438"/>
      <c r="L805" s="447"/>
      <c r="M805" s="65"/>
      <c r="N805" s="66"/>
      <c r="O805" s="66"/>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IF(AND('341-CT'!$H$9=H805,OR(LEFT(N805,3)=$W$7,LEFT(O805,3)=$W$7)),"x","")</f>
        <v/>
      </c>
      <c r="X805" s="85" t="str">
        <f>IF(OR(TH!N805=TH!$X$7,O805=TH!$X$7),"x","")</f>
        <v/>
      </c>
      <c r="Y805" s="85" t="str">
        <f>IF(AND(OR(N805="131",O805="131"),H805='131-CT'!$H$9),"x","")</f>
        <v/>
      </c>
      <c r="Z805" s="85"/>
      <c r="AA805" s="85" t="str">
        <f>IF(AND(MONTH(E805)='IN-NX'!$J$5,'IN-NX'!$D$7=D805),"x","")</f>
        <v/>
      </c>
      <c r="AB805" s="85" t="str">
        <f>IF(AND(OR(LEFT(TH!N805,2)="15",LEFT(TH!O805,2)="15"),'152-CT'!$J$8=TH!F805),"x","")</f>
        <v/>
      </c>
      <c r="AC805" s="85" t="str">
        <f>IF(AND(OR(LEFT(TH!N805,2)="15",LEFT(TH!O805,2)="15"),TK!$E$7=TH!F805),"x","")</f>
        <v/>
      </c>
      <c r="AD805" s="85" t="str">
        <f>IF(AND(N805="1521",MONTH(C805)='BK-NL'!$M$11),"x","")</f>
        <v/>
      </c>
    </row>
    <row r="806" spans="1:30" ht="15.75" customHeight="1">
      <c r="A806" s="343" t="str">
        <f>IF(B806&lt;&gt;"",IF(AND(B806='IN-TC'!$S$4,OR(TH!N806="1111",TH!O806="1111")),TH!D806,""),"")</f>
        <v/>
      </c>
      <c r="B806" s="63" t="str">
        <f t="shared" si="82"/>
        <v/>
      </c>
      <c r="C806" s="64"/>
      <c r="D806" s="64"/>
      <c r="E806" s="64"/>
      <c r="F806" s="67"/>
      <c r="G806" s="996"/>
      <c r="H806" s="74"/>
      <c r="I806" s="447"/>
      <c r="J806" s="447"/>
      <c r="K806" s="438"/>
      <c r="L806" s="447"/>
      <c r="M806" s="65"/>
      <c r="N806" s="332"/>
      <c r="O806" s="66"/>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IF(AND('341-CT'!$H$9=H806,OR(LEFT(N806,3)=$W$7,LEFT(O806,3)=$W$7)),"x","")</f>
        <v/>
      </c>
      <c r="X806" s="85" t="str">
        <f>IF(OR(TH!N806=TH!$X$7,O806=TH!$X$7),"x","")</f>
        <v/>
      </c>
      <c r="Y806" s="85" t="str">
        <f>IF(AND(OR(N806="131",O806="131"),H806='131-CT'!$H$9),"x","")</f>
        <v/>
      </c>
      <c r="Z806" s="85"/>
      <c r="AA806" s="85" t="str">
        <f>IF(AND(MONTH(E806)='IN-NX'!$J$5,'IN-NX'!$D$7=D806),"x","")</f>
        <v/>
      </c>
      <c r="AB806" s="85" t="str">
        <f>IF(AND(OR(LEFT(TH!N806,2)="15",LEFT(TH!O806,2)="15"),'152-CT'!$J$8=TH!F806),"x","")</f>
        <v/>
      </c>
      <c r="AC806" s="85" t="str">
        <f>IF(AND(OR(LEFT(TH!N806,2)="15",LEFT(TH!O806,2)="15"),TK!$E$7=TH!F806),"x","")</f>
        <v/>
      </c>
      <c r="AD806" s="85" t="str">
        <f>IF(AND(N806="1521",MONTH(C806)='BK-NL'!$M$11),"x","")</f>
        <v/>
      </c>
    </row>
    <row r="807" spans="1:30" ht="17.25" customHeight="1">
      <c r="A807" s="343" t="str">
        <f>IF(B807&lt;&gt;"",IF(AND(B807='IN-TC'!$S$4,OR(TH!N807="1111",TH!O807="1111")),TH!D807,""),"")</f>
        <v/>
      </c>
      <c r="B807" s="63" t="str">
        <f t="shared" si="82"/>
        <v/>
      </c>
      <c r="C807" s="64"/>
      <c r="D807" s="64"/>
      <c r="E807" s="64"/>
      <c r="F807" s="67"/>
      <c r="G807" s="996"/>
      <c r="H807" s="74"/>
      <c r="I807" s="447"/>
      <c r="J807" s="447"/>
      <c r="K807" s="438"/>
      <c r="L807" s="447"/>
      <c r="M807" s="65"/>
      <c r="N807" s="332"/>
      <c r="O807" s="66"/>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IF(AND('341-CT'!$H$9=H807,OR(LEFT(N807,3)=$W$7,LEFT(O807,3)=$W$7)),"x","")</f>
        <v/>
      </c>
      <c r="X807" s="85" t="str">
        <f>IF(OR(TH!N807=TH!$X$7,O807=TH!$X$7),"x","")</f>
        <v/>
      </c>
      <c r="Y807" s="85" t="str">
        <f>IF(AND(OR(N807="131",O807="131"),H807='131-CT'!$H$9),"x","")</f>
        <v/>
      </c>
      <c r="Z807" s="85"/>
      <c r="AA807" s="85" t="str">
        <f>IF(AND(MONTH(E807)='IN-NX'!$J$5,'IN-NX'!$D$7=D807),"x","")</f>
        <v/>
      </c>
      <c r="AB807" s="85" t="str">
        <f>IF(AND(OR(LEFT(TH!N807,2)="15",LEFT(TH!O807,2)="15"),'152-CT'!$J$8=TH!F807),"x","")</f>
        <v/>
      </c>
      <c r="AC807" s="85" t="str">
        <f>IF(AND(OR(LEFT(TH!N807,2)="15",LEFT(TH!O807,2)="15"),TK!$E$7=TH!F807),"x","")</f>
        <v/>
      </c>
      <c r="AD807" s="85" t="str">
        <f>IF(AND(N807="1521",MONTH(C807)='BK-NL'!$M$11),"x","")</f>
        <v/>
      </c>
    </row>
    <row r="808" spans="1:30" ht="17.25" customHeight="1">
      <c r="A808" s="343" t="str">
        <f>IF(B808&lt;&gt;"",IF(AND(B808='IN-TC'!$S$4,OR(TH!N808="1111",TH!O808="1111")),TH!D808,""),"")</f>
        <v/>
      </c>
      <c r="B808" s="63" t="str">
        <f t="shared" si="82"/>
        <v/>
      </c>
      <c r="C808" s="64"/>
      <c r="D808" s="64"/>
      <c r="E808" s="64"/>
      <c r="F808" s="67"/>
      <c r="G808" s="996"/>
      <c r="H808" s="74"/>
      <c r="I808" s="447"/>
      <c r="J808" s="447"/>
      <c r="K808" s="438"/>
      <c r="L808" s="447"/>
      <c r="M808" s="65"/>
      <c r="N808" s="66"/>
      <c r="O808" s="66"/>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IF(AND('341-CT'!$H$9=H808,OR(LEFT(N808,3)=$W$7,LEFT(O808,3)=$W$7)),"x","")</f>
        <v/>
      </c>
      <c r="X808" s="85" t="str">
        <f>IF(OR(TH!N808=TH!$X$7,O808=TH!$X$7),"x","")</f>
        <v/>
      </c>
      <c r="Y808" s="85" t="str">
        <f>IF(AND(OR(N808="131",O808="131"),H808='131-CT'!$H$9),"x","")</f>
        <v/>
      </c>
      <c r="Z808" s="85"/>
      <c r="AA808" s="85" t="str">
        <f>IF(AND(MONTH(E808)='IN-NX'!$J$5,'IN-NX'!$D$7=D808),"x","")</f>
        <v/>
      </c>
      <c r="AB808" s="85" t="str">
        <f>IF(AND(OR(LEFT(TH!N808,2)="15",LEFT(TH!O808,2)="15"),'152-CT'!$J$8=TH!F808),"x","")</f>
        <v/>
      </c>
      <c r="AC808" s="85" t="str">
        <f>IF(AND(OR(LEFT(TH!N808,2)="15",LEFT(TH!O808,2)="15"),TK!$E$7=TH!F808),"x","")</f>
        <v/>
      </c>
      <c r="AD808" s="85" t="str">
        <f>IF(AND(N808="1521",MONTH(C808)='BK-NL'!$M$11),"x","")</f>
        <v/>
      </c>
    </row>
    <row r="809" spans="1:30" ht="17.25" customHeight="1">
      <c r="A809" s="343" t="str">
        <f>IF(B809&lt;&gt;"",IF(AND(B809='IN-TC'!$S$4,OR(TH!N809="1111",TH!O809="1111")),TH!D809,""),"")</f>
        <v/>
      </c>
      <c r="B809" s="63" t="str">
        <f t="shared" si="82"/>
        <v/>
      </c>
      <c r="C809" s="64"/>
      <c r="D809" s="64"/>
      <c r="E809" s="64"/>
      <c r="F809" s="67"/>
      <c r="G809" s="996"/>
      <c r="H809" s="74"/>
      <c r="I809" s="447"/>
      <c r="J809" s="447"/>
      <c r="K809" s="438"/>
      <c r="L809" s="447"/>
      <c r="M809" s="65"/>
      <c r="N809" s="66"/>
      <c r="O809" s="66"/>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IF(AND('341-CT'!$H$9=H809,OR(LEFT(N809,3)=$W$7,LEFT(O809,3)=$W$7)),"x","")</f>
        <v/>
      </c>
      <c r="X809" s="85" t="str">
        <f>IF(OR(TH!N809=TH!$X$7,O809=TH!$X$7),"x","")</f>
        <v/>
      </c>
      <c r="Y809" s="85" t="str">
        <f>IF(AND(OR(N809="131",O809="131"),H809='131-CT'!$H$9),"x","")</f>
        <v/>
      </c>
      <c r="Z809" s="85"/>
      <c r="AA809" s="85" t="str">
        <f>IF(AND(MONTH(E809)='IN-NX'!$J$5,'IN-NX'!$D$7=D809),"x","")</f>
        <v/>
      </c>
      <c r="AB809" s="85" t="str">
        <f>IF(AND(OR(LEFT(TH!N809,2)="15",LEFT(TH!O809,2)="15"),'152-CT'!$J$8=TH!F809),"x","")</f>
        <v/>
      </c>
      <c r="AC809" s="85" t="str">
        <f>IF(AND(OR(LEFT(TH!N809,2)="15",LEFT(TH!O809,2)="15"),TK!$E$7=TH!F809),"x","")</f>
        <v/>
      </c>
      <c r="AD809" s="85" t="str">
        <f>IF(AND(N809="1521",MONTH(C809)='BK-NL'!$M$11),"x","")</f>
        <v/>
      </c>
    </row>
    <row r="810" spans="1:30" s="358" customFormat="1" ht="17.25" customHeight="1">
      <c r="A810" s="343" t="str">
        <f>IF(B810&lt;&gt;"",IF(AND(B810='IN-TC'!$S$4,OR(TH!N810="1111",TH!O810="1111")),TH!D810,""),"")</f>
        <v/>
      </c>
      <c r="B810" s="63" t="str">
        <f t="shared" si="82"/>
        <v/>
      </c>
      <c r="C810" s="64"/>
      <c r="D810" s="64"/>
      <c r="E810" s="64"/>
      <c r="F810" s="67"/>
      <c r="G810" s="996"/>
      <c r="H810" s="74"/>
      <c r="I810" s="447"/>
      <c r="J810" s="447"/>
      <c r="K810" s="438"/>
      <c r="L810" s="447"/>
      <c r="M810" s="65"/>
      <c r="N810" s="66"/>
      <c r="O810" s="66"/>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IF(AND('341-CT'!$H$9=H810,OR(LEFT(N810,3)=$W$7,LEFT(O810,3)=$W$7)),"x","")</f>
        <v/>
      </c>
      <c r="X810" s="85" t="str">
        <f>IF(OR(TH!N810=TH!$X$7,O810=TH!$X$7),"x","")</f>
        <v/>
      </c>
      <c r="Y810" s="85" t="str">
        <f>IF(AND(OR(N810="131",O810="131"),H810='131-CT'!$H$9),"x","")</f>
        <v/>
      </c>
      <c r="Z810" s="85"/>
      <c r="AA810" s="85" t="str">
        <f>IF(AND(MONTH(E810)='IN-NX'!$J$5,'IN-NX'!$D$7=D810),"x","")</f>
        <v/>
      </c>
      <c r="AB810" s="85" t="str">
        <f>IF(AND(OR(LEFT(TH!N810,2)="15",LEFT(TH!O810,2)="15"),'152-CT'!$J$8=TH!F810),"x","")</f>
        <v/>
      </c>
      <c r="AC810" s="85" t="str">
        <f>IF(AND(OR(LEFT(TH!N810,2)="15",LEFT(TH!O810,2)="15"),TK!$E$7=TH!F810),"x","")</f>
        <v/>
      </c>
      <c r="AD810" s="85" t="str">
        <f>IF(AND(N810="1521",MONTH(C810)='BK-NL'!$M$11),"x","")</f>
        <v/>
      </c>
    </row>
    <row r="811" spans="1:30" s="358" customFormat="1" ht="17.25" customHeight="1">
      <c r="A811" s="343" t="str">
        <f>IF(B811&lt;&gt;"",IF(AND(B811='IN-TC'!$S$4,OR(TH!N811="1111",TH!O811="1111")),TH!D811,""),"")</f>
        <v/>
      </c>
      <c r="B811" s="63" t="str">
        <f t="shared" si="82"/>
        <v/>
      </c>
      <c r="C811" s="64"/>
      <c r="D811" s="64"/>
      <c r="E811" s="64"/>
      <c r="F811" s="67"/>
      <c r="G811" s="996"/>
      <c r="H811" s="74"/>
      <c r="I811" s="447"/>
      <c r="J811" s="447"/>
      <c r="K811" s="438"/>
      <c r="L811" s="447"/>
      <c r="M811" s="65"/>
      <c r="N811" s="66"/>
      <c r="O811" s="66"/>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IF(AND('341-CT'!$H$9=H811,OR(LEFT(N811,3)=$W$7,LEFT(O811,3)=$W$7)),"x","")</f>
        <v/>
      </c>
      <c r="X811" s="85" t="str">
        <f>IF(OR(TH!N811=TH!$X$7,O811=TH!$X$7),"x","")</f>
        <v/>
      </c>
      <c r="Y811" s="85" t="str">
        <f>IF(AND(OR(N811="131",O811="131"),H811='131-CT'!$H$9),"x","")</f>
        <v/>
      </c>
      <c r="Z811" s="85"/>
      <c r="AA811" s="85" t="str">
        <f>IF(AND(MONTH(E811)='IN-NX'!$J$5,'IN-NX'!$D$7=D811),"x","")</f>
        <v/>
      </c>
      <c r="AB811" s="85" t="str">
        <f>IF(AND(OR(LEFT(TH!N811,2)="15",LEFT(TH!O811,2)="15"),'152-CT'!$J$8=TH!F811),"x","")</f>
        <v/>
      </c>
      <c r="AC811" s="85" t="str">
        <f>IF(AND(OR(LEFT(TH!N811,2)="15",LEFT(TH!O811,2)="15"),TK!$E$7=TH!F811),"x","")</f>
        <v/>
      </c>
      <c r="AD811" s="85" t="str">
        <f>IF(AND(N811="1521",MONTH(C811)='BK-NL'!$M$11),"x","")</f>
        <v/>
      </c>
    </row>
    <row r="812" spans="1:30" ht="17.25" customHeight="1">
      <c r="A812" s="343" t="str">
        <f>IF(B812&lt;&gt;"",IF(AND(B812='IN-TC'!$S$4,OR(TH!N812="1111",TH!O812="1111")),TH!D812,""),"")</f>
        <v/>
      </c>
      <c r="B812" s="63" t="str">
        <f t="shared" si="82"/>
        <v/>
      </c>
      <c r="C812" s="64"/>
      <c r="D812" s="64"/>
      <c r="E812" s="64"/>
      <c r="F812" s="67"/>
      <c r="G812" s="996"/>
      <c r="H812" s="74"/>
      <c r="I812" s="447"/>
      <c r="J812" s="447"/>
      <c r="K812" s="438"/>
      <c r="L812" s="447"/>
      <c r="M812" s="65"/>
      <c r="N812" s="66"/>
      <c r="O812" s="66"/>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IF(AND('341-CT'!$H$9=H812,OR(LEFT(N812,3)=$W$7,LEFT(O812,3)=$W$7)),"x","")</f>
        <v/>
      </c>
      <c r="X812" s="85" t="str">
        <f>IF(OR(TH!N812=TH!$X$7,O812=TH!$X$7),"x","")</f>
        <v/>
      </c>
      <c r="Y812" s="85" t="str">
        <f>IF(AND(OR(N812="131",O812="131"),H812='131-CT'!$H$9),"x","")</f>
        <v/>
      </c>
      <c r="Z812" s="85"/>
      <c r="AA812" s="85" t="str">
        <f>IF(AND(MONTH(E812)='IN-NX'!$J$5,'IN-NX'!$D$7=D812),"x","")</f>
        <v/>
      </c>
      <c r="AB812" s="85" t="str">
        <f>IF(AND(OR(LEFT(TH!N812,2)="15",LEFT(TH!O812,2)="15"),'152-CT'!$J$8=TH!F812),"x","")</f>
        <v/>
      </c>
      <c r="AC812" s="85" t="str">
        <f>IF(AND(OR(LEFT(TH!N812,2)="15",LEFT(TH!O812,2)="15"),TK!$E$7=TH!F812),"x","")</f>
        <v/>
      </c>
      <c r="AD812" s="85" t="str">
        <f>IF(AND(N812="1521",MONTH(C812)='BK-NL'!$M$11),"x","")</f>
        <v/>
      </c>
    </row>
    <row r="813" spans="1:30" ht="17.25" customHeight="1">
      <c r="A813" s="343" t="str">
        <f>IF(B813&lt;&gt;"",IF(AND(B813='IN-TC'!$S$4,OR(TH!N813="1111",TH!O813="1111")),TH!D813,""),"")</f>
        <v/>
      </c>
      <c r="B813" s="63" t="str">
        <f t="shared" si="82"/>
        <v/>
      </c>
      <c r="C813" s="64"/>
      <c r="D813" s="64"/>
      <c r="E813" s="64"/>
      <c r="F813" s="67"/>
      <c r="G813" s="996"/>
      <c r="H813" s="74"/>
      <c r="I813" s="447"/>
      <c r="J813" s="447"/>
      <c r="K813" s="438"/>
      <c r="L813" s="447"/>
      <c r="M813" s="65"/>
      <c r="N813" s="66"/>
      <c r="O813" s="66"/>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
      </c>
      <c r="U813" s="85" t="str">
        <f>IF(ISERROR(FIND('112'!$M$9,G813,1)),"",IF((AND(LEFT(G813,2)=LEFT('112'!$M$9,2),B813&lt;'112'!$K$9,$N813='112'!$I$6)),"x",""))</f>
        <v/>
      </c>
      <c r="V813" s="85" t="str">
        <f>IF(ISERROR(FIND('112'!$M$9,G813,1)),"",IF((AND(RIGHT(G813,2)=RIGHT('112'!$M$9,2),B813&lt;'112'!$K$9,$O813='112'!$I$6)),"x",""))</f>
        <v/>
      </c>
      <c r="W813" s="85" t="str">
        <f>IF(AND('341-CT'!$H$9=H813,OR(LEFT(N813,3)=$W$7,LEFT(O813,3)=$W$7)),"x","")</f>
        <v/>
      </c>
      <c r="X813" s="85" t="str">
        <f>IF(OR(TH!N813=TH!$X$7,O813=TH!$X$7),"x","")</f>
        <v/>
      </c>
      <c r="Y813" s="85" t="str">
        <f>IF(AND(OR(N813="131",O813="131"),H813='131-CT'!$H$9),"x","")</f>
        <v/>
      </c>
      <c r="Z813" s="85"/>
      <c r="AA813" s="85" t="str">
        <f>IF(AND(MONTH(E813)='IN-NX'!$J$5,'IN-NX'!$D$7=D813),"x","")</f>
        <v/>
      </c>
      <c r="AB813" s="85" t="str">
        <f>IF(AND(OR(LEFT(TH!N813,2)="15",LEFT(TH!O813,2)="15"),'152-CT'!$J$8=TH!F813),"x","")</f>
        <v/>
      </c>
      <c r="AC813" s="85" t="str">
        <f>IF(AND(OR(LEFT(TH!N813,2)="15",LEFT(TH!O813,2)="15"),TK!$E$7=TH!F813),"x","")</f>
        <v/>
      </c>
      <c r="AD813" s="85" t="str">
        <f>IF(AND(N813="1521",MONTH(C813)='BK-NL'!$M$11),"x","")</f>
        <v/>
      </c>
    </row>
    <row r="814" spans="1:30" ht="17.25" customHeight="1">
      <c r="A814" s="343" t="str">
        <f>IF(B814&lt;&gt;"",IF(AND(B814='IN-TC'!$S$4,OR(TH!N814="1111",TH!O814="1111")),TH!D814,""),"")</f>
        <v/>
      </c>
      <c r="B814" s="63" t="str">
        <f t="shared" si="82"/>
        <v/>
      </c>
      <c r="C814" s="64"/>
      <c r="D814" s="64"/>
      <c r="E814" s="64"/>
      <c r="F814" s="67"/>
      <c r="G814" s="67"/>
      <c r="H814" s="74"/>
      <c r="I814" s="447"/>
      <c r="J814" s="447"/>
      <c r="K814" s="438"/>
      <c r="L814" s="447"/>
      <c r="M814" s="65"/>
      <c r="N814" s="66"/>
      <c r="O814" s="66"/>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IF(AND('341-CT'!$H$9=H814,OR(LEFT(N814,3)=$W$7,LEFT(O814,3)=$W$7)),"x","")</f>
        <v/>
      </c>
      <c r="X814" s="85" t="str">
        <f>IF(OR(TH!N814=TH!$X$7,O814=TH!$X$7),"x","")</f>
        <v/>
      </c>
      <c r="Y814" s="85" t="str">
        <f>IF(AND(OR(N814="131",O814="131"),H814='131-CT'!$H$9),"x","")</f>
        <v/>
      </c>
      <c r="Z814" s="85"/>
      <c r="AA814" s="85" t="str">
        <f>IF(AND(MONTH(E814)='IN-NX'!$J$5,'IN-NX'!$D$7=D814),"x","")</f>
        <v/>
      </c>
      <c r="AB814" s="85" t="str">
        <f>IF(AND(OR(LEFT(TH!N814,2)="15",LEFT(TH!O814,2)="15"),'152-CT'!$J$8=TH!F814),"x","")</f>
        <v/>
      </c>
      <c r="AC814" s="85" t="str">
        <f>IF(AND(OR(LEFT(TH!N814,2)="15",LEFT(TH!O814,2)="15"),TK!$E$7=TH!F814),"x","")</f>
        <v/>
      </c>
      <c r="AD814" s="85" t="str">
        <f>IF(AND(N814="1521",MONTH(C814)='BK-NL'!$M$11),"x","")</f>
        <v/>
      </c>
    </row>
    <row r="815" spans="1:30" ht="17.25" customHeight="1">
      <c r="A815" s="343" t="str">
        <f>IF(B815&lt;&gt;"",IF(AND(B815='IN-TC'!$S$4,OR(TH!N815="1111",TH!O815="1111")),TH!D815,""),"")</f>
        <v/>
      </c>
      <c r="B815" s="63" t="str">
        <f t="shared" si="82"/>
        <v/>
      </c>
      <c r="C815" s="64"/>
      <c r="D815" s="64"/>
      <c r="E815" s="64"/>
      <c r="F815" s="67"/>
      <c r="G815" s="67"/>
      <c r="H815" s="74"/>
      <c r="I815" s="447"/>
      <c r="J815" s="447"/>
      <c r="K815" s="438"/>
      <c r="L815" s="447"/>
      <c r="M815" s="65"/>
      <c r="N815" s="66"/>
      <c r="O815" s="66"/>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IF(AND('341-CT'!$H$9=H815,OR(LEFT(N815,3)=$W$7,LEFT(O815,3)=$W$7)),"x","")</f>
        <v/>
      </c>
      <c r="X815" s="85" t="str">
        <f>IF(OR(TH!N815=TH!$X$7,O815=TH!$X$7),"x","")</f>
        <v/>
      </c>
      <c r="Y815" s="85" t="str">
        <f>IF(AND(OR(N815="131",O815="131"),H815='131-CT'!$H$9),"x","")</f>
        <v/>
      </c>
      <c r="Z815" s="85"/>
      <c r="AA815" s="85" t="str">
        <f>IF(AND(MONTH(E815)='IN-NX'!$J$5,'IN-NX'!$D$7=D815),"x","")</f>
        <v/>
      </c>
      <c r="AB815" s="85" t="str">
        <f>IF(AND(OR(LEFT(TH!N815,2)="15",LEFT(TH!O815,2)="15"),'152-CT'!$J$8=TH!F815),"x","")</f>
        <v/>
      </c>
      <c r="AC815" s="85" t="str">
        <f>IF(AND(OR(LEFT(TH!N815,2)="15",LEFT(TH!O815,2)="15"),TK!$E$7=TH!F815),"x","")</f>
        <v/>
      </c>
      <c r="AD815" s="85" t="str">
        <f>IF(AND(N815="1521",MONTH(C815)='BK-NL'!$M$11),"x","")</f>
        <v/>
      </c>
    </row>
    <row r="816" spans="1:30" ht="15.75" customHeight="1">
      <c r="A816" s="343" t="str">
        <f>IF(B816&lt;&gt;"",IF(AND(B816='IN-TC'!$S$4,OR(TH!N816="1111",TH!O816="1111")),TH!D816,""),"")</f>
        <v/>
      </c>
      <c r="B816" s="63" t="str">
        <f t="shared" si="82"/>
        <v/>
      </c>
      <c r="C816" s="64"/>
      <c r="D816" s="64"/>
      <c r="E816" s="64"/>
      <c r="F816" s="67"/>
      <c r="G816" s="67"/>
      <c r="H816" s="74"/>
      <c r="I816" s="447"/>
      <c r="J816" s="447"/>
      <c r="K816" s="438"/>
      <c r="L816" s="447"/>
      <c r="M816" s="65"/>
      <c r="N816" s="66"/>
      <c r="O816" s="66"/>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IF(AND('341-CT'!$H$9=H816,OR(LEFT(N816,3)=$W$7,LEFT(O816,3)=$W$7)),"x","")</f>
        <v/>
      </c>
      <c r="X816" s="85" t="str">
        <f>IF(OR(TH!N816=TH!$X$7,O816=TH!$X$7),"x","")</f>
        <v/>
      </c>
      <c r="Y816" s="85" t="str">
        <f>IF(AND(OR(N816="131",O816="131"),H816='131-CT'!$H$9),"x","")</f>
        <v/>
      </c>
      <c r="Z816" s="85"/>
      <c r="AA816" s="85" t="str">
        <f>IF(AND(MONTH(E816)='IN-NX'!$J$5,'IN-NX'!$D$7=D816),"x","")</f>
        <v/>
      </c>
      <c r="AB816" s="85" t="str">
        <f>IF(AND(OR(LEFT(TH!N816,2)="15",LEFT(TH!O816,2)="15"),'152-CT'!$J$8=TH!F816),"x","")</f>
        <v/>
      </c>
      <c r="AC816" s="85" t="str">
        <f>IF(AND(OR(LEFT(TH!N816,2)="15",LEFT(TH!O816,2)="15"),TK!$E$7=TH!F816),"x","")</f>
        <v/>
      </c>
      <c r="AD816" s="85" t="str">
        <f>IF(AND(N816="1521",MONTH(C816)='BK-NL'!$M$11),"x","")</f>
        <v/>
      </c>
    </row>
    <row r="817" spans="1:30" ht="15.75" customHeight="1">
      <c r="A817" s="343" t="str">
        <f>IF(B817&lt;&gt;"",IF(AND(B817='IN-TC'!$S$4,OR(TH!N817="1111",TH!O817="1111")),TH!D817,""),"")</f>
        <v/>
      </c>
      <c r="B817" s="63" t="str">
        <f t="shared" si="82"/>
        <v/>
      </c>
      <c r="C817" s="64"/>
      <c r="D817" s="64"/>
      <c r="E817" s="64"/>
      <c r="F817" s="67"/>
      <c r="G817" s="67"/>
      <c r="H817" s="74"/>
      <c r="I817" s="447"/>
      <c r="J817" s="447"/>
      <c r="K817" s="438"/>
      <c r="L817" s="447"/>
      <c r="M817" s="65"/>
      <c r="N817" s="66"/>
      <c r="O817" s="66"/>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IF(AND('341-CT'!$H$9=H817,OR(LEFT(N817,3)=$W$7,LEFT(O817,3)=$W$7)),"x","")</f>
        <v/>
      </c>
      <c r="X817" s="85" t="str">
        <f>IF(OR(TH!N817=TH!$X$7,O817=TH!$X$7),"x","")</f>
        <v/>
      </c>
      <c r="Y817" s="85" t="str">
        <f>IF(AND(OR(N817="131",O817="131"),H817='131-CT'!$H$9),"x","")</f>
        <v/>
      </c>
      <c r="Z817" s="85"/>
      <c r="AA817" s="85" t="str">
        <f>IF(AND(MONTH(E817)='IN-NX'!$J$5,'IN-NX'!$D$7=D817),"x","")</f>
        <v/>
      </c>
      <c r="AB817" s="85" t="str">
        <f>IF(AND(OR(LEFT(TH!N817,2)="15",LEFT(TH!O817,2)="15"),'152-CT'!$J$8=TH!F817),"x","")</f>
        <v/>
      </c>
      <c r="AC817" s="85" t="str">
        <f>IF(AND(OR(LEFT(TH!N817,2)="15",LEFT(TH!O817,2)="15"),TK!$E$7=TH!F817),"x","")</f>
        <v/>
      </c>
      <c r="AD817" s="85" t="str">
        <f>IF(AND(N817="1521",MONTH(C817)='BK-NL'!$M$11),"x","")</f>
        <v/>
      </c>
    </row>
    <row r="818" spans="1:30" ht="15.75" customHeight="1">
      <c r="A818" s="343" t="str">
        <f>IF(B818&lt;&gt;"",IF(AND(B818='IN-TC'!$S$4,OR(TH!N818="1111",TH!O818="1111")),TH!D818,""),"")</f>
        <v/>
      </c>
      <c r="B818" s="63" t="str">
        <f t="shared" si="82"/>
        <v/>
      </c>
      <c r="C818" s="64"/>
      <c r="D818" s="64"/>
      <c r="E818" s="64"/>
      <c r="F818" s="67"/>
      <c r="G818" s="67"/>
      <c r="H818" s="74"/>
      <c r="I818" s="447"/>
      <c r="J818" s="447"/>
      <c r="K818" s="438"/>
      <c r="L818" s="447"/>
      <c r="M818" s="65"/>
      <c r="N818" s="66"/>
      <c r="O818" s="66"/>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IF(AND('341-CT'!$H$9=H818,OR(LEFT(N818,3)=$W$7,LEFT(O818,3)=$W$7)),"x","")</f>
        <v/>
      </c>
      <c r="X818" s="85" t="str">
        <f>IF(OR(TH!N818=TH!$X$7,O818=TH!$X$7),"x","")</f>
        <v/>
      </c>
      <c r="Y818" s="85" t="str">
        <f>IF(AND(OR(N818="131",O818="131"),H818='131-CT'!$H$9),"x","")</f>
        <v/>
      </c>
      <c r="Z818" s="85"/>
      <c r="AA818" s="85" t="str">
        <f>IF(AND(MONTH(E818)='IN-NX'!$J$5,'IN-NX'!$D$7=D818),"x","")</f>
        <v/>
      </c>
      <c r="AB818" s="85" t="str">
        <f>IF(AND(OR(LEFT(TH!N818,2)="15",LEFT(TH!O818,2)="15"),'152-CT'!$J$8=TH!F818),"x","")</f>
        <v/>
      </c>
      <c r="AC818" s="85" t="str">
        <f>IF(AND(OR(LEFT(TH!N818,2)="15",LEFT(TH!O818,2)="15"),TK!$E$7=TH!F818),"x","")</f>
        <v/>
      </c>
      <c r="AD818" s="85" t="str">
        <f>IF(AND(N818="1521",MONTH(C818)='BK-NL'!$M$11),"x","")</f>
        <v/>
      </c>
    </row>
    <row r="819" spans="1:30" ht="15.75" customHeight="1">
      <c r="A819" s="343" t="str">
        <f>IF(B819&lt;&gt;"",IF(AND(B819='IN-TC'!$S$4,OR(TH!N819="1111",TH!O819="1111")),TH!D819,""),"")</f>
        <v/>
      </c>
      <c r="B819" s="63" t="str">
        <f t="shared" si="82"/>
        <v/>
      </c>
      <c r="C819" s="64"/>
      <c r="D819" s="64"/>
      <c r="E819" s="64"/>
      <c r="F819" s="67"/>
      <c r="G819" s="996"/>
      <c r="H819" s="74"/>
      <c r="I819" s="447"/>
      <c r="J819" s="447"/>
      <c r="K819" s="438"/>
      <c r="L819" s="447"/>
      <c r="M819" s="65"/>
      <c r="N819" s="66"/>
      <c r="O819" s="66"/>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IF(AND('341-CT'!$H$9=H819,OR(LEFT(N819,3)=$W$7,LEFT(O819,3)=$W$7)),"x","")</f>
        <v/>
      </c>
      <c r="X819" s="85" t="str">
        <f>IF(OR(TH!N819=TH!$X$7,O819=TH!$X$7),"x","")</f>
        <v/>
      </c>
      <c r="Y819" s="85" t="str">
        <f>IF(AND(OR(N819="131",O819="131"),H819='131-CT'!$H$9),"x","")</f>
        <v/>
      </c>
      <c r="Z819" s="85"/>
      <c r="AA819" s="85" t="str">
        <f>IF(AND(MONTH(E819)='IN-NX'!$J$5,'IN-NX'!$D$7=D819),"x","")</f>
        <v/>
      </c>
      <c r="AB819" s="85" t="str">
        <f>IF(AND(OR(LEFT(TH!N819,2)="15",LEFT(TH!O819,2)="15"),'152-CT'!$J$8=TH!F819),"x","")</f>
        <v/>
      </c>
      <c r="AC819" s="85" t="str">
        <f>IF(AND(OR(LEFT(TH!N819,2)="15",LEFT(TH!O819,2)="15"),TK!$E$7=TH!F819),"x","")</f>
        <v/>
      </c>
      <c r="AD819" s="85" t="str">
        <f>IF(AND(N819="1521",MONTH(C819)='BK-NL'!$M$11),"x","")</f>
        <v/>
      </c>
    </row>
    <row r="820" spans="1:30" ht="15.75" customHeight="1">
      <c r="A820" s="343" t="str">
        <f>IF(B820&lt;&gt;"",IF(AND(B820='IN-TC'!$S$4,OR(TH!N820="1111",TH!O820="1111")),TH!D820,""),"")</f>
        <v/>
      </c>
      <c r="B820" s="63" t="str">
        <f t="shared" si="82"/>
        <v/>
      </c>
      <c r="C820" s="64"/>
      <c r="D820" s="64"/>
      <c r="E820" s="64"/>
      <c r="F820" s="67"/>
      <c r="G820" s="996"/>
      <c r="H820" s="74"/>
      <c r="I820" s="447"/>
      <c r="J820" s="447"/>
      <c r="K820" s="438"/>
      <c r="L820" s="447"/>
      <c r="M820" s="65"/>
      <c r="N820" s="66"/>
      <c r="O820" s="66"/>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IF(AND('341-CT'!$H$9=H820,OR(LEFT(N820,3)=$W$7,LEFT(O820,3)=$W$7)),"x","")</f>
        <v/>
      </c>
      <c r="X820" s="85" t="str">
        <f>IF(OR(TH!N820=TH!$X$7,O820=TH!$X$7),"x","")</f>
        <v/>
      </c>
      <c r="Y820" s="85" t="str">
        <f>IF(AND(OR(N820="131",O820="131"),H820='131-CT'!$H$9),"x","")</f>
        <v/>
      </c>
      <c r="Z820" s="85"/>
      <c r="AA820" s="85" t="str">
        <f>IF(AND(MONTH(E820)='IN-NX'!$J$5,'IN-NX'!$D$7=D820),"x","")</f>
        <v/>
      </c>
      <c r="AB820" s="85" t="str">
        <f>IF(AND(OR(LEFT(TH!N820,2)="15",LEFT(TH!O820,2)="15"),'152-CT'!$J$8=TH!F820),"x","")</f>
        <v/>
      </c>
      <c r="AC820" s="85" t="str">
        <f>IF(AND(OR(LEFT(TH!N820,2)="15",LEFT(TH!O820,2)="15"),TK!$E$7=TH!F820),"x","")</f>
        <v/>
      </c>
      <c r="AD820" s="85" t="str">
        <f>IF(AND(N820="1521",MONTH(C820)='BK-NL'!$M$11),"x","")</f>
        <v/>
      </c>
    </row>
    <row r="821" spans="1:30" ht="15.75" customHeight="1">
      <c r="A821" s="343" t="str">
        <f>IF(B821&lt;&gt;"",IF(AND(B821='IN-TC'!$S$4,OR(TH!N821="1111",TH!O821="1111")),TH!D821,""),"")</f>
        <v/>
      </c>
      <c r="B821" s="63" t="str">
        <f t="shared" si="82"/>
        <v/>
      </c>
      <c r="C821" s="64"/>
      <c r="D821" s="64"/>
      <c r="E821" s="64"/>
      <c r="F821" s="67"/>
      <c r="G821" s="996"/>
      <c r="H821" s="74"/>
      <c r="I821" s="447"/>
      <c r="J821" s="447"/>
      <c r="K821" s="438"/>
      <c r="L821" s="447"/>
      <c r="M821" s="65"/>
      <c r="N821" s="66"/>
      <c r="O821" s="66"/>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IF(AND('341-CT'!$H$9=H821,OR(LEFT(N821,3)=$W$7,LEFT(O821,3)=$W$7)),"x","")</f>
        <v/>
      </c>
      <c r="X821" s="85" t="str">
        <f>IF(OR(TH!N821=TH!$X$7,O821=TH!$X$7),"x","")</f>
        <v/>
      </c>
      <c r="Y821" s="85" t="str">
        <f>IF(AND(OR(N821="131",O821="131"),H821='131-CT'!$H$9),"x","")</f>
        <v/>
      </c>
      <c r="Z821" s="85"/>
      <c r="AA821" s="85" t="str">
        <f>IF(AND(MONTH(E821)='IN-NX'!$J$5,'IN-NX'!$D$7=D821),"x","")</f>
        <v/>
      </c>
      <c r="AB821" s="85" t="str">
        <f>IF(AND(OR(LEFT(TH!N821,2)="15",LEFT(TH!O821,2)="15"),'152-CT'!$J$8=TH!F821),"x","")</f>
        <v/>
      </c>
      <c r="AC821" s="85" t="str">
        <f>IF(AND(OR(LEFT(TH!N821,2)="15",LEFT(TH!O821,2)="15"),TK!$E$7=TH!F821),"x","")</f>
        <v/>
      </c>
      <c r="AD821" s="85" t="str">
        <f>IF(AND(N821="1521",MONTH(C821)='BK-NL'!$M$11),"x","")</f>
        <v/>
      </c>
    </row>
    <row r="822" spans="1:30" ht="15.75" customHeight="1">
      <c r="A822" s="343" t="str">
        <f>IF(B822&lt;&gt;"",IF(AND(B822='IN-TC'!$S$4,OR(TH!N822="1111",TH!O822="1111")),TH!D822,""),"")</f>
        <v/>
      </c>
      <c r="B822" s="63" t="str">
        <f t="shared" si="82"/>
        <v/>
      </c>
      <c r="C822" s="64"/>
      <c r="D822" s="64"/>
      <c r="E822" s="64"/>
      <c r="F822" s="67"/>
      <c r="G822" s="996"/>
      <c r="H822" s="74"/>
      <c r="I822" s="447"/>
      <c r="J822" s="447"/>
      <c r="K822" s="438"/>
      <c r="L822" s="447"/>
      <c r="M822" s="65"/>
      <c r="N822" s="332"/>
      <c r="O822" s="66"/>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IF(AND('341-CT'!$H$9=H822,OR(LEFT(N822,3)=$W$7,LEFT(O822,3)=$W$7)),"x","")</f>
        <v/>
      </c>
      <c r="X822" s="85" t="str">
        <f>IF(OR(TH!N822=TH!$X$7,O822=TH!$X$7),"x","")</f>
        <v/>
      </c>
      <c r="Y822" s="85" t="str">
        <f>IF(AND(OR(N822="131",O822="131"),H822='131-CT'!$H$9),"x","")</f>
        <v/>
      </c>
      <c r="Z822" s="85"/>
      <c r="AA822" s="85" t="str">
        <f>IF(AND(MONTH(E822)='IN-NX'!$J$5,'IN-NX'!$D$7=D822),"x","")</f>
        <v/>
      </c>
      <c r="AB822" s="85" t="str">
        <f>IF(AND(OR(LEFT(TH!N822,2)="15",LEFT(TH!O822,2)="15"),'152-CT'!$J$8=TH!F822),"x","")</f>
        <v/>
      </c>
      <c r="AC822" s="85" t="str">
        <f>IF(AND(OR(LEFT(TH!N822,2)="15",LEFT(TH!O822,2)="15"),TK!$E$7=TH!F822),"x","")</f>
        <v/>
      </c>
      <c r="AD822" s="85" t="str">
        <f>IF(AND(N822="1521",MONTH(C822)='BK-NL'!$M$11),"x","")</f>
        <v/>
      </c>
    </row>
    <row r="823" spans="1:30" ht="15.75" customHeight="1">
      <c r="A823" s="343" t="str">
        <f>IF(B823&lt;&gt;"",IF(AND(B823='IN-TC'!$S$4,OR(TH!N823="1111",TH!O823="1111")),TH!D823,""),"")</f>
        <v/>
      </c>
      <c r="B823" s="63" t="str">
        <f t="shared" si="82"/>
        <v/>
      </c>
      <c r="C823" s="81"/>
      <c r="D823" s="81"/>
      <c r="E823" s="64"/>
      <c r="F823" s="82"/>
      <c r="G823" s="999"/>
      <c r="H823" s="324"/>
      <c r="I823" s="445"/>
      <c r="J823" s="445"/>
      <c r="K823" s="436"/>
      <c r="L823" s="445"/>
      <c r="M823" s="84"/>
      <c r="N823" s="85"/>
      <c r="O823" s="85"/>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
      </c>
      <c r="U823" s="85" t="str">
        <f>IF(ISERROR(FIND('112'!$M$9,G823,1)),"",IF((AND(LEFT(G823,2)=LEFT('112'!$M$9,2),B823&lt;'112'!$K$9,$N823='112'!$I$6)),"x",""))</f>
        <v/>
      </c>
      <c r="V823" s="85" t="str">
        <f>IF(ISERROR(FIND('112'!$M$9,G823,1)),"",IF((AND(RIGHT(G823,2)=RIGHT('112'!$M$9,2),B823&lt;'112'!$K$9,$O823='112'!$I$6)),"x",""))</f>
        <v/>
      </c>
      <c r="W823" s="85" t="str">
        <f>IF(AND('341-CT'!$H$9=H823,OR(LEFT(N823,3)=$W$7,LEFT(O823,3)=$W$7)),"x","")</f>
        <v/>
      </c>
      <c r="X823" s="85" t="str">
        <f>IF(OR(TH!N823=TH!$X$7,O823=TH!$X$7),"x","")</f>
        <v/>
      </c>
      <c r="Y823" s="85" t="str">
        <f>IF(AND(OR(N823="131",O823="131"),H823='131-CT'!$H$9),"x","")</f>
        <v/>
      </c>
      <c r="Z823" s="85"/>
      <c r="AA823" s="85" t="str">
        <f>IF(AND(MONTH(E823)='IN-NX'!$J$5,'IN-NX'!$D$7=D823),"x","")</f>
        <v/>
      </c>
      <c r="AB823" s="85" t="str">
        <f>IF(AND(OR(LEFT(TH!N823,2)="15",LEFT(TH!O823,2)="15"),'152-CT'!$J$8=TH!F823),"x","")</f>
        <v/>
      </c>
      <c r="AC823" s="85" t="str">
        <f>IF(AND(OR(LEFT(TH!N823,2)="15",LEFT(TH!O823,2)="15"),TK!$E$7=TH!F823),"x","")</f>
        <v/>
      </c>
      <c r="AD823" s="85" t="str">
        <f>IF(AND(N823="1521",MONTH(C823)='BK-NL'!$M$11),"x","")</f>
        <v/>
      </c>
    </row>
    <row r="824" spans="1:30" ht="15.75" customHeight="1">
      <c r="A824" s="343" t="str">
        <f>IF(B824&lt;&gt;"",IF(AND(B824='IN-TC'!$S$4,OR(TH!N824="1111",TH!O824="1111")),TH!D824,""),"")</f>
        <v/>
      </c>
      <c r="B824" s="63" t="str">
        <f t="shared" si="82"/>
        <v/>
      </c>
      <c r="C824" s="64"/>
      <c r="D824" s="64"/>
      <c r="E824" s="64"/>
      <c r="F824" s="67"/>
      <c r="G824" s="996"/>
      <c r="H824" s="74"/>
      <c r="I824" s="447"/>
      <c r="J824" s="447"/>
      <c r="K824" s="438"/>
      <c r="L824" s="447"/>
      <c r="M824" s="65"/>
      <c r="N824" s="66"/>
      <c r="O824" s="66"/>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
      </c>
      <c r="U824" s="85" t="str">
        <f>IF(ISERROR(FIND('112'!$M$9,G824,1)),"",IF((AND(LEFT(G824,2)=LEFT('112'!$M$9,2),B824&lt;'112'!$K$9,$N824='112'!$I$6)),"x",""))</f>
        <v/>
      </c>
      <c r="V824" s="85" t="str">
        <f>IF(ISERROR(FIND('112'!$M$9,G824,1)),"",IF((AND(RIGHT(G824,2)=RIGHT('112'!$M$9,2),B824&lt;'112'!$K$9,$O824='112'!$I$6)),"x",""))</f>
        <v/>
      </c>
      <c r="W824" s="85" t="str">
        <f>IF(AND('341-CT'!$H$9=H824,OR(LEFT(N824,3)=$W$7,LEFT(O824,3)=$W$7)),"x","")</f>
        <v/>
      </c>
      <c r="X824" s="85" t="str">
        <f>IF(OR(TH!N824=TH!$X$7,O824=TH!$X$7),"x","")</f>
        <v/>
      </c>
      <c r="Y824" s="85" t="str">
        <f>IF(AND(OR(N824="131",O824="131"),H824='131-CT'!$H$9),"x","")</f>
        <v/>
      </c>
      <c r="Z824" s="85"/>
      <c r="AA824" s="85" t="str">
        <f>IF(AND(MONTH(E824)='IN-NX'!$J$5,'IN-NX'!$D$7=D824),"x","")</f>
        <v/>
      </c>
      <c r="AB824" s="85" t="str">
        <f>IF(AND(OR(LEFT(TH!N824,2)="15",LEFT(TH!O824,2)="15"),'152-CT'!$J$8=TH!F824),"x","")</f>
        <v/>
      </c>
      <c r="AC824" s="85" t="str">
        <f>IF(AND(OR(LEFT(TH!N824,2)="15",LEFT(TH!O824,2)="15"),TK!$E$7=TH!F824),"x","")</f>
        <v/>
      </c>
      <c r="AD824" s="85" t="str">
        <f>IF(AND(N824="1521",MONTH(C824)='BK-NL'!$M$11),"x","")</f>
        <v/>
      </c>
    </row>
    <row r="825" spans="1:30" ht="15.75" customHeight="1">
      <c r="A825" s="343" t="str">
        <f>IF(B825&lt;&gt;"",IF(AND(B825='IN-TC'!$S$4,OR(TH!N825="1111",TH!O825="1111")),TH!D825,""),"")</f>
        <v/>
      </c>
      <c r="B825" s="63" t="str">
        <f t="shared" si="82"/>
        <v/>
      </c>
      <c r="C825" s="64"/>
      <c r="D825" s="64"/>
      <c r="E825" s="64"/>
      <c r="F825" s="67"/>
      <c r="G825" s="996"/>
      <c r="H825" s="74"/>
      <c r="I825" s="447"/>
      <c r="J825" s="447"/>
      <c r="K825" s="438"/>
      <c r="L825" s="447"/>
      <c r="M825" s="65"/>
      <c r="N825" s="66"/>
      <c r="O825" s="66"/>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IF(AND('341-CT'!$H$9=H825,OR(LEFT(N825,3)=$W$7,LEFT(O825,3)=$W$7)),"x","")</f>
        <v/>
      </c>
      <c r="X825" s="85" t="str">
        <f>IF(OR(TH!N825=TH!$X$7,O825=TH!$X$7),"x","")</f>
        <v/>
      </c>
      <c r="Y825" s="85" t="str">
        <f>IF(AND(OR(N825="131",O825="131"),H825='131-CT'!$H$9),"x","")</f>
        <v/>
      </c>
      <c r="Z825" s="85"/>
      <c r="AA825" s="85" t="str">
        <f>IF(AND(MONTH(E825)='IN-NX'!$J$5,'IN-NX'!$D$7=D825),"x","")</f>
        <v/>
      </c>
      <c r="AB825" s="85" t="str">
        <f>IF(AND(OR(LEFT(TH!N825,2)="15",LEFT(TH!O825,2)="15"),'152-CT'!$J$8=TH!F825),"x","")</f>
        <v/>
      </c>
      <c r="AC825" s="85" t="str">
        <f>IF(AND(OR(LEFT(TH!N825,2)="15",LEFT(TH!O825,2)="15"),TK!$E$7=TH!F825),"x","")</f>
        <v/>
      </c>
      <c r="AD825" s="85" t="str">
        <f>IF(AND(N825="1521",MONTH(C825)='BK-NL'!$M$11),"x","")</f>
        <v/>
      </c>
    </row>
    <row r="826" spans="1:30" ht="15.75" customHeight="1">
      <c r="A826" s="343" t="str">
        <f>IF(B826&lt;&gt;"",IF(AND(B826='IN-TC'!$S$4,OR(TH!N826="1111",TH!O826="1111")),TH!D826,""),"")</f>
        <v/>
      </c>
      <c r="B826" s="63" t="str">
        <f t="shared" si="82"/>
        <v/>
      </c>
      <c r="C826" s="64"/>
      <c r="D826" s="64"/>
      <c r="E826" s="64"/>
      <c r="F826" s="67"/>
      <c r="G826" s="996"/>
      <c r="H826" s="74"/>
      <c r="I826" s="447"/>
      <c r="J826" s="447"/>
      <c r="K826" s="438"/>
      <c r="L826" s="447"/>
      <c r="M826" s="65"/>
      <c r="N826" s="66"/>
      <c r="O826" s="66"/>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IF(AND('341-CT'!$H$9=H826,OR(LEFT(N826,3)=$W$7,LEFT(O826,3)=$W$7)),"x","")</f>
        <v/>
      </c>
      <c r="X826" s="85" t="str">
        <f>IF(OR(TH!N826=TH!$X$7,O826=TH!$X$7),"x","")</f>
        <v/>
      </c>
      <c r="Y826" s="85" t="str">
        <f>IF(AND(OR(N826="131",O826="131"),H826='131-CT'!$H$9),"x","")</f>
        <v/>
      </c>
      <c r="Z826" s="85"/>
      <c r="AA826" s="85" t="str">
        <f>IF(AND(MONTH(E826)='IN-NX'!$J$5,'IN-NX'!$D$7=D826),"x","")</f>
        <v/>
      </c>
      <c r="AB826" s="85" t="str">
        <f>IF(AND(OR(LEFT(TH!N826,2)="15",LEFT(TH!O826,2)="15"),'152-CT'!$J$8=TH!F826),"x","")</f>
        <v/>
      </c>
      <c r="AC826" s="85" t="str">
        <f>IF(AND(OR(LEFT(TH!N826,2)="15",LEFT(TH!O826,2)="15"),TK!$E$7=TH!F826),"x","")</f>
        <v/>
      </c>
      <c r="AD826" s="85" t="str">
        <f>IF(AND(N826="1521",MONTH(C826)='BK-NL'!$M$11),"x","")</f>
        <v/>
      </c>
    </row>
    <row r="827" spans="1:30" ht="15.75" customHeight="1">
      <c r="A827" s="343" t="str">
        <f>IF(B827&lt;&gt;"",IF(AND(B827='IN-TC'!$S$4,OR(TH!N827="1111",TH!O827="1111")),TH!D827,""),"")</f>
        <v/>
      </c>
      <c r="B827" s="63" t="str">
        <f t="shared" si="82"/>
        <v/>
      </c>
      <c r="C827" s="64"/>
      <c r="D827" s="64"/>
      <c r="E827" s="64"/>
      <c r="F827" s="67"/>
      <c r="G827" s="996"/>
      <c r="H827" s="74"/>
      <c r="I827" s="447"/>
      <c r="J827" s="447"/>
      <c r="K827" s="438"/>
      <c r="L827" s="447"/>
      <c r="M827" s="65"/>
      <c r="N827" s="66"/>
      <c r="O827" s="66"/>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IF(AND('341-CT'!$H$9=H827,OR(LEFT(N827,3)=$W$7,LEFT(O827,3)=$W$7)),"x","")</f>
        <v/>
      </c>
      <c r="X827" s="85" t="str">
        <f>IF(OR(TH!N827=TH!$X$7,O827=TH!$X$7),"x","")</f>
        <v/>
      </c>
      <c r="Y827" s="85" t="str">
        <f>IF(AND(OR(N827="131",O827="131"),H827='131-CT'!$H$9),"x","")</f>
        <v/>
      </c>
      <c r="Z827" s="85"/>
      <c r="AA827" s="85" t="str">
        <f>IF(AND(MONTH(E827)='IN-NX'!$J$5,'IN-NX'!$D$7=D827),"x","")</f>
        <v/>
      </c>
      <c r="AB827" s="85" t="str">
        <f>IF(AND(OR(LEFT(TH!N827,2)="15",LEFT(TH!O827,2)="15"),'152-CT'!$J$8=TH!F827),"x","")</f>
        <v/>
      </c>
      <c r="AC827" s="85" t="str">
        <f>IF(AND(OR(LEFT(TH!N827,2)="15",LEFT(TH!O827,2)="15"),TK!$E$7=TH!F827),"x","")</f>
        <v/>
      </c>
      <c r="AD827" s="85" t="str">
        <f>IF(AND(N827="1521",MONTH(C827)='BK-NL'!$M$11),"x","")</f>
        <v/>
      </c>
    </row>
    <row r="828" spans="1:30" ht="15.75" customHeight="1">
      <c r="A828" s="343" t="str">
        <f>IF(B828&lt;&gt;"",IF(AND(B828='IN-TC'!$S$4,OR(TH!N828="1111",TH!O828="1111")),TH!D828,""),"")</f>
        <v/>
      </c>
      <c r="B828" s="63" t="str">
        <f t="shared" si="82"/>
        <v/>
      </c>
      <c r="C828" s="64"/>
      <c r="D828" s="64"/>
      <c r="E828" s="64"/>
      <c r="F828" s="67"/>
      <c r="G828" s="67"/>
      <c r="H828" s="74"/>
      <c r="I828" s="447"/>
      <c r="J828" s="447"/>
      <c r="K828" s="438"/>
      <c r="L828" s="447"/>
      <c r="M828" s="65"/>
      <c r="N828" s="66"/>
      <c r="O828" s="66"/>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IF(AND('341-CT'!$H$9=H828,OR(LEFT(N828,3)=$W$7,LEFT(O828,3)=$W$7)),"x","")</f>
        <v/>
      </c>
      <c r="X828" s="85" t="str">
        <f>IF(OR(TH!N828=TH!$X$7,O828=TH!$X$7),"x","")</f>
        <v/>
      </c>
      <c r="Y828" s="85" t="str">
        <f>IF(AND(OR(N828="131",O828="131"),H828='131-CT'!$H$9),"x","")</f>
        <v/>
      </c>
      <c r="Z828" s="85"/>
      <c r="AA828" s="85" t="str">
        <f>IF(AND(MONTH(E828)='IN-NX'!$J$5,'IN-NX'!$D$7=D828),"x","")</f>
        <v/>
      </c>
      <c r="AB828" s="85" t="str">
        <f>IF(AND(OR(LEFT(TH!N828,2)="15",LEFT(TH!O828,2)="15"),'152-CT'!$J$8=TH!F828),"x","")</f>
        <v/>
      </c>
      <c r="AC828" s="85" t="str">
        <f>IF(AND(OR(LEFT(TH!N828,2)="15",LEFT(TH!O828,2)="15"),TK!$E$7=TH!F828),"x","")</f>
        <v/>
      </c>
      <c r="AD828" s="85" t="str">
        <f>IF(AND(N828="1521",MONTH(C828)='BK-NL'!$M$11),"x","")</f>
        <v/>
      </c>
    </row>
    <row r="829" spans="1:30" ht="15.75" customHeight="1">
      <c r="A829" s="343" t="str">
        <f>IF(B829&lt;&gt;"",IF(AND(B829='IN-TC'!$S$4,OR(TH!N829="1111",TH!O829="1111")),TH!D829,""),"")</f>
        <v/>
      </c>
      <c r="B829" s="63" t="str">
        <f t="shared" si="82"/>
        <v/>
      </c>
      <c r="C829" s="64"/>
      <c r="D829" s="64"/>
      <c r="E829" s="64"/>
      <c r="F829" s="67"/>
      <c r="G829" s="67"/>
      <c r="H829" s="74"/>
      <c r="I829" s="447"/>
      <c r="J829" s="447"/>
      <c r="K829" s="438"/>
      <c r="L829" s="447"/>
      <c r="M829" s="65"/>
      <c r="N829" s="66"/>
      <c r="O829" s="66"/>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IF(AND('341-CT'!$H$9=H829,OR(LEFT(N829,3)=$W$7,LEFT(O829,3)=$W$7)),"x","")</f>
        <v/>
      </c>
      <c r="X829" s="85" t="str">
        <f>IF(OR(TH!N829=TH!$X$7,O829=TH!$X$7),"x","")</f>
        <v/>
      </c>
      <c r="Y829" s="85" t="str">
        <f>IF(AND(OR(N829="131",O829="131"),H829='131-CT'!$H$9),"x","")</f>
        <v/>
      </c>
      <c r="Z829" s="85"/>
      <c r="AA829" s="85" t="str">
        <f>IF(AND(MONTH(E829)='IN-NX'!$J$5,'IN-NX'!$D$7=D829),"x","")</f>
        <v/>
      </c>
      <c r="AB829" s="85" t="str">
        <f>IF(AND(OR(LEFT(TH!N829,2)="15",LEFT(TH!O829,2)="15"),'152-CT'!$J$8=TH!F829),"x","")</f>
        <v/>
      </c>
      <c r="AC829" s="85" t="str">
        <f>IF(AND(OR(LEFT(TH!N829,2)="15",LEFT(TH!O829,2)="15"),TK!$E$7=TH!F829),"x","")</f>
        <v/>
      </c>
      <c r="AD829" s="85" t="str">
        <f>IF(AND(N829="1521",MONTH(C829)='BK-NL'!$M$11),"x","")</f>
        <v/>
      </c>
    </row>
    <row r="830" spans="1:30" ht="15.75" customHeight="1">
      <c r="A830" s="343" t="str">
        <f>IF(B830&lt;&gt;"",IF(AND(B830='IN-TC'!$S$4,OR(TH!N830="1111",TH!O830="1111")),TH!D830,""),"")</f>
        <v/>
      </c>
      <c r="B830" s="63" t="str">
        <f t="shared" si="82"/>
        <v/>
      </c>
      <c r="C830" s="64"/>
      <c r="D830" s="64"/>
      <c r="E830" s="64"/>
      <c r="F830" s="67"/>
      <c r="G830" s="67"/>
      <c r="H830" s="74"/>
      <c r="I830" s="447"/>
      <c r="J830" s="447"/>
      <c r="K830" s="438"/>
      <c r="L830" s="447"/>
      <c r="M830" s="65"/>
      <c r="N830" s="66"/>
      <c r="O830" s="66"/>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IF(AND('341-CT'!$H$9=H830,OR(LEFT(N830,3)=$W$7,LEFT(O830,3)=$W$7)),"x","")</f>
        <v/>
      </c>
      <c r="X830" s="85" t="str">
        <f>IF(OR(TH!N830=TH!$X$7,O830=TH!$X$7),"x","")</f>
        <v/>
      </c>
      <c r="Y830" s="85" t="str">
        <f>IF(AND(OR(N830="131",O830="131"),H830='131-CT'!$H$9),"x","")</f>
        <v/>
      </c>
      <c r="Z830" s="85"/>
      <c r="AA830" s="85" t="str">
        <f>IF(AND(MONTH(E830)='IN-NX'!$J$5,'IN-NX'!$D$7=D830),"x","")</f>
        <v/>
      </c>
      <c r="AB830" s="85" t="str">
        <f>IF(AND(OR(LEFT(TH!N830,2)="15",LEFT(TH!O830,2)="15"),'152-CT'!$J$8=TH!F830),"x","")</f>
        <v/>
      </c>
      <c r="AC830" s="85" t="str">
        <f>IF(AND(OR(LEFT(TH!N830,2)="15",LEFT(TH!O830,2)="15"),TK!$E$7=TH!F830),"x","")</f>
        <v/>
      </c>
      <c r="AD830" s="85" t="str">
        <f>IF(AND(N830="1521",MONTH(C830)='BK-NL'!$M$11),"x","")</f>
        <v/>
      </c>
    </row>
    <row r="831" spans="1:30" ht="15.75" customHeight="1">
      <c r="A831" s="343" t="str">
        <f>IF(B831&lt;&gt;"",IF(AND(B831='IN-TC'!$S$4,OR(TH!N831="1111",TH!O831="1111")),TH!D831,""),"")</f>
        <v/>
      </c>
      <c r="B831" s="63" t="str">
        <f t="shared" si="82"/>
        <v/>
      </c>
      <c r="C831" s="64"/>
      <c r="D831" s="64"/>
      <c r="E831" s="64"/>
      <c r="F831" s="67"/>
      <c r="G831" s="67"/>
      <c r="H831" s="351"/>
      <c r="I831" s="449"/>
      <c r="J831" s="449"/>
      <c r="K831" s="440"/>
      <c r="L831" s="449"/>
      <c r="M831" s="65"/>
      <c r="N831" s="66"/>
      <c r="O831" s="66"/>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IF(AND('341-CT'!$H$9=H831,OR(LEFT(N831,3)=$W$7,LEFT(O831,3)=$W$7)),"x","")</f>
        <v/>
      </c>
      <c r="X831" s="85" t="str">
        <f>IF(OR(TH!N831=TH!$X$7,O831=TH!$X$7),"x","")</f>
        <v/>
      </c>
      <c r="Y831" s="85" t="str">
        <f>IF(AND(OR(N831="131",O831="131"),H831='131-CT'!$H$9),"x","")</f>
        <v/>
      </c>
      <c r="Z831" s="85"/>
      <c r="AA831" s="85" t="str">
        <f>IF(AND(MONTH(E831)='IN-NX'!$J$5,'IN-NX'!$D$7=D831),"x","")</f>
        <v/>
      </c>
      <c r="AB831" s="85" t="str">
        <f>IF(AND(OR(LEFT(TH!N831,2)="15",LEFT(TH!O831,2)="15"),'152-CT'!$J$8=TH!F831),"x","")</f>
        <v/>
      </c>
      <c r="AC831" s="85" t="str">
        <f>IF(AND(OR(LEFT(TH!N831,2)="15",LEFT(TH!O831,2)="15"),TK!$E$7=TH!F831),"x","")</f>
        <v/>
      </c>
      <c r="AD831" s="85" t="str">
        <f>IF(AND(N831="1521",MONTH(C831)='BK-NL'!$M$11),"x","")</f>
        <v/>
      </c>
    </row>
    <row r="832" spans="1:30" ht="15.75" customHeight="1">
      <c r="A832" s="343" t="str">
        <f>IF(B832&lt;&gt;"",IF(AND(B832='IN-TC'!$S$4,OR(TH!N832="1111",TH!O832="1111")),TH!D832,""),"")</f>
        <v/>
      </c>
      <c r="B832" s="63" t="str">
        <f t="shared" si="82"/>
        <v/>
      </c>
      <c r="C832" s="64"/>
      <c r="D832" s="64"/>
      <c r="E832" s="64"/>
      <c r="F832" s="67"/>
      <c r="G832" s="67"/>
      <c r="H832" s="74"/>
      <c r="I832" s="447"/>
      <c r="J832" s="447"/>
      <c r="K832" s="438"/>
      <c r="L832" s="447"/>
      <c r="M832" s="65"/>
      <c r="N832" s="66"/>
      <c r="O832" s="66"/>
      <c r="P832" s="85" t="str">
        <f>IF(AND('331-CT'!$E$7=TH!H832,OR(N832="331",O832="331")),"x","")</f>
        <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IF(AND('341-CT'!$H$9=H832,OR(LEFT(N832,3)=$W$7,LEFT(O832,3)=$W$7)),"x","")</f>
        <v/>
      </c>
      <c r="X832" s="85" t="str">
        <f>IF(OR(TH!N832=TH!$X$7,O832=TH!$X$7),"x","")</f>
        <v/>
      </c>
      <c r="Y832" s="85" t="str">
        <f>IF(AND(OR(N832="131",O832="131"),H832='131-CT'!$H$9),"x","")</f>
        <v/>
      </c>
      <c r="Z832" s="85"/>
      <c r="AA832" s="85" t="str">
        <f>IF(AND(MONTH(E832)='IN-NX'!$J$5,'IN-NX'!$D$7=D832),"x","")</f>
        <v/>
      </c>
      <c r="AB832" s="85" t="str">
        <f>IF(AND(OR(LEFT(TH!N832,2)="15",LEFT(TH!O832,2)="15"),'152-CT'!$J$8=TH!F832),"x","")</f>
        <v/>
      </c>
      <c r="AC832" s="85" t="str">
        <f>IF(AND(OR(LEFT(TH!N832,2)="15",LEFT(TH!O832,2)="15"),TK!$E$7=TH!F832),"x","")</f>
        <v/>
      </c>
      <c r="AD832" s="85" t="str">
        <f>IF(AND(N832="1521",MONTH(C832)='BK-NL'!$M$11),"x","")</f>
        <v/>
      </c>
    </row>
    <row r="833" spans="1:30" ht="15.75" customHeight="1">
      <c r="A833" s="343" t="str">
        <f>IF(B833&lt;&gt;"",IF(AND(B833='IN-TC'!$S$4,OR(TH!N833="1111",TH!O833="1111")),TH!D833,""),"")</f>
        <v/>
      </c>
      <c r="B833" s="63" t="str">
        <f t="shared" si="82"/>
        <v/>
      </c>
      <c r="C833" s="64"/>
      <c r="D833" s="64"/>
      <c r="E833" s="64"/>
      <c r="F833" s="67"/>
      <c r="G833" s="67"/>
      <c r="H833" s="74"/>
      <c r="I833" s="447"/>
      <c r="J833" s="447"/>
      <c r="K833" s="438"/>
      <c r="L833" s="447"/>
      <c r="M833" s="65"/>
      <c r="N833" s="66"/>
      <c r="O833" s="66"/>
      <c r="P833" s="85" t="str">
        <f>IF(AND('331-CT'!$E$7=TH!H833,OR(N833="331",O833="331")),"x","")</f>
        <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IF(AND('341-CT'!$H$9=H833,OR(LEFT(N833,3)=$W$7,LEFT(O833,3)=$W$7)),"x","")</f>
        <v/>
      </c>
      <c r="X833" s="85" t="str">
        <f>IF(OR(TH!N833=TH!$X$7,O833=TH!$X$7),"x","")</f>
        <v/>
      </c>
      <c r="Y833" s="85" t="str">
        <f>IF(AND(OR(N833="131",O833="131"),H833='131-CT'!$H$9),"x","")</f>
        <v/>
      </c>
      <c r="Z833" s="85"/>
      <c r="AA833" s="85" t="str">
        <f>IF(AND(MONTH(E833)='IN-NX'!$J$5,'IN-NX'!$D$7=D833),"x","")</f>
        <v/>
      </c>
      <c r="AB833" s="85" t="str">
        <f>IF(AND(OR(LEFT(TH!N833,2)="15",LEFT(TH!O833,2)="15"),'152-CT'!$J$8=TH!F833),"x","")</f>
        <v/>
      </c>
      <c r="AC833" s="85" t="str">
        <f>IF(AND(OR(LEFT(TH!N833,2)="15",LEFT(TH!O833,2)="15"),TK!$E$7=TH!F833),"x","")</f>
        <v/>
      </c>
      <c r="AD833" s="85" t="str">
        <f>IF(AND(N833="1521",MONTH(C833)='BK-NL'!$M$11),"x","")</f>
        <v/>
      </c>
    </row>
    <row r="834" spans="1:30" ht="15.75" customHeight="1">
      <c r="A834" s="343" t="str">
        <f>IF(B834&lt;&gt;"",IF(AND(B834='IN-TC'!$S$4,OR(TH!N834="1111",TH!O834="1111")),TH!D834,""),"")</f>
        <v/>
      </c>
      <c r="B834" s="63" t="str">
        <f t="shared" si="82"/>
        <v/>
      </c>
      <c r="C834" s="64"/>
      <c r="D834" s="64"/>
      <c r="E834" s="64"/>
      <c r="F834" s="67"/>
      <c r="G834" s="996"/>
      <c r="H834" s="74"/>
      <c r="I834" s="447"/>
      <c r="J834" s="447"/>
      <c r="K834" s="438"/>
      <c r="L834" s="447"/>
      <c r="M834" s="65"/>
      <c r="N834" s="332"/>
      <c r="O834" s="66"/>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IF(AND('341-CT'!$H$9=H834,OR(LEFT(N834,3)=$W$7,LEFT(O834,3)=$W$7)),"x","")</f>
        <v/>
      </c>
      <c r="X834" s="85" t="str">
        <f>IF(OR(TH!N834=TH!$X$7,O834=TH!$X$7),"x","")</f>
        <v/>
      </c>
      <c r="Y834" s="85" t="str">
        <f>IF(AND(OR(N834="131",O834="131"),H834='131-CT'!$H$9),"x","")</f>
        <v/>
      </c>
      <c r="Z834" s="85"/>
      <c r="AA834" s="85" t="str">
        <f>IF(AND(MONTH(E834)='IN-NX'!$J$5,'IN-NX'!$D$7=D834),"x","")</f>
        <v/>
      </c>
      <c r="AB834" s="85" t="str">
        <f>IF(AND(OR(LEFT(TH!N834,2)="15",LEFT(TH!O834,2)="15"),'152-CT'!$J$8=TH!F834),"x","")</f>
        <v/>
      </c>
      <c r="AC834" s="85" t="str">
        <f>IF(AND(OR(LEFT(TH!N834,2)="15",LEFT(TH!O834,2)="15"),TK!$E$7=TH!F834),"x","")</f>
        <v/>
      </c>
      <c r="AD834" s="85" t="str">
        <f>IF(AND(N834="1521",MONTH(C834)='BK-NL'!$M$11),"x","")</f>
        <v/>
      </c>
    </row>
    <row r="835" spans="1:30" ht="15.75" customHeight="1">
      <c r="A835" s="343" t="str">
        <f>IF(B835&lt;&gt;"",IF(AND(B835='IN-TC'!$S$4,OR(TH!N835="1111",TH!O835="1111")),TH!D835,""),"")</f>
        <v/>
      </c>
      <c r="B835" s="63" t="str">
        <f t="shared" si="82"/>
        <v/>
      </c>
      <c r="C835" s="64"/>
      <c r="D835" s="64"/>
      <c r="E835" s="64"/>
      <c r="F835" s="67"/>
      <c r="G835" s="996"/>
      <c r="H835" s="74"/>
      <c r="I835" s="447"/>
      <c r="J835" s="447"/>
      <c r="K835" s="438"/>
      <c r="L835" s="447"/>
      <c r="M835" s="65"/>
      <c r="N835" s="332"/>
      <c r="O835" s="66"/>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IF(AND('341-CT'!$H$9=H835,OR(LEFT(N835,3)=$W$7,LEFT(O835,3)=$W$7)),"x","")</f>
        <v/>
      </c>
      <c r="X835" s="85" t="str">
        <f>IF(OR(TH!N835=TH!$X$7,O835=TH!$X$7),"x","")</f>
        <v/>
      </c>
      <c r="Y835" s="85" t="str">
        <f>IF(AND(OR(N835="131",O835="131"),H835='131-CT'!$H$9),"x","")</f>
        <v/>
      </c>
      <c r="Z835" s="85"/>
      <c r="AA835" s="85" t="str">
        <f>IF(AND(MONTH(E835)='IN-NX'!$J$5,'IN-NX'!$D$7=D835),"x","")</f>
        <v/>
      </c>
      <c r="AB835" s="85" t="str">
        <f>IF(AND(OR(LEFT(TH!N835,2)="15",LEFT(TH!O835,2)="15"),'152-CT'!$J$8=TH!F835),"x","")</f>
        <v/>
      </c>
      <c r="AC835" s="85" t="str">
        <f>IF(AND(OR(LEFT(TH!N835,2)="15",LEFT(TH!O835,2)="15"),TK!$E$7=TH!F835),"x","")</f>
        <v/>
      </c>
      <c r="AD835" s="85" t="str">
        <f>IF(AND(N835="1521",MONTH(C835)='BK-NL'!$M$11),"x","")</f>
        <v/>
      </c>
    </row>
    <row r="836" spans="1:30" ht="15.75" customHeight="1">
      <c r="A836" s="343" t="str">
        <f>IF(B836&lt;&gt;"",IF(AND(B836='IN-TC'!$S$4,OR(TH!N836="1111",TH!O836="1111")),TH!D836,""),"")</f>
        <v/>
      </c>
      <c r="B836" s="63" t="str">
        <f t="shared" si="82"/>
        <v/>
      </c>
      <c r="C836" s="64"/>
      <c r="D836" s="64"/>
      <c r="E836" s="64"/>
      <c r="F836" s="67"/>
      <c r="G836" s="996"/>
      <c r="H836" s="74"/>
      <c r="I836" s="447"/>
      <c r="J836" s="447"/>
      <c r="K836" s="438"/>
      <c r="L836" s="447"/>
      <c r="M836" s="65"/>
      <c r="N836" s="323"/>
      <c r="O836" s="66"/>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IF(AND('341-CT'!$H$9=H836,OR(LEFT(N836,3)=$W$7,LEFT(O836,3)=$W$7)),"x","")</f>
        <v/>
      </c>
      <c r="X836" s="85" t="str">
        <f>IF(OR(TH!N836=TH!$X$7,O836=TH!$X$7),"x","")</f>
        <v/>
      </c>
      <c r="Y836" s="85" t="str">
        <f>IF(AND(OR(N836="131",O836="131"),H836='131-CT'!$H$9),"x","")</f>
        <v/>
      </c>
      <c r="Z836" s="85"/>
      <c r="AA836" s="85" t="str">
        <f>IF(AND(MONTH(E836)='IN-NX'!$J$5,'IN-NX'!$D$7=D836),"x","")</f>
        <v/>
      </c>
      <c r="AB836" s="85" t="str">
        <f>IF(AND(OR(LEFT(TH!N836,2)="15",LEFT(TH!O836,2)="15"),'152-CT'!$J$8=TH!F836),"x","")</f>
        <v/>
      </c>
      <c r="AC836" s="85" t="str">
        <f>IF(AND(OR(LEFT(TH!N836,2)="15",LEFT(TH!O836,2)="15"),TK!$E$7=TH!F836),"x","")</f>
        <v/>
      </c>
      <c r="AD836" s="85" t="str">
        <f>IF(AND(N836="1521",MONTH(C836)='BK-NL'!$M$11),"x","")</f>
        <v/>
      </c>
    </row>
    <row r="837" spans="1:30" ht="15.75" customHeight="1">
      <c r="A837" s="343" t="str">
        <f>IF(B837&lt;&gt;"",IF(AND(B837='IN-TC'!$S$4,OR(TH!N837="1111",TH!O837="1111")),TH!D837,""),"")</f>
        <v/>
      </c>
      <c r="B837" s="63" t="str">
        <f t="shared" si="82"/>
        <v/>
      </c>
      <c r="C837" s="64"/>
      <c r="D837" s="64"/>
      <c r="E837" s="64"/>
      <c r="F837" s="67"/>
      <c r="G837" s="996"/>
      <c r="H837" s="74"/>
      <c r="I837" s="447"/>
      <c r="J837" s="447"/>
      <c r="K837" s="438"/>
      <c r="L837" s="447"/>
      <c r="M837" s="65"/>
      <c r="N837" s="323"/>
      <c r="O837" s="66"/>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IF(AND('341-CT'!$H$9=H837,OR(LEFT(N837,3)=$W$7,LEFT(O837,3)=$W$7)),"x","")</f>
        <v/>
      </c>
      <c r="X837" s="85" t="str">
        <f>IF(OR(TH!N837=TH!$X$7,O837=TH!$X$7),"x","")</f>
        <v/>
      </c>
      <c r="Y837" s="85" t="str">
        <f>IF(AND(OR(N837="131",O837="131"),H837='131-CT'!$H$9),"x","")</f>
        <v/>
      </c>
      <c r="Z837" s="85"/>
      <c r="AA837" s="85" t="str">
        <f>IF(AND(MONTH(E837)='IN-NX'!$J$5,'IN-NX'!$D$7=D837),"x","")</f>
        <v/>
      </c>
      <c r="AB837" s="85" t="str">
        <f>IF(AND(OR(LEFT(TH!N837,2)="15",LEFT(TH!O837,2)="15"),'152-CT'!$J$8=TH!F837),"x","")</f>
        <v/>
      </c>
      <c r="AC837" s="85" t="str">
        <f>IF(AND(OR(LEFT(TH!N837,2)="15",LEFT(TH!O837,2)="15"),TK!$E$7=TH!F837),"x","")</f>
        <v/>
      </c>
      <c r="AD837" s="85" t="str">
        <f>IF(AND(N837="1521",MONTH(C837)='BK-NL'!$M$11),"x","")</f>
        <v/>
      </c>
    </row>
    <row r="838" spans="1:30" ht="15.75" customHeight="1">
      <c r="A838" s="343" t="str">
        <f>IF(B838&lt;&gt;"",IF(AND(B838='IN-TC'!$S$4,OR(TH!N838="1111",TH!O838="1111")),TH!D838,""),"")</f>
        <v/>
      </c>
      <c r="B838" s="63" t="str">
        <f t="shared" si="82"/>
        <v/>
      </c>
      <c r="C838" s="64"/>
      <c r="D838" s="64"/>
      <c r="E838" s="64"/>
      <c r="F838" s="67"/>
      <c r="G838" s="996"/>
      <c r="H838" s="74"/>
      <c r="I838" s="447"/>
      <c r="J838" s="447"/>
      <c r="K838" s="438"/>
      <c r="L838" s="447"/>
      <c r="M838" s="65"/>
      <c r="N838" s="66"/>
      <c r="O838" s="66"/>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IF(AND('341-CT'!$H$9=H838,OR(LEFT(N838,3)=$W$7,LEFT(O838,3)=$W$7)),"x","")</f>
        <v/>
      </c>
      <c r="X838" s="85" t="str">
        <f>IF(OR(TH!N838=TH!$X$7,O838=TH!$X$7),"x","")</f>
        <v/>
      </c>
      <c r="Y838" s="85" t="str">
        <f>IF(AND(OR(N838="131",O838="131"),H838='131-CT'!$H$9),"x","")</f>
        <v/>
      </c>
      <c r="Z838" s="85"/>
      <c r="AA838" s="85" t="str">
        <f>IF(AND(MONTH(E838)='IN-NX'!$J$5,'IN-NX'!$D$7=D838),"x","")</f>
        <v/>
      </c>
      <c r="AB838" s="85" t="str">
        <f>IF(AND(OR(LEFT(TH!N838,2)="15",LEFT(TH!O838,2)="15"),'152-CT'!$J$8=TH!F838),"x","")</f>
        <v/>
      </c>
      <c r="AC838" s="85" t="str">
        <f>IF(AND(OR(LEFT(TH!N838,2)="15",LEFT(TH!O838,2)="15"),TK!$E$7=TH!F838),"x","")</f>
        <v/>
      </c>
      <c r="AD838" s="85" t="str">
        <f>IF(AND(N838="1521",MONTH(C838)='BK-NL'!$M$11),"x","")</f>
        <v/>
      </c>
    </row>
    <row r="839" spans="1:30" ht="15.75" customHeight="1">
      <c r="A839" s="343" t="str">
        <f>IF(B839&lt;&gt;"",IF(AND(B839='IN-TC'!$S$4,OR(TH!N839="1111",TH!O839="1111")),TH!D839,""),"")</f>
        <v/>
      </c>
      <c r="B839" s="63" t="str">
        <f t="shared" si="82"/>
        <v/>
      </c>
      <c r="C839" s="64"/>
      <c r="D839" s="64"/>
      <c r="E839" s="64"/>
      <c r="F839" s="67"/>
      <c r="G839" s="996"/>
      <c r="H839" s="74"/>
      <c r="I839" s="447"/>
      <c r="J839" s="447"/>
      <c r="K839" s="438"/>
      <c r="L839" s="447"/>
      <c r="M839" s="65"/>
      <c r="N839" s="66"/>
      <c r="O839" s="66"/>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IF(AND('341-CT'!$H$9=H839,OR(LEFT(N839,3)=$W$7,LEFT(O839,3)=$W$7)),"x","")</f>
        <v/>
      </c>
      <c r="X839" s="85" t="str">
        <f>IF(OR(TH!N839=TH!$X$7,O839=TH!$X$7),"x","")</f>
        <v/>
      </c>
      <c r="Y839" s="85" t="str">
        <f>IF(AND(OR(N839="131",O839="131"),H839='131-CT'!$H$9),"x","")</f>
        <v/>
      </c>
      <c r="Z839" s="85"/>
      <c r="AA839" s="85" t="str">
        <f>IF(AND(MONTH(E839)='IN-NX'!$J$5,'IN-NX'!$D$7=D839),"x","")</f>
        <v/>
      </c>
      <c r="AB839" s="85" t="str">
        <f>IF(AND(OR(LEFT(TH!N839,2)="15",LEFT(TH!O839,2)="15"),'152-CT'!$J$8=TH!F839),"x","")</f>
        <v/>
      </c>
      <c r="AC839" s="85" t="str">
        <f>IF(AND(OR(LEFT(TH!N839,2)="15",LEFT(TH!O839,2)="15"),TK!$E$7=TH!F839),"x","")</f>
        <v/>
      </c>
      <c r="AD839" s="85" t="str">
        <f>IF(AND(N839="1521",MONTH(C839)='BK-NL'!$M$11),"x","")</f>
        <v/>
      </c>
    </row>
    <row r="840" spans="1:30" ht="15.75" customHeight="1">
      <c r="A840" s="343" t="str">
        <f>IF(B840&lt;&gt;"",IF(AND(B840='IN-TC'!$S$4,OR(TH!N840="1111",TH!O840="1111")),TH!D840,""),"")</f>
        <v/>
      </c>
      <c r="B840" s="63" t="str">
        <f t="shared" si="82"/>
        <v/>
      </c>
      <c r="C840" s="64"/>
      <c r="D840" s="64"/>
      <c r="E840" s="64"/>
      <c r="F840" s="67"/>
      <c r="G840" s="996"/>
      <c r="H840" s="74"/>
      <c r="I840" s="447"/>
      <c r="J840" s="447"/>
      <c r="K840" s="438"/>
      <c r="L840" s="447"/>
      <c r="M840" s="65"/>
      <c r="N840" s="66"/>
      <c r="O840" s="66"/>
      <c r="P840" s="85" t="str">
        <f>IF(AND('331-CT'!$E$7=TH!H840,OR(N840="331",O840="331")),"x","")</f>
        <v/>
      </c>
      <c r="Q840" s="85" t="str">
        <f>IF(AND(B840='111'!$L$11,OR($N840=$Q$7,$O840=$Q$7)),"x","")</f>
        <v/>
      </c>
      <c r="R840" s="85" t="str">
        <f>IF(AND($N840=$Q$7,$B840&lt;'111'!$L$11),"x","")</f>
        <v/>
      </c>
      <c r="S840" s="85" t="str">
        <f>IF(AND($O840=$Q$7,$B840&lt;'111'!$L$11),"x","")</f>
        <v/>
      </c>
      <c r="T840" s="85" t="str">
        <f>IF(ISERROR(FIND('112'!$M$9,G840,1)),"",IF((AND(FIND('112'!$M$9,G840,1)&gt;=1,B840='112'!$K$9,OR($N840='112'!$I$6,$O840='112'!$I$6))),"x",""))</f>
        <v/>
      </c>
      <c r="U840" s="85" t="str">
        <f>IF(ISERROR(FIND('112'!$M$9,G840,1)),"",IF((AND(LEFT(G840,2)=LEFT('112'!$M$9,2),B840&lt;'112'!$K$9,$N840='112'!$I$6)),"x",""))</f>
        <v/>
      </c>
      <c r="V840" s="85" t="str">
        <f>IF(ISERROR(FIND('112'!$M$9,G840,1)),"",IF((AND(RIGHT(G840,2)=RIGHT('112'!$M$9,2),B840&lt;'112'!$K$9,$O840='112'!$I$6)),"x",""))</f>
        <v/>
      </c>
      <c r="W840" s="85" t="str">
        <f>IF(AND('341-CT'!$H$9=H840,OR(LEFT(N840,3)=$W$7,LEFT(O840,3)=$W$7)),"x","")</f>
        <v/>
      </c>
      <c r="X840" s="85" t="str">
        <f>IF(OR(TH!N840=TH!$X$7,O840=TH!$X$7),"x","")</f>
        <v/>
      </c>
      <c r="Y840" s="85" t="str">
        <f>IF(AND(OR(N840="131",O840="131"),H840='131-CT'!$H$9),"x","")</f>
        <v/>
      </c>
      <c r="Z840" s="85"/>
      <c r="AA840" s="85" t="str">
        <f>IF(AND(MONTH(E840)='IN-NX'!$J$5,'IN-NX'!$D$7=D840),"x","")</f>
        <v/>
      </c>
      <c r="AB840" s="85" t="str">
        <f>IF(AND(OR(LEFT(TH!N840,2)="15",LEFT(TH!O840,2)="15"),'152-CT'!$J$8=TH!F840),"x","")</f>
        <v/>
      </c>
      <c r="AC840" s="85" t="str">
        <f>IF(AND(OR(LEFT(TH!N840,2)="15",LEFT(TH!O840,2)="15"),TK!$E$7=TH!F840),"x","")</f>
        <v/>
      </c>
      <c r="AD840" s="85" t="str">
        <f>IF(AND(N840="1521",MONTH(C840)='BK-NL'!$M$11),"x","")</f>
        <v/>
      </c>
    </row>
    <row r="841" spans="1:30" ht="15.75" customHeight="1">
      <c r="A841" s="343" t="str">
        <f>IF(B841&lt;&gt;"",IF(AND(B841='IN-TC'!$S$4,OR(TH!N841="1111",TH!O841="1111")),TH!D841,""),"")</f>
        <v/>
      </c>
      <c r="B841" s="63" t="str">
        <f t="shared" si="82"/>
        <v/>
      </c>
      <c r="C841" s="64"/>
      <c r="D841" s="64"/>
      <c r="E841" s="64"/>
      <c r="F841" s="67"/>
      <c r="G841" s="996"/>
      <c r="H841" s="74"/>
      <c r="I841" s="447"/>
      <c r="J841" s="447"/>
      <c r="K841" s="438"/>
      <c r="L841" s="447"/>
      <c r="M841" s="65"/>
      <c r="N841" s="66"/>
      <c r="O841" s="66"/>
      <c r="P841" s="85" t="str">
        <f>IF(AND('331-CT'!$E$7=TH!H841,OR(N841="331",O841="331")),"x","")</f>
        <v/>
      </c>
      <c r="Q841" s="85" t="str">
        <f>IF(AND(B841='111'!$L$11,OR($N841=$Q$7,$O841=$Q$7)),"x","")</f>
        <v/>
      </c>
      <c r="R841" s="85" t="str">
        <f>IF(AND($N841=$Q$7,$B841&lt;'111'!$L$11),"x","")</f>
        <v/>
      </c>
      <c r="S841" s="85" t="str">
        <f>IF(AND($O841=$Q$7,$B841&lt;'111'!$L$11),"x","")</f>
        <v/>
      </c>
      <c r="T841" s="85" t="str">
        <f>IF(ISERROR(FIND('112'!$M$9,G841,1)),"",IF((AND(FIND('112'!$M$9,G841,1)&gt;=1,B841='112'!$K$9,OR($N841='112'!$I$6,$O841='112'!$I$6))),"x",""))</f>
        <v/>
      </c>
      <c r="U841" s="85" t="str">
        <f>IF(ISERROR(FIND('112'!$M$9,G841,1)),"",IF((AND(LEFT(G841,2)=LEFT('112'!$M$9,2),B841&lt;'112'!$K$9,$N841='112'!$I$6)),"x",""))</f>
        <v/>
      </c>
      <c r="V841" s="85" t="str">
        <f>IF(ISERROR(FIND('112'!$M$9,G841,1)),"",IF((AND(RIGHT(G841,2)=RIGHT('112'!$M$9,2),B841&lt;'112'!$K$9,$O841='112'!$I$6)),"x",""))</f>
        <v/>
      </c>
      <c r="W841" s="85" t="str">
        <f>IF(AND('341-CT'!$H$9=H841,OR(LEFT(N841,3)=$W$7,LEFT(O841,3)=$W$7)),"x","")</f>
        <v/>
      </c>
      <c r="X841" s="85" t="str">
        <f>IF(OR(TH!N841=TH!$X$7,O841=TH!$X$7),"x","")</f>
        <v/>
      </c>
      <c r="Y841" s="85" t="str">
        <f>IF(AND(OR(N841="131",O841="131"),H841='131-CT'!$H$9),"x","")</f>
        <v/>
      </c>
      <c r="Z841" s="85"/>
      <c r="AA841" s="85" t="str">
        <f>IF(AND(MONTH(E841)='IN-NX'!$J$5,'IN-NX'!$D$7=D841),"x","")</f>
        <v/>
      </c>
      <c r="AB841" s="85" t="str">
        <f>IF(AND(OR(LEFT(TH!N841,2)="15",LEFT(TH!O841,2)="15"),'152-CT'!$J$8=TH!F841),"x","")</f>
        <v/>
      </c>
      <c r="AC841" s="85" t="str">
        <f>IF(AND(OR(LEFT(TH!N841,2)="15",LEFT(TH!O841,2)="15"),TK!$E$7=TH!F841),"x","")</f>
        <v/>
      </c>
      <c r="AD841" s="85" t="str">
        <f>IF(AND(N841="1521",MONTH(C841)='BK-NL'!$M$11),"x","")</f>
        <v/>
      </c>
    </row>
    <row r="842" spans="1:30" ht="15.75" customHeight="1">
      <c r="A842" s="343" t="str">
        <f>IF(B842&lt;&gt;"",IF(AND(B842='IN-TC'!$S$4,OR(TH!N842="1111",TH!O842="1111")),TH!D842,""),"")</f>
        <v/>
      </c>
      <c r="B842" s="63" t="str">
        <f t="shared" si="82"/>
        <v/>
      </c>
      <c r="C842" s="64"/>
      <c r="D842" s="64"/>
      <c r="E842" s="64"/>
      <c r="F842" s="67"/>
      <c r="G842" s="996"/>
      <c r="H842" s="74"/>
      <c r="I842" s="447"/>
      <c r="J842" s="447"/>
      <c r="K842" s="438"/>
      <c r="L842" s="447"/>
      <c r="M842" s="65"/>
      <c r="N842" s="66"/>
      <c r="O842" s="66"/>
      <c r="P842" s="85" t="str">
        <f>IF(AND('331-CT'!$E$7=TH!H842,OR(N842="331",O842="331")),"x","")</f>
        <v/>
      </c>
      <c r="Q842" s="85" t="str">
        <f>IF(AND(B842='111'!$L$11,OR($N842=$Q$7,$O842=$Q$7)),"x","")</f>
        <v/>
      </c>
      <c r="R842" s="85" t="str">
        <f>IF(AND($N842=$Q$7,$B842&lt;'111'!$L$11),"x","")</f>
        <v/>
      </c>
      <c r="S842" s="85" t="str">
        <f>IF(AND($O842=$Q$7,$B842&lt;'111'!$L$11),"x","")</f>
        <v/>
      </c>
      <c r="T842" s="85" t="str">
        <f>IF(ISERROR(FIND('112'!$M$9,G842,1)),"",IF((AND(FIND('112'!$M$9,G842,1)&gt;=1,B842='112'!$K$9,OR($N842='112'!$I$6,$O842='112'!$I$6))),"x",""))</f>
        <v/>
      </c>
      <c r="U842" s="85" t="str">
        <f>IF(ISERROR(FIND('112'!$M$9,G842,1)),"",IF((AND(LEFT(G842,2)=LEFT('112'!$M$9,2),B842&lt;'112'!$K$9,$N842='112'!$I$6)),"x",""))</f>
        <v/>
      </c>
      <c r="V842" s="85" t="str">
        <f>IF(ISERROR(FIND('112'!$M$9,G842,1)),"",IF((AND(RIGHT(G842,2)=RIGHT('112'!$M$9,2),B842&lt;'112'!$K$9,$O842='112'!$I$6)),"x",""))</f>
        <v/>
      </c>
      <c r="W842" s="85" t="str">
        <f>IF(AND('341-CT'!$H$9=H842,OR(LEFT(N842,3)=$W$7,LEFT(O842,3)=$W$7)),"x","")</f>
        <v/>
      </c>
      <c r="X842" s="85" t="str">
        <f>IF(OR(TH!N842=TH!$X$7,O842=TH!$X$7),"x","")</f>
        <v/>
      </c>
      <c r="Y842" s="85" t="str">
        <f>IF(AND(OR(N842="131",O842="131"),H842='131-CT'!$H$9),"x","")</f>
        <v/>
      </c>
      <c r="Z842" s="85"/>
      <c r="AA842" s="85" t="str">
        <f>IF(AND(MONTH(E842)='IN-NX'!$J$5,'IN-NX'!$D$7=D842),"x","")</f>
        <v/>
      </c>
      <c r="AB842" s="85" t="str">
        <f>IF(AND(OR(LEFT(TH!N842,2)="15",LEFT(TH!O842,2)="15"),'152-CT'!$J$8=TH!F842),"x","")</f>
        <v/>
      </c>
      <c r="AC842" s="85" t="str">
        <f>IF(AND(OR(LEFT(TH!N842,2)="15",LEFT(TH!O842,2)="15"),TK!$E$7=TH!F842),"x","")</f>
        <v/>
      </c>
      <c r="AD842" s="85" t="str">
        <f>IF(AND(N842="1521",MONTH(C842)='BK-NL'!$M$11),"x","")</f>
        <v/>
      </c>
    </row>
    <row r="843" spans="1:30" ht="15.75" customHeight="1">
      <c r="A843" s="343" t="str">
        <f>IF(B843&lt;&gt;"",IF(AND(B843='IN-TC'!$S$4,OR(TH!N843="1111",TH!O843="1111")),TH!D843,""),"")</f>
        <v/>
      </c>
      <c r="B843" s="63" t="str">
        <f t="shared" si="82"/>
        <v/>
      </c>
      <c r="C843" s="64"/>
      <c r="D843" s="64"/>
      <c r="E843" s="64"/>
      <c r="F843" s="67"/>
      <c r="G843" s="996"/>
      <c r="H843" s="74"/>
      <c r="I843" s="447"/>
      <c r="J843" s="447"/>
      <c r="K843" s="438"/>
      <c r="L843" s="447"/>
      <c r="M843" s="65"/>
      <c r="N843" s="66"/>
      <c r="O843" s="66"/>
      <c r="P843" s="85" t="str">
        <f>IF(AND('331-CT'!$E$7=TH!H843,OR(N843="331",O843="331")),"x","")</f>
        <v/>
      </c>
      <c r="Q843" s="85" t="str">
        <f>IF(AND(B843='111'!$L$11,OR($N843=$Q$7,$O843=$Q$7)),"x","")</f>
        <v/>
      </c>
      <c r="R843" s="85" t="str">
        <f>IF(AND($N843=$Q$7,$B843&lt;'111'!$L$11),"x","")</f>
        <v/>
      </c>
      <c r="S843" s="85" t="str">
        <f>IF(AND($O843=$Q$7,$B843&lt;'111'!$L$11),"x","")</f>
        <v/>
      </c>
      <c r="T843" s="85" t="str">
        <f>IF(ISERROR(FIND('112'!$M$9,G843,1)),"",IF((AND(FIND('112'!$M$9,G843,1)&gt;=1,B843='112'!$K$9,OR($N843='112'!$I$6,$O843='112'!$I$6))),"x",""))</f>
        <v/>
      </c>
      <c r="U843" s="85" t="str">
        <f>IF(ISERROR(FIND('112'!$M$9,G843,1)),"",IF((AND(LEFT(G843,2)=LEFT('112'!$M$9,2),B843&lt;'112'!$K$9,$N843='112'!$I$6)),"x",""))</f>
        <v/>
      </c>
      <c r="V843" s="85" t="str">
        <f>IF(ISERROR(FIND('112'!$M$9,G843,1)),"",IF((AND(RIGHT(G843,2)=RIGHT('112'!$M$9,2),B843&lt;'112'!$K$9,$O843='112'!$I$6)),"x",""))</f>
        <v/>
      </c>
      <c r="W843" s="85" t="str">
        <f>IF(AND('341-CT'!$H$9=H843,OR(LEFT(N843,3)=$W$7,LEFT(O843,3)=$W$7)),"x","")</f>
        <v/>
      </c>
      <c r="X843" s="85" t="str">
        <f>IF(OR(TH!N843=TH!$X$7,O843=TH!$X$7),"x","")</f>
        <v/>
      </c>
      <c r="Y843" s="85" t="str">
        <f>IF(AND(OR(N843="131",O843="131"),H843='131-CT'!$H$9),"x","")</f>
        <v/>
      </c>
      <c r="Z843" s="85"/>
      <c r="AA843" s="85" t="str">
        <f>IF(AND(MONTH(E843)='IN-NX'!$J$5,'IN-NX'!$D$7=D843),"x","")</f>
        <v/>
      </c>
      <c r="AB843" s="85" t="str">
        <f>IF(AND(OR(LEFT(TH!N843,2)="15",LEFT(TH!O843,2)="15"),'152-CT'!$J$8=TH!F843),"x","")</f>
        <v/>
      </c>
      <c r="AC843" s="85" t="str">
        <f>IF(AND(OR(LEFT(TH!N843,2)="15",LEFT(TH!O843,2)="15"),TK!$E$7=TH!F843),"x","")</f>
        <v/>
      </c>
      <c r="AD843" s="85" t="str">
        <f>IF(AND(N843="1521",MONTH(C843)='BK-NL'!$M$11),"x","")</f>
        <v/>
      </c>
    </row>
    <row r="844" spans="1:30" ht="15.75" customHeight="1">
      <c r="A844" s="343" t="str">
        <f>IF(B844&lt;&gt;"",IF(AND(B844='IN-TC'!$S$4,OR(TH!N844="1111",TH!O844="1111")),TH!D844,""),"")</f>
        <v/>
      </c>
      <c r="B844" s="63" t="str">
        <f t="shared" si="82"/>
        <v/>
      </c>
      <c r="C844" s="64"/>
      <c r="D844" s="64"/>
      <c r="E844" s="64"/>
      <c r="F844" s="67"/>
      <c r="G844" s="996"/>
      <c r="H844" s="74"/>
      <c r="I844" s="447"/>
      <c r="J844" s="447"/>
      <c r="K844" s="438"/>
      <c r="L844" s="447"/>
      <c r="M844" s="65"/>
      <c r="N844" s="66"/>
      <c r="O844" s="66"/>
      <c r="P844" s="85" t="str">
        <f>IF(AND('331-CT'!$E$7=TH!H844,OR(N844="331",O844="331")),"x","")</f>
        <v/>
      </c>
      <c r="Q844" s="85" t="str">
        <f>IF(AND(B844='111'!$L$11,OR($N844=$Q$7,$O844=$Q$7)),"x","")</f>
        <v/>
      </c>
      <c r="R844" s="85" t="str">
        <f>IF(AND($N844=$Q$7,$B844&lt;'111'!$L$11),"x","")</f>
        <v/>
      </c>
      <c r="S844" s="85" t="str">
        <f>IF(AND($O844=$Q$7,$B844&lt;'111'!$L$11),"x","")</f>
        <v/>
      </c>
      <c r="T844" s="85" t="str">
        <f>IF(ISERROR(FIND('112'!$M$9,G844,1)),"",IF((AND(FIND('112'!$M$9,G844,1)&gt;=1,B844='112'!$K$9,OR($N844='112'!$I$6,$O844='112'!$I$6))),"x",""))</f>
        <v/>
      </c>
      <c r="U844" s="85" t="str">
        <f>IF(ISERROR(FIND('112'!$M$9,G844,1)),"",IF((AND(LEFT(G844,2)=LEFT('112'!$M$9,2),B844&lt;'112'!$K$9,$N844='112'!$I$6)),"x",""))</f>
        <v/>
      </c>
      <c r="V844" s="85" t="str">
        <f>IF(ISERROR(FIND('112'!$M$9,G844,1)),"",IF((AND(RIGHT(G844,2)=RIGHT('112'!$M$9,2),B844&lt;'112'!$K$9,$O844='112'!$I$6)),"x",""))</f>
        <v/>
      </c>
      <c r="W844" s="85" t="str">
        <f>IF(AND('341-CT'!$H$9=H844,OR(LEFT(N844,3)=$W$7,LEFT(O844,3)=$W$7)),"x","")</f>
        <v/>
      </c>
      <c r="X844" s="85" t="str">
        <f>IF(OR(TH!N844=TH!$X$7,O844=TH!$X$7),"x","")</f>
        <v/>
      </c>
      <c r="Y844" s="85" t="str">
        <f>IF(AND(OR(N844="131",O844="131"),H844='131-CT'!$H$9),"x","")</f>
        <v/>
      </c>
      <c r="Z844" s="85"/>
      <c r="AA844" s="85" t="str">
        <f>IF(AND(MONTH(E844)='IN-NX'!$J$5,'IN-NX'!$D$7=D844),"x","")</f>
        <v/>
      </c>
      <c r="AB844" s="85" t="str">
        <f>IF(AND(OR(LEFT(TH!N844,2)="15",LEFT(TH!O844,2)="15"),'152-CT'!$J$8=TH!F844),"x","")</f>
        <v/>
      </c>
      <c r="AC844" s="85" t="str">
        <f>IF(AND(OR(LEFT(TH!N844,2)="15",LEFT(TH!O844,2)="15"),TK!$E$7=TH!F844),"x","")</f>
        <v/>
      </c>
      <c r="AD844" s="85" t="str">
        <f>IF(AND(N844="1521",MONTH(C844)='BK-NL'!$M$11),"x","")</f>
        <v/>
      </c>
    </row>
    <row r="845" spans="1:30" ht="15.75" customHeight="1">
      <c r="A845" s="343" t="str">
        <f>IF(B845&lt;&gt;"",IF(AND(B845='IN-TC'!$S$4,OR(TH!N845="1111",TH!O845="1111")),TH!D845,""),"")</f>
        <v/>
      </c>
      <c r="B845" s="63" t="str">
        <f t="shared" si="82"/>
        <v/>
      </c>
      <c r="C845" s="64"/>
      <c r="D845" s="64"/>
      <c r="E845" s="64"/>
      <c r="F845" s="67"/>
      <c r="G845" s="996"/>
      <c r="H845" s="74"/>
      <c r="I845" s="447"/>
      <c r="J845" s="447"/>
      <c r="K845" s="438"/>
      <c r="L845" s="447"/>
      <c r="M845" s="65"/>
      <c r="N845" s="66"/>
      <c r="O845" s="66"/>
      <c r="P845" s="85" t="str">
        <f>IF(AND('331-CT'!$E$7=TH!H845,OR(N845="331",O845="331")),"x","")</f>
        <v/>
      </c>
      <c r="Q845" s="85" t="str">
        <f>IF(AND(B845='111'!$L$11,OR($N845=$Q$7,$O845=$Q$7)),"x","")</f>
        <v/>
      </c>
      <c r="R845" s="85" t="str">
        <f>IF(AND($N845=$Q$7,$B845&lt;'111'!$L$11),"x","")</f>
        <v/>
      </c>
      <c r="S845" s="85" t="str">
        <f>IF(AND($O845=$Q$7,$B845&lt;'111'!$L$11),"x","")</f>
        <v/>
      </c>
      <c r="T845" s="85" t="str">
        <f>IF(ISERROR(FIND('112'!$M$9,G845,1)),"",IF((AND(FIND('112'!$M$9,G845,1)&gt;=1,B845='112'!$K$9,OR($N845='112'!$I$6,$O845='112'!$I$6))),"x",""))</f>
        <v/>
      </c>
      <c r="U845" s="85" t="str">
        <f>IF(ISERROR(FIND('112'!$M$9,G845,1)),"",IF((AND(LEFT(G845,2)=LEFT('112'!$M$9,2),B845&lt;'112'!$K$9,$N845='112'!$I$6)),"x",""))</f>
        <v/>
      </c>
      <c r="V845" s="85" t="str">
        <f>IF(ISERROR(FIND('112'!$M$9,G845,1)),"",IF((AND(RIGHT(G845,2)=RIGHT('112'!$M$9,2),B845&lt;'112'!$K$9,$O845='112'!$I$6)),"x",""))</f>
        <v/>
      </c>
      <c r="W845" s="85" t="str">
        <f>IF(AND('341-CT'!$H$9=H845,OR(LEFT(N845,3)=$W$7,LEFT(O845,3)=$W$7)),"x","")</f>
        <v/>
      </c>
      <c r="X845" s="85" t="str">
        <f>IF(OR(TH!N845=TH!$X$7,O845=TH!$X$7),"x","")</f>
        <v/>
      </c>
      <c r="Y845" s="85" t="str">
        <f>IF(AND(OR(N845="131",O845="131"),H845='131-CT'!$H$9),"x","")</f>
        <v/>
      </c>
      <c r="Z845" s="85"/>
      <c r="AA845" s="85" t="str">
        <f>IF(AND(MONTH(E845)='IN-NX'!$J$5,'IN-NX'!$D$7=D845),"x","")</f>
        <v/>
      </c>
      <c r="AB845" s="85" t="str">
        <f>IF(AND(OR(LEFT(TH!N845,2)="15",LEFT(TH!O845,2)="15"),'152-CT'!$J$8=TH!F845),"x","")</f>
        <v/>
      </c>
      <c r="AC845" s="85" t="str">
        <f>IF(AND(OR(LEFT(TH!N845,2)="15",LEFT(TH!O845,2)="15"),TK!$E$7=TH!F845),"x","")</f>
        <v/>
      </c>
      <c r="AD845" s="85" t="str">
        <f>IF(AND(N845="1521",MONTH(C845)='BK-NL'!$M$11),"x","")</f>
        <v/>
      </c>
    </row>
    <row r="846" spans="1:30" ht="15.75" customHeight="1">
      <c r="A846" s="343" t="str">
        <f>IF(B846&lt;&gt;"",IF(AND(B846='IN-TC'!$S$4,OR(TH!N846="1111",TH!O846="1111")),TH!D846,""),"")</f>
        <v/>
      </c>
      <c r="B846" s="63" t="str">
        <f t="shared" si="82"/>
        <v/>
      </c>
      <c r="C846" s="64"/>
      <c r="D846" s="64"/>
      <c r="E846" s="64"/>
      <c r="F846" s="67"/>
      <c r="G846" s="996"/>
      <c r="H846" s="74"/>
      <c r="I846" s="447"/>
      <c r="J846" s="447"/>
      <c r="K846" s="438"/>
      <c r="L846" s="447"/>
      <c r="M846" s="65"/>
      <c r="N846" s="66"/>
      <c r="O846" s="66"/>
      <c r="P846" s="85" t="str">
        <f>IF(AND('331-CT'!$E$7=TH!H846,OR(N846="331",O846="331")),"x","")</f>
        <v/>
      </c>
      <c r="Q846" s="85" t="str">
        <f>IF(AND(B846='111'!$L$11,OR($N846=$Q$7,$O846=$Q$7)),"x","")</f>
        <v/>
      </c>
      <c r="R846" s="85" t="str">
        <f>IF(AND($N846=$Q$7,$B846&lt;'111'!$L$11),"x","")</f>
        <v/>
      </c>
      <c r="S846" s="85" t="str">
        <f>IF(AND($O846=$Q$7,$B846&lt;'111'!$L$11),"x","")</f>
        <v/>
      </c>
      <c r="T846" s="85" t="str">
        <f>IF(ISERROR(FIND('112'!$M$9,G846,1)),"",IF((AND(FIND('112'!$M$9,G846,1)&gt;=1,B846='112'!$K$9,OR($N846='112'!$I$6,$O846='112'!$I$6))),"x",""))</f>
        <v/>
      </c>
      <c r="U846" s="85" t="str">
        <f>IF(ISERROR(FIND('112'!$M$9,G846,1)),"",IF((AND(LEFT(G846,2)=LEFT('112'!$M$9,2),B846&lt;'112'!$K$9,$N846='112'!$I$6)),"x",""))</f>
        <v/>
      </c>
      <c r="V846" s="85" t="str">
        <f>IF(ISERROR(FIND('112'!$M$9,G846,1)),"",IF((AND(RIGHT(G846,2)=RIGHT('112'!$M$9,2),B846&lt;'112'!$K$9,$O846='112'!$I$6)),"x",""))</f>
        <v/>
      </c>
      <c r="W846" s="85" t="str">
        <f>IF(AND('341-CT'!$H$9=H846,OR(LEFT(N846,3)=$W$7,LEFT(O846,3)=$W$7)),"x","")</f>
        <v/>
      </c>
      <c r="X846" s="85" t="str">
        <f>IF(OR(TH!N846=TH!$X$7,O846=TH!$X$7),"x","")</f>
        <v/>
      </c>
      <c r="Y846" s="85" t="str">
        <f>IF(AND(OR(N846="131",O846="131"),H846='131-CT'!$H$9),"x","")</f>
        <v/>
      </c>
      <c r="Z846" s="85"/>
      <c r="AA846" s="85" t="str">
        <f>IF(AND(MONTH(E846)='IN-NX'!$J$5,'IN-NX'!$D$7=D846),"x","")</f>
        <v/>
      </c>
      <c r="AB846" s="85" t="str">
        <f>IF(AND(OR(LEFT(TH!N846,2)="15",LEFT(TH!O846,2)="15"),'152-CT'!$J$8=TH!F846),"x","")</f>
        <v/>
      </c>
      <c r="AC846" s="85" t="str">
        <f>IF(AND(OR(LEFT(TH!N846,2)="15",LEFT(TH!O846,2)="15"),TK!$E$7=TH!F846),"x","")</f>
        <v/>
      </c>
      <c r="AD846" s="85" t="str">
        <f>IF(AND(N846="1521",MONTH(C846)='BK-NL'!$M$11),"x","")</f>
        <v/>
      </c>
    </row>
    <row r="847" spans="1:30" ht="15.75" customHeight="1">
      <c r="A847" s="343" t="str">
        <f>IF(B847&lt;&gt;"",IF(AND(B847='IN-TC'!$S$4,OR(TH!N847="1111",TH!O847="1111")),TH!D847,""),"")</f>
        <v/>
      </c>
      <c r="B847" s="63" t="str">
        <f t="shared" si="82"/>
        <v/>
      </c>
      <c r="C847" s="64"/>
      <c r="D847" s="64"/>
      <c r="E847" s="64"/>
      <c r="F847" s="67"/>
      <c r="G847" s="67"/>
      <c r="H847" s="322"/>
      <c r="I847" s="447"/>
      <c r="J847" s="447"/>
      <c r="K847" s="438"/>
      <c r="L847" s="447"/>
      <c r="M847" s="65"/>
      <c r="N847" s="66"/>
      <c r="O847" s="66"/>
      <c r="P847" s="85" t="str">
        <f>IF(AND('331-CT'!$E$7=TH!H847,OR(N847="331",O847="331")),"x","")</f>
        <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IF(AND('341-CT'!$H$9=H847,OR(LEFT(N847,3)=$W$7,LEFT(O847,3)=$W$7)),"x","")</f>
        <v/>
      </c>
      <c r="X847" s="85" t="str">
        <f>IF(OR(TH!N847=TH!$X$7,O847=TH!$X$7),"x","")</f>
        <v/>
      </c>
      <c r="Y847" s="85" t="str">
        <f>IF(AND(OR(N847="131",O847="131"),H847='131-CT'!$H$9),"x","")</f>
        <v/>
      </c>
      <c r="Z847" s="85"/>
      <c r="AA847" s="85" t="str">
        <f>IF(AND(MONTH(E847)='IN-NX'!$J$5,'IN-NX'!$D$7=D847),"x","")</f>
        <v/>
      </c>
      <c r="AB847" s="85" t="str">
        <f>IF(AND(OR(LEFT(TH!N847,2)="15",LEFT(TH!O847,2)="15"),'152-CT'!$J$8=TH!F847),"x","")</f>
        <v/>
      </c>
      <c r="AC847" s="85" t="str">
        <f>IF(AND(OR(LEFT(TH!N847,2)="15",LEFT(TH!O847,2)="15"),TK!$E$7=TH!F847),"x","")</f>
        <v/>
      </c>
      <c r="AD847" s="85" t="str">
        <f>IF(AND(N847="1521",MONTH(C847)='BK-NL'!$M$11),"x","")</f>
        <v/>
      </c>
    </row>
    <row r="848" spans="1:30" ht="15.75" customHeight="1">
      <c r="A848" s="343" t="str">
        <f>IF(B848&lt;&gt;"",IF(AND(B848='IN-TC'!$S$4,OR(TH!N848="1111",TH!O848="1111")),TH!D848,""),"")</f>
        <v/>
      </c>
      <c r="B848" s="63" t="str">
        <f t="shared" si="82"/>
        <v/>
      </c>
      <c r="C848" s="64"/>
      <c r="D848" s="64"/>
      <c r="E848" s="64"/>
      <c r="F848" s="67"/>
      <c r="G848" s="67"/>
      <c r="H848" s="74"/>
      <c r="I848" s="447"/>
      <c r="J848" s="447"/>
      <c r="K848" s="438"/>
      <c r="L848" s="447"/>
      <c r="M848" s="65"/>
      <c r="N848" s="66"/>
      <c r="O848" s="66"/>
      <c r="P848" s="85" t="str">
        <f>IF(AND('331-CT'!$E$7=TH!H848,OR(N848="331",O848="331")),"x","")</f>
        <v/>
      </c>
      <c r="Q848" s="85" t="str">
        <f>IF(AND(B848='111'!$L$11,OR($N848=$Q$7,$O848=$Q$7)),"x","")</f>
        <v/>
      </c>
      <c r="R848" s="85" t="str">
        <f>IF(AND($N848=$Q$7,$B848&lt;'111'!$L$11),"x","")</f>
        <v/>
      </c>
      <c r="S848" s="85" t="str">
        <f>IF(AND($O848=$Q$7,$B848&lt;'111'!$L$11),"x","")</f>
        <v/>
      </c>
      <c r="T848" s="85" t="str">
        <f>IF(ISERROR(FIND('112'!$M$9,G848,1)),"",IF((AND(FIND('112'!$M$9,G848,1)&gt;=1,B848='112'!$K$9,OR($N848='112'!$I$6,$O848='112'!$I$6))),"x",""))</f>
        <v/>
      </c>
      <c r="U848" s="85" t="str">
        <f>IF(ISERROR(FIND('112'!$M$9,G848,1)),"",IF((AND(LEFT(G848,2)=LEFT('112'!$M$9,2),B848&lt;'112'!$K$9,$N848='112'!$I$6)),"x",""))</f>
        <v/>
      </c>
      <c r="V848" s="85" t="str">
        <f>IF(ISERROR(FIND('112'!$M$9,G848,1)),"",IF((AND(RIGHT(G848,2)=RIGHT('112'!$M$9,2),B848&lt;'112'!$K$9,$O848='112'!$I$6)),"x",""))</f>
        <v/>
      </c>
      <c r="W848" s="85" t="str">
        <f>IF(AND('341-CT'!$H$9=H848,OR(LEFT(N848,3)=$W$7,LEFT(O848,3)=$W$7)),"x","")</f>
        <v/>
      </c>
      <c r="X848" s="85" t="str">
        <f>IF(OR(TH!N848=TH!$X$7,O848=TH!$X$7),"x","")</f>
        <v/>
      </c>
      <c r="Y848" s="85" t="str">
        <f>IF(AND(OR(N848="131",O848="131"),H848='131-CT'!$H$9),"x","")</f>
        <v/>
      </c>
      <c r="Z848" s="85"/>
      <c r="AA848" s="85" t="str">
        <f>IF(AND(MONTH(E848)='IN-NX'!$J$5,'IN-NX'!$D$7=D848),"x","")</f>
        <v/>
      </c>
      <c r="AB848" s="85" t="str">
        <f>IF(AND(OR(LEFT(TH!N848,2)="15",LEFT(TH!O848,2)="15"),'152-CT'!$J$8=TH!F848),"x","")</f>
        <v/>
      </c>
      <c r="AC848" s="85" t="str">
        <f>IF(AND(OR(LEFT(TH!N848,2)="15",LEFT(TH!O848,2)="15"),TK!$E$7=TH!F848),"x","")</f>
        <v/>
      </c>
      <c r="AD848" s="85" t="str">
        <f>IF(AND(N848="1521",MONTH(C848)='BK-NL'!$M$11),"x","")</f>
        <v/>
      </c>
    </row>
    <row r="849" spans="1:30" ht="15.75" customHeight="1">
      <c r="A849" s="343" t="str">
        <f>IF(B849&lt;&gt;"",IF(AND(B849='IN-TC'!$S$4,OR(TH!N849="1111",TH!O849="1111")),TH!D849,""),"")</f>
        <v/>
      </c>
      <c r="B849" s="63" t="str">
        <f t="shared" si="82"/>
        <v/>
      </c>
      <c r="C849" s="64"/>
      <c r="D849" s="64"/>
      <c r="E849" s="64"/>
      <c r="F849" s="67"/>
      <c r="G849" s="67"/>
      <c r="H849" s="74"/>
      <c r="I849" s="447"/>
      <c r="J849" s="447"/>
      <c r="K849" s="438"/>
      <c r="L849" s="447"/>
      <c r="M849" s="65"/>
      <c r="N849" s="66"/>
      <c r="O849" s="66"/>
      <c r="P849" s="85" t="str">
        <f>IF(AND('331-CT'!$E$7=TH!H849,OR(N849="331",O849="331")),"x","")</f>
        <v/>
      </c>
      <c r="Q849" s="85" t="str">
        <f>IF(AND(B849='111'!$L$11,OR($N849=$Q$7,$O849=$Q$7)),"x","")</f>
        <v/>
      </c>
      <c r="R849" s="85" t="str">
        <f>IF(AND($N849=$Q$7,$B849&lt;'111'!$L$11),"x","")</f>
        <v/>
      </c>
      <c r="S849" s="85" t="str">
        <f>IF(AND($O849=$Q$7,$B849&lt;'111'!$L$11),"x","")</f>
        <v/>
      </c>
      <c r="T849" s="85" t="str">
        <f>IF(ISERROR(FIND('112'!$M$9,G849,1)),"",IF((AND(FIND('112'!$M$9,G849,1)&gt;=1,B849='112'!$K$9,OR($N849='112'!$I$6,$O849='112'!$I$6))),"x",""))</f>
        <v/>
      </c>
      <c r="U849" s="85" t="str">
        <f>IF(ISERROR(FIND('112'!$M$9,G849,1)),"",IF((AND(LEFT(G849,2)=LEFT('112'!$M$9,2),B849&lt;'112'!$K$9,$N849='112'!$I$6)),"x",""))</f>
        <v/>
      </c>
      <c r="V849" s="85" t="str">
        <f>IF(ISERROR(FIND('112'!$M$9,G849,1)),"",IF((AND(RIGHT(G849,2)=RIGHT('112'!$M$9,2),B849&lt;'112'!$K$9,$O849='112'!$I$6)),"x",""))</f>
        <v/>
      </c>
      <c r="W849" s="85" t="str">
        <f>IF(AND('341-CT'!$H$9=H849,OR(LEFT(N849,3)=$W$7,LEFT(O849,3)=$W$7)),"x","")</f>
        <v/>
      </c>
      <c r="X849" s="85" t="str">
        <f>IF(OR(TH!N849=TH!$X$7,O849=TH!$X$7),"x","")</f>
        <v/>
      </c>
      <c r="Y849" s="85" t="str">
        <f>IF(AND(OR(N849="131",O849="131"),H849='131-CT'!$H$9),"x","")</f>
        <v/>
      </c>
      <c r="Z849" s="85"/>
      <c r="AA849" s="85" t="str">
        <f>IF(AND(MONTH(E849)='IN-NX'!$J$5,'IN-NX'!$D$7=D849),"x","")</f>
        <v/>
      </c>
      <c r="AB849" s="85" t="str">
        <f>IF(AND(OR(LEFT(TH!N849,2)="15",LEFT(TH!O849,2)="15"),'152-CT'!$J$8=TH!F849),"x","")</f>
        <v/>
      </c>
      <c r="AC849" s="85" t="str">
        <f>IF(AND(OR(LEFT(TH!N849,2)="15",LEFT(TH!O849,2)="15"),TK!$E$7=TH!F849),"x","")</f>
        <v/>
      </c>
      <c r="AD849" s="85" t="str">
        <f>IF(AND(N849="1521",MONTH(C849)='BK-NL'!$M$11),"x","")</f>
        <v/>
      </c>
    </row>
    <row r="850" spans="1:30" ht="15.75" customHeight="1">
      <c r="A850" s="343" t="str">
        <f>IF(B850&lt;&gt;"",IF(AND(B850='IN-TC'!$S$4,OR(TH!N850="1111",TH!O850="1111")),TH!D850,""),"")</f>
        <v/>
      </c>
      <c r="B850" s="63" t="str">
        <f t="shared" si="82"/>
        <v/>
      </c>
      <c r="C850" s="64"/>
      <c r="D850" s="64"/>
      <c r="E850" s="64"/>
      <c r="F850" s="67"/>
      <c r="G850" s="67"/>
      <c r="H850" s="74"/>
      <c r="I850" s="447"/>
      <c r="J850" s="447"/>
      <c r="K850" s="438"/>
      <c r="L850" s="447"/>
      <c r="M850" s="65"/>
      <c r="N850" s="66"/>
      <c r="O850" s="66"/>
      <c r="P850" s="85" t="str">
        <f>IF(AND('331-CT'!$E$7=TH!H850,OR(N850="331",O850="331")),"x","")</f>
        <v/>
      </c>
      <c r="Q850" s="85" t="str">
        <f>IF(AND(B850='111'!$L$11,OR($N850=$Q$7,$O850=$Q$7)),"x","")</f>
        <v/>
      </c>
      <c r="R850" s="85" t="str">
        <f>IF(AND($N850=$Q$7,$B850&lt;'111'!$L$11),"x","")</f>
        <v/>
      </c>
      <c r="S850" s="85" t="str">
        <f>IF(AND($O850=$Q$7,$B850&lt;'111'!$L$11),"x","")</f>
        <v/>
      </c>
      <c r="T850" s="85" t="str">
        <f>IF(ISERROR(FIND('112'!$M$9,G850,1)),"",IF((AND(FIND('112'!$M$9,G850,1)&gt;=1,B850='112'!$K$9,OR($N850='112'!$I$6,$O850='112'!$I$6))),"x",""))</f>
        <v/>
      </c>
      <c r="U850" s="85" t="str">
        <f>IF(ISERROR(FIND('112'!$M$9,G850,1)),"",IF((AND(LEFT(G850,2)=LEFT('112'!$M$9,2),B850&lt;'112'!$K$9,$N850='112'!$I$6)),"x",""))</f>
        <v/>
      </c>
      <c r="V850" s="85" t="str">
        <f>IF(ISERROR(FIND('112'!$M$9,G850,1)),"",IF((AND(RIGHT(G850,2)=RIGHT('112'!$M$9,2),B850&lt;'112'!$K$9,$O850='112'!$I$6)),"x",""))</f>
        <v/>
      </c>
      <c r="W850" s="85" t="str">
        <f>IF(AND('341-CT'!$H$9=H850,OR(LEFT(N850,3)=$W$7,LEFT(O850,3)=$W$7)),"x","")</f>
        <v/>
      </c>
      <c r="X850" s="85" t="str">
        <f>IF(OR(TH!N850=TH!$X$7,O850=TH!$X$7),"x","")</f>
        <v/>
      </c>
      <c r="Y850" s="85" t="str">
        <f>IF(AND(OR(N850="131",O850="131"),H850='131-CT'!$H$9),"x","")</f>
        <v/>
      </c>
      <c r="Z850" s="85"/>
      <c r="AA850" s="85" t="str">
        <f>IF(AND(MONTH(E850)='IN-NX'!$J$5,'IN-NX'!$D$7=D850),"x","")</f>
        <v/>
      </c>
      <c r="AB850" s="85" t="str">
        <f>IF(AND(OR(LEFT(TH!N850,2)="15",LEFT(TH!O850,2)="15"),'152-CT'!$J$8=TH!F850),"x","")</f>
        <v/>
      </c>
      <c r="AC850" s="85" t="str">
        <f>IF(AND(OR(LEFT(TH!N850,2)="15",LEFT(TH!O850,2)="15"),TK!$E$7=TH!F850),"x","")</f>
        <v/>
      </c>
      <c r="AD850" s="85" t="str">
        <f>IF(AND(N850="1521",MONTH(C850)='BK-NL'!$M$11),"x","")</f>
        <v/>
      </c>
    </row>
    <row r="851" spans="1:30" s="358" customFormat="1" ht="15.75" customHeight="1">
      <c r="A851" s="343" t="str">
        <f>IF(B851&lt;&gt;"",IF(AND(B851='IN-TC'!$S$4,OR(TH!N851="1111",TH!O851="1111")),TH!D851,""),"")</f>
        <v/>
      </c>
      <c r="B851" s="63" t="str">
        <f t="shared" si="82"/>
        <v/>
      </c>
      <c r="C851" s="64"/>
      <c r="D851" s="64"/>
      <c r="E851" s="64"/>
      <c r="F851" s="67"/>
      <c r="G851" s="67"/>
      <c r="H851" s="74"/>
      <c r="I851" s="447"/>
      <c r="J851" s="447"/>
      <c r="K851" s="438"/>
      <c r="L851" s="447"/>
      <c r="M851" s="65"/>
      <c r="N851" s="66"/>
      <c r="O851" s="66"/>
      <c r="P851" s="85" t="str">
        <f>IF(AND('331-CT'!$E$7=TH!H851,OR(N851="331",O851="331")),"x","")</f>
        <v/>
      </c>
      <c r="Q851" s="85" t="str">
        <f>IF(AND(B851='111'!$L$11,OR($N851=$Q$7,$O851=$Q$7)),"x","")</f>
        <v/>
      </c>
      <c r="R851" s="85" t="str">
        <f>IF(AND($N851=$Q$7,$B851&lt;'111'!$L$11),"x","")</f>
        <v/>
      </c>
      <c r="S851" s="85" t="str">
        <f>IF(AND($O851=$Q$7,$B851&lt;'111'!$L$11),"x","")</f>
        <v/>
      </c>
      <c r="T851" s="85" t="str">
        <f>IF(ISERROR(FIND('112'!$M$9,G851,1)),"",IF((AND(FIND('112'!$M$9,G851,1)&gt;=1,B851='112'!$K$9,OR($N851='112'!$I$6,$O851='112'!$I$6))),"x",""))</f>
        <v/>
      </c>
      <c r="U851" s="85" t="str">
        <f>IF(ISERROR(FIND('112'!$M$9,G851,1)),"",IF((AND(LEFT(G851,2)=LEFT('112'!$M$9,2),B851&lt;'112'!$K$9,$N851='112'!$I$6)),"x",""))</f>
        <v/>
      </c>
      <c r="V851" s="85" t="str">
        <f>IF(ISERROR(FIND('112'!$M$9,G851,1)),"",IF((AND(RIGHT(G851,2)=RIGHT('112'!$M$9,2),B851&lt;'112'!$K$9,$O851='112'!$I$6)),"x",""))</f>
        <v/>
      </c>
      <c r="W851" s="85" t="str">
        <f>IF(AND('341-CT'!$H$9=H851,OR(LEFT(N851,3)=$W$7,LEFT(O851,3)=$W$7)),"x","")</f>
        <v/>
      </c>
      <c r="X851" s="85" t="str">
        <f>IF(OR(TH!N851=TH!$X$7,O851=TH!$X$7),"x","")</f>
        <v/>
      </c>
      <c r="Y851" s="85" t="str">
        <f>IF(AND(OR(N851="131",O851="131"),H851='131-CT'!$H$9),"x","")</f>
        <v/>
      </c>
      <c r="Z851" s="85"/>
      <c r="AA851" s="85" t="str">
        <f>IF(AND(MONTH(E851)='IN-NX'!$J$5,'IN-NX'!$D$7=D851),"x","")</f>
        <v/>
      </c>
      <c r="AB851" s="85" t="str">
        <f>IF(AND(OR(LEFT(TH!N851,2)="15",LEFT(TH!O851,2)="15"),'152-CT'!$J$8=TH!F851),"x","")</f>
        <v/>
      </c>
      <c r="AC851" s="85" t="str">
        <f>IF(AND(OR(LEFT(TH!N851,2)="15",LEFT(TH!O851,2)="15"),TK!$E$7=TH!F851),"x","")</f>
        <v/>
      </c>
      <c r="AD851" s="85" t="str">
        <f>IF(AND(N851="1521",MONTH(C851)='BK-NL'!$M$11),"x","")</f>
        <v/>
      </c>
    </row>
    <row r="852" spans="1:30" s="358" customFormat="1" ht="15.75" customHeight="1">
      <c r="A852" s="343" t="str">
        <f>IF(B852&lt;&gt;"",IF(AND(B852='IN-TC'!$S$4,OR(TH!N852="1111",TH!O852="1111")),TH!D852,""),"")</f>
        <v/>
      </c>
      <c r="B852" s="63" t="str">
        <f t="shared" si="82"/>
        <v/>
      </c>
      <c r="C852" s="64"/>
      <c r="D852" s="64"/>
      <c r="E852" s="64"/>
      <c r="F852" s="67"/>
      <c r="G852" s="67"/>
      <c r="H852" s="74"/>
      <c r="I852" s="447"/>
      <c r="J852" s="447"/>
      <c r="K852" s="438"/>
      <c r="L852" s="447"/>
      <c r="M852" s="65"/>
      <c r="N852" s="66"/>
      <c r="O852" s="66"/>
      <c r="P852" s="85" t="str">
        <f>IF(AND('331-CT'!$E$7=TH!H852,OR(N852="331",O852="331")),"x","")</f>
        <v/>
      </c>
      <c r="Q852" s="85" t="str">
        <f>IF(AND(B852='111'!$L$11,OR($N852=$Q$7,$O852=$Q$7)),"x","")</f>
        <v/>
      </c>
      <c r="R852" s="85" t="str">
        <f>IF(AND($N852=$Q$7,$B852&lt;'111'!$L$11),"x","")</f>
        <v/>
      </c>
      <c r="S852" s="85" t="str">
        <f>IF(AND($O852=$Q$7,$B852&lt;'111'!$L$11),"x","")</f>
        <v/>
      </c>
      <c r="T852" s="85" t="str">
        <f>IF(ISERROR(FIND('112'!$M$9,G852,1)),"",IF((AND(FIND('112'!$M$9,G852,1)&gt;=1,B852='112'!$K$9,OR($N852='112'!$I$6,$O852='112'!$I$6))),"x",""))</f>
        <v/>
      </c>
      <c r="U852" s="85" t="str">
        <f>IF(ISERROR(FIND('112'!$M$9,G852,1)),"",IF((AND(LEFT(G852,2)=LEFT('112'!$M$9,2),B852&lt;'112'!$K$9,$N852='112'!$I$6)),"x",""))</f>
        <v/>
      </c>
      <c r="V852" s="85" t="str">
        <f>IF(ISERROR(FIND('112'!$M$9,G852,1)),"",IF((AND(RIGHT(G852,2)=RIGHT('112'!$M$9,2),B852&lt;'112'!$K$9,$O852='112'!$I$6)),"x",""))</f>
        <v/>
      </c>
      <c r="W852" s="85" t="str">
        <f>IF(AND('341-CT'!$H$9=H852,OR(LEFT(N852,3)=$W$7,LEFT(O852,3)=$W$7)),"x","")</f>
        <v/>
      </c>
      <c r="X852" s="85" t="str">
        <f>IF(OR(TH!N852=TH!$X$7,O852=TH!$X$7),"x","")</f>
        <v/>
      </c>
      <c r="Y852" s="85" t="str">
        <f>IF(AND(OR(N852="131",O852="131"),H852='131-CT'!$H$9),"x","")</f>
        <v/>
      </c>
      <c r="Z852" s="85"/>
      <c r="AA852" s="85" t="str">
        <f>IF(AND(MONTH(E852)='IN-NX'!$J$5,'IN-NX'!$D$7=D852),"x","")</f>
        <v/>
      </c>
      <c r="AB852" s="85" t="str">
        <f>IF(AND(OR(LEFT(TH!N852,2)="15",LEFT(TH!O852,2)="15"),'152-CT'!$J$8=TH!F852),"x","")</f>
        <v/>
      </c>
      <c r="AC852" s="85" t="str">
        <f>IF(AND(OR(LEFT(TH!N852,2)="15",LEFT(TH!O852,2)="15"),TK!$E$7=TH!F852),"x","")</f>
        <v/>
      </c>
      <c r="AD852" s="85" t="str">
        <f>IF(AND(N852="1521",MONTH(C852)='BK-NL'!$M$11),"x","")</f>
        <v/>
      </c>
    </row>
    <row r="853" spans="1:30" ht="15.75" customHeight="1">
      <c r="A853" s="343" t="str">
        <f>IF(B853&lt;&gt;"",IF(AND(B853='IN-TC'!$S$4,OR(TH!N853="1111",TH!O853="1111")),TH!D853,""),"")</f>
        <v/>
      </c>
      <c r="B853" s="63" t="str">
        <f t="shared" si="82"/>
        <v/>
      </c>
      <c r="C853" s="64"/>
      <c r="D853" s="64"/>
      <c r="E853" s="64"/>
      <c r="F853" s="67"/>
      <c r="G853" s="67"/>
      <c r="H853" s="74"/>
      <c r="I853" s="447"/>
      <c r="J853" s="447"/>
      <c r="K853" s="438"/>
      <c r="L853" s="447"/>
      <c r="M853" s="65"/>
      <c r="N853" s="66"/>
      <c r="O853" s="66"/>
      <c r="P853" s="85" t="str">
        <f>IF(AND('331-CT'!$E$7=TH!H853,OR(N853="331",O853="331")),"x","")</f>
        <v/>
      </c>
      <c r="Q853" s="85" t="str">
        <f>IF(AND(B853='111'!$L$11,OR($N853=$Q$7,$O853=$Q$7)),"x","")</f>
        <v/>
      </c>
      <c r="R853" s="85" t="str">
        <f>IF(AND($N853=$Q$7,$B853&lt;'111'!$L$11),"x","")</f>
        <v/>
      </c>
      <c r="S853" s="85" t="str">
        <f>IF(AND($O853=$Q$7,$B853&lt;'111'!$L$11),"x","")</f>
        <v/>
      </c>
      <c r="T853" s="85" t="str">
        <f>IF(ISERROR(FIND('112'!$M$9,G853,1)),"",IF((AND(FIND('112'!$M$9,G853,1)&gt;=1,B853='112'!$K$9,OR($N853='112'!$I$6,$O853='112'!$I$6))),"x",""))</f>
        <v/>
      </c>
      <c r="U853" s="85" t="str">
        <f>IF(ISERROR(FIND('112'!$M$9,G853,1)),"",IF((AND(LEFT(G853,2)=LEFT('112'!$M$9,2),B853&lt;'112'!$K$9,$N853='112'!$I$6)),"x",""))</f>
        <v/>
      </c>
      <c r="V853" s="85" t="str">
        <f>IF(ISERROR(FIND('112'!$M$9,G853,1)),"",IF((AND(RIGHT(G853,2)=RIGHT('112'!$M$9,2),B853&lt;'112'!$K$9,$O853='112'!$I$6)),"x",""))</f>
        <v/>
      </c>
      <c r="W853" s="85" t="str">
        <f>IF(AND('341-CT'!$H$9=H853,OR(LEFT(N853,3)=$W$7,LEFT(O853,3)=$W$7)),"x","")</f>
        <v/>
      </c>
      <c r="X853" s="85" t="str">
        <f>IF(OR(TH!N853=TH!$X$7,O853=TH!$X$7),"x","")</f>
        <v/>
      </c>
      <c r="Y853" s="85" t="str">
        <f>IF(AND(OR(N853="131",O853="131"),H853='131-CT'!$H$9),"x","")</f>
        <v/>
      </c>
      <c r="Z853" s="85"/>
      <c r="AA853" s="85" t="str">
        <f>IF(AND(MONTH(E853)='IN-NX'!$J$5,'IN-NX'!$D$7=D853),"x","")</f>
        <v/>
      </c>
      <c r="AB853" s="85" t="str">
        <f>IF(AND(OR(LEFT(TH!N853,2)="15",LEFT(TH!O853,2)="15"),'152-CT'!$J$8=TH!F853),"x","")</f>
        <v/>
      </c>
      <c r="AC853" s="85" t="str">
        <f>IF(AND(OR(LEFT(TH!N853,2)="15",LEFT(TH!O853,2)="15"),TK!$E$7=TH!F853),"x","")</f>
        <v/>
      </c>
      <c r="AD853" s="85" t="str">
        <f>IF(AND(N853="1521",MONTH(C853)='BK-NL'!$M$11),"x","")</f>
        <v/>
      </c>
    </row>
    <row r="854" spans="1:30" ht="15.75" customHeight="1">
      <c r="A854" s="343" t="str">
        <f>IF(B854&lt;&gt;"",IF(AND(B854='IN-TC'!$S$4,OR(TH!N854="1111",TH!O854="1111")),TH!D854,""),"")</f>
        <v/>
      </c>
      <c r="B854" s="63" t="str">
        <f t="shared" si="82"/>
        <v/>
      </c>
      <c r="C854" s="64"/>
      <c r="D854" s="64"/>
      <c r="E854" s="64"/>
      <c r="F854" s="67"/>
      <c r="G854" s="67"/>
      <c r="H854" s="74"/>
      <c r="I854" s="447"/>
      <c r="J854" s="447"/>
      <c r="K854" s="438"/>
      <c r="L854" s="447"/>
      <c r="M854" s="65"/>
      <c r="N854" s="66"/>
      <c r="O854" s="66"/>
      <c r="P854" s="85" t="str">
        <f>IF(AND('331-CT'!$E$7=TH!H854,OR(N854="331",O854="331")),"x","")</f>
        <v/>
      </c>
      <c r="Q854" s="85" t="str">
        <f>IF(AND(B854='111'!$L$11,OR($N854=$Q$7,$O854=$Q$7)),"x","")</f>
        <v/>
      </c>
      <c r="R854" s="85" t="str">
        <f>IF(AND($N854=$Q$7,$B854&lt;'111'!$L$11),"x","")</f>
        <v/>
      </c>
      <c r="S854" s="85" t="str">
        <f>IF(AND($O854=$Q$7,$B854&lt;'111'!$L$11),"x","")</f>
        <v/>
      </c>
      <c r="T854" s="85" t="str">
        <f>IF(ISERROR(FIND('112'!$M$9,G854,1)),"",IF((AND(FIND('112'!$M$9,G854,1)&gt;=1,B854='112'!$K$9,OR($N854='112'!$I$6,$O854='112'!$I$6))),"x",""))</f>
        <v/>
      </c>
      <c r="U854" s="85" t="str">
        <f>IF(ISERROR(FIND('112'!$M$9,G854,1)),"",IF((AND(LEFT(G854,2)=LEFT('112'!$M$9,2),B854&lt;'112'!$K$9,$N854='112'!$I$6)),"x",""))</f>
        <v/>
      </c>
      <c r="V854" s="85" t="str">
        <f>IF(ISERROR(FIND('112'!$M$9,G854,1)),"",IF((AND(RIGHT(G854,2)=RIGHT('112'!$M$9,2),B854&lt;'112'!$K$9,$O854='112'!$I$6)),"x",""))</f>
        <v/>
      </c>
      <c r="W854" s="85" t="str">
        <f>IF(AND('341-CT'!$H$9=H854,OR(LEFT(N854,3)=$W$7,LEFT(O854,3)=$W$7)),"x","")</f>
        <v/>
      </c>
      <c r="X854" s="85" t="str">
        <f>IF(OR(TH!N854=TH!$X$7,O854=TH!$X$7),"x","")</f>
        <v/>
      </c>
      <c r="Y854" s="85" t="str">
        <f>IF(AND(OR(N854="131",O854="131"),H854='131-CT'!$H$9),"x","")</f>
        <v/>
      </c>
      <c r="Z854" s="85"/>
      <c r="AA854" s="85" t="str">
        <f>IF(AND(MONTH(E854)='IN-NX'!$J$5,'IN-NX'!$D$7=D854),"x","")</f>
        <v/>
      </c>
      <c r="AB854" s="85" t="str">
        <f>IF(AND(OR(LEFT(TH!N854,2)="15",LEFT(TH!O854,2)="15"),'152-CT'!$J$8=TH!F854),"x","")</f>
        <v/>
      </c>
      <c r="AC854" s="85" t="str">
        <f>IF(AND(OR(LEFT(TH!N854,2)="15",LEFT(TH!O854,2)="15"),TK!$E$7=TH!F854),"x","")</f>
        <v/>
      </c>
      <c r="AD854" s="85" t="str">
        <f>IF(AND(N854="1521",MONTH(C854)='BK-NL'!$M$11),"x","")</f>
        <v/>
      </c>
    </row>
    <row r="855" spans="1:30" ht="15.75" customHeight="1">
      <c r="A855" s="343" t="str">
        <f>IF(B855&lt;&gt;"",IF(AND(B855='IN-TC'!$S$4,OR(TH!N855="1111",TH!O855="1111")),TH!D855,""),"")</f>
        <v/>
      </c>
      <c r="B855" s="63" t="str">
        <f t="shared" si="82"/>
        <v/>
      </c>
      <c r="C855" s="64"/>
      <c r="D855" s="64"/>
      <c r="E855" s="64"/>
      <c r="F855" s="67"/>
      <c r="G855" s="67"/>
      <c r="H855" s="74"/>
      <c r="I855" s="447"/>
      <c r="J855" s="447"/>
      <c r="K855" s="438"/>
      <c r="L855" s="447"/>
      <c r="M855" s="65"/>
      <c r="N855" s="66"/>
      <c r="O855" s="66"/>
      <c r="P855" s="85" t="str">
        <f>IF(AND('331-CT'!$E$7=TH!H855,OR(N855="331",O855="331")),"x","")</f>
        <v/>
      </c>
      <c r="Q855" s="85" t="str">
        <f>IF(AND(B855='111'!$L$11,OR($N855=$Q$7,$O855=$Q$7)),"x","")</f>
        <v/>
      </c>
      <c r="R855" s="85" t="str">
        <f>IF(AND($N855=$Q$7,$B855&lt;'111'!$L$11),"x","")</f>
        <v/>
      </c>
      <c r="S855" s="85" t="str">
        <f>IF(AND($O855=$Q$7,$B855&lt;'111'!$L$11),"x","")</f>
        <v/>
      </c>
      <c r="T855" s="85" t="str">
        <f>IF(ISERROR(FIND('112'!$M$9,G855,1)),"",IF((AND(FIND('112'!$M$9,G855,1)&gt;=1,B855='112'!$K$9,OR($N855='112'!$I$6,$O855='112'!$I$6))),"x",""))</f>
        <v/>
      </c>
      <c r="U855" s="85" t="str">
        <f>IF(ISERROR(FIND('112'!$M$9,G855,1)),"",IF((AND(LEFT(G855,2)=LEFT('112'!$M$9,2),B855&lt;'112'!$K$9,$N855='112'!$I$6)),"x",""))</f>
        <v/>
      </c>
      <c r="V855" s="85" t="str">
        <f>IF(ISERROR(FIND('112'!$M$9,G855,1)),"",IF((AND(RIGHT(G855,2)=RIGHT('112'!$M$9,2),B855&lt;'112'!$K$9,$O855='112'!$I$6)),"x",""))</f>
        <v/>
      </c>
      <c r="W855" s="85" t="str">
        <f>IF(AND('341-CT'!$H$9=H855,OR(LEFT(N855,3)=$W$7,LEFT(O855,3)=$W$7)),"x","")</f>
        <v/>
      </c>
      <c r="X855" s="85" t="str">
        <f>IF(OR(TH!N855=TH!$X$7,O855=TH!$X$7),"x","")</f>
        <v/>
      </c>
      <c r="Y855" s="85" t="str">
        <f>IF(AND(OR(N855="131",O855="131"),H855='131-CT'!$H$9),"x","")</f>
        <v/>
      </c>
      <c r="Z855" s="85"/>
      <c r="AA855" s="85" t="str">
        <f>IF(AND(MONTH(E855)='IN-NX'!$J$5,'IN-NX'!$D$7=D855),"x","")</f>
        <v/>
      </c>
      <c r="AB855" s="85" t="str">
        <f>IF(AND(OR(LEFT(TH!N855,2)="15",LEFT(TH!O855,2)="15"),'152-CT'!$J$8=TH!F855),"x","")</f>
        <v/>
      </c>
      <c r="AC855" s="85" t="str">
        <f>IF(AND(OR(LEFT(TH!N855,2)="15",LEFT(TH!O855,2)="15"),TK!$E$7=TH!F855),"x","")</f>
        <v/>
      </c>
      <c r="AD855" s="85" t="str">
        <f>IF(AND(N855="1521",MONTH(C855)='BK-NL'!$M$11),"x","")</f>
        <v/>
      </c>
    </row>
    <row r="856" spans="1:30" ht="15.75" customHeight="1">
      <c r="A856" s="343" t="str">
        <f>IF(B856&lt;&gt;"",IF(AND(B856='IN-TC'!$S$4,OR(TH!N856="1111",TH!O856="1111")),TH!D856,""),"")</f>
        <v/>
      </c>
      <c r="B856" s="63" t="str">
        <f t="shared" ref="B856:B919" si="83">IF(C856&lt;&gt;"",MONTH(C856),"")</f>
        <v/>
      </c>
      <c r="C856" s="64"/>
      <c r="D856" s="64"/>
      <c r="E856" s="64"/>
      <c r="F856" s="67"/>
      <c r="G856" s="67"/>
      <c r="H856" s="351"/>
      <c r="I856" s="449"/>
      <c r="J856" s="449"/>
      <c r="K856" s="440"/>
      <c r="L856" s="449"/>
      <c r="M856" s="65"/>
      <c r="N856" s="66"/>
      <c r="O856" s="66"/>
      <c r="P856" s="85" t="str">
        <f>IF(AND('331-CT'!$E$7=TH!H856,OR(N856="331",O856="331")),"x","")</f>
        <v/>
      </c>
      <c r="Q856" s="85" t="str">
        <f>IF(AND(B856='111'!$L$11,OR($N856=$Q$7,$O856=$Q$7)),"x","")</f>
        <v/>
      </c>
      <c r="R856" s="85" t="str">
        <f>IF(AND($N856=$Q$7,$B856&lt;'111'!$L$11),"x","")</f>
        <v/>
      </c>
      <c r="S856" s="85" t="str">
        <f>IF(AND($O856=$Q$7,$B856&lt;'111'!$L$11),"x","")</f>
        <v/>
      </c>
      <c r="T856" s="85" t="str">
        <f>IF(ISERROR(FIND('112'!$M$9,G856,1)),"",IF((AND(FIND('112'!$M$9,G856,1)&gt;=1,B856='112'!$K$9,OR($N856='112'!$I$6,$O856='112'!$I$6))),"x",""))</f>
        <v/>
      </c>
      <c r="U856" s="85" t="str">
        <f>IF(ISERROR(FIND('112'!$M$9,G856,1)),"",IF((AND(LEFT(G856,2)=LEFT('112'!$M$9,2),B856&lt;'112'!$K$9,$N856='112'!$I$6)),"x",""))</f>
        <v/>
      </c>
      <c r="V856" s="85" t="str">
        <f>IF(ISERROR(FIND('112'!$M$9,G856,1)),"",IF((AND(RIGHT(G856,2)=RIGHT('112'!$M$9,2),B856&lt;'112'!$K$9,$O856='112'!$I$6)),"x",""))</f>
        <v/>
      </c>
      <c r="W856" s="85" t="str">
        <f>IF(AND('341-CT'!$H$9=H856,OR(LEFT(N856,3)=$W$7,LEFT(O856,3)=$W$7)),"x","")</f>
        <v/>
      </c>
      <c r="X856" s="85" t="str">
        <f>IF(OR(TH!N856=TH!$X$7,O856=TH!$X$7),"x","")</f>
        <v/>
      </c>
      <c r="Y856" s="85" t="str">
        <f>IF(AND(OR(N856="131",O856="131"),H856='131-CT'!$H$9),"x","")</f>
        <v/>
      </c>
      <c r="Z856" s="85"/>
      <c r="AA856" s="85" t="str">
        <f>IF(AND(MONTH(E856)='IN-NX'!$J$5,'IN-NX'!$D$7=D856),"x","")</f>
        <v/>
      </c>
      <c r="AB856" s="85" t="str">
        <f>IF(AND(OR(LEFT(TH!N856,2)="15",LEFT(TH!O856,2)="15"),'152-CT'!$J$8=TH!F856),"x","")</f>
        <v/>
      </c>
      <c r="AC856" s="85" t="str">
        <f>IF(AND(OR(LEFT(TH!N856,2)="15",LEFT(TH!O856,2)="15"),TK!$E$7=TH!F856),"x","")</f>
        <v/>
      </c>
      <c r="AD856" s="85" t="str">
        <f>IF(AND(N856="1521",MONTH(C856)='BK-NL'!$M$11),"x","")</f>
        <v/>
      </c>
    </row>
    <row r="857" spans="1:30" ht="15.75" customHeight="1">
      <c r="A857" s="343" t="str">
        <f>IF(B857&lt;&gt;"",IF(AND(B857='IN-TC'!$S$4,OR(TH!N857="1111",TH!O857="1111")),TH!D857,""),"")</f>
        <v/>
      </c>
      <c r="B857" s="63" t="str">
        <f t="shared" si="83"/>
        <v/>
      </c>
      <c r="C857" s="64"/>
      <c r="D857" s="64"/>
      <c r="E857" s="64"/>
      <c r="F857" s="67"/>
      <c r="G857" s="67"/>
      <c r="H857" s="74"/>
      <c r="I857" s="447"/>
      <c r="J857" s="447"/>
      <c r="K857" s="438"/>
      <c r="L857" s="447"/>
      <c r="M857" s="65"/>
      <c r="N857" s="66"/>
      <c r="O857" s="66"/>
      <c r="P857" s="85" t="str">
        <f>IF(AND('331-CT'!$E$7=TH!H857,OR(N857="331",O857="331")),"x","")</f>
        <v/>
      </c>
      <c r="Q857" s="85" t="str">
        <f>IF(AND(B857='111'!$L$11,OR($N857=$Q$7,$O857=$Q$7)),"x","")</f>
        <v/>
      </c>
      <c r="R857" s="85" t="str">
        <f>IF(AND($N857=$Q$7,$B857&lt;'111'!$L$11),"x","")</f>
        <v/>
      </c>
      <c r="S857" s="85" t="str">
        <f>IF(AND($O857=$Q$7,$B857&lt;'111'!$L$11),"x","")</f>
        <v/>
      </c>
      <c r="T857" s="85" t="str">
        <f>IF(ISERROR(FIND('112'!$M$9,G857,1)),"",IF((AND(FIND('112'!$M$9,G857,1)&gt;=1,B857='112'!$K$9,OR($N857='112'!$I$6,$O857='112'!$I$6))),"x",""))</f>
        <v/>
      </c>
      <c r="U857" s="85" t="str">
        <f>IF(ISERROR(FIND('112'!$M$9,G857,1)),"",IF((AND(LEFT(G857,2)=LEFT('112'!$M$9,2),B857&lt;'112'!$K$9,$N857='112'!$I$6)),"x",""))</f>
        <v/>
      </c>
      <c r="V857" s="85" t="str">
        <f>IF(ISERROR(FIND('112'!$M$9,G857,1)),"",IF((AND(RIGHT(G857,2)=RIGHT('112'!$M$9,2),B857&lt;'112'!$K$9,$O857='112'!$I$6)),"x",""))</f>
        <v/>
      </c>
      <c r="W857" s="85" t="str">
        <f>IF(AND('341-CT'!$H$9=H857,OR(LEFT(N857,3)=$W$7,LEFT(O857,3)=$W$7)),"x","")</f>
        <v/>
      </c>
      <c r="X857" s="85" t="str">
        <f>IF(OR(TH!N857=TH!$X$7,O857=TH!$X$7),"x","")</f>
        <v/>
      </c>
      <c r="Y857" s="85" t="str">
        <f>IF(AND(OR(N857="131",O857="131"),H857='131-CT'!$H$9),"x","")</f>
        <v/>
      </c>
      <c r="Z857" s="85"/>
      <c r="AA857" s="85" t="str">
        <f>IF(AND(MONTH(E857)='IN-NX'!$J$5,'IN-NX'!$D$7=D857),"x","")</f>
        <v/>
      </c>
      <c r="AB857" s="85" t="str">
        <f>IF(AND(OR(LEFT(TH!N857,2)="15",LEFT(TH!O857,2)="15"),'152-CT'!$J$8=TH!F857),"x","")</f>
        <v/>
      </c>
      <c r="AC857" s="85" t="str">
        <f>IF(AND(OR(LEFT(TH!N857,2)="15",LEFT(TH!O857,2)="15"),TK!$E$7=TH!F857),"x","")</f>
        <v/>
      </c>
      <c r="AD857" s="85" t="str">
        <f>IF(AND(N857="1521",MONTH(C857)='BK-NL'!$M$11),"x","")</f>
        <v/>
      </c>
    </row>
    <row r="858" spans="1:30" ht="15.75" customHeight="1">
      <c r="A858" s="343" t="str">
        <f>IF(B858&lt;&gt;"",IF(AND(B858='IN-TC'!$S$4,OR(TH!N858="1111",TH!O858="1111")),TH!D858,""),"")</f>
        <v/>
      </c>
      <c r="B858" s="63" t="str">
        <f t="shared" si="83"/>
        <v/>
      </c>
      <c r="C858" s="64"/>
      <c r="D858" s="64"/>
      <c r="E858" s="64"/>
      <c r="F858" s="67"/>
      <c r="G858" s="67"/>
      <c r="H858" s="74"/>
      <c r="I858" s="447"/>
      <c r="J858" s="447"/>
      <c r="K858" s="438"/>
      <c r="L858" s="447"/>
      <c r="M858" s="65"/>
      <c r="N858" s="66"/>
      <c r="O858" s="66"/>
      <c r="P858" s="85" t="str">
        <f>IF(AND('331-CT'!$E$7=TH!H858,OR(N858="331",O858="331")),"x","")</f>
        <v/>
      </c>
      <c r="Q858" s="85" t="str">
        <f>IF(AND(B858='111'!$L$11,OR($N858=$Q$7,$O858=$Q$7)),"x","")</f>
        <v/>
      </c>
      <c r="R858" s="85" t="str">
        <f>IF(AND($N858=$Q$7,$B858&lt;'111'!$L$11),"x","")</f>
        <v/>
      </c>
      <c r="S858" s="85" t="str">
        <f>IF(AND($O858=$Q$7,$B858&lt;'111'!$L$11),"x","")</f>
        <v/>
      </c>
      <c r="T858" s="85" t="str">
        <f>IF(ISERROR(FIND('112'!$M$9,G858,1)),"",IF((AND(FIND('112'!$M$9,G858,1)&gt;=1,B858='112'!$K$9,OR($N858='112'!$I$6,$O858='112'!$I$6))),"x",""))</f>
        <v/>
      </c>
      <c r="U858" s="85" t="str">
        <f>IF(ISERROR(FIND('112'!$M$9,G858,1)),"",IF((AND(LEFT(G858,2)=LEFT('112'!$M$9,2),B858&lt;'112'!$K$9,$N858='112'!$I$6)),"x",""))</f>
        <v/>
      </c>
      <c r="V858" s="85" t="str">
        <f>IF(ISERROR(FIND('112'!$M$9,G858,1)),"",IF((AND(RIGHT(G858,2)=RIGHT('112'!$M$9,2),B858&lt;'112'!$K$9,$O858='112'!$I$6)),"x",""))</f>
        <v/>
      </c>
      <c r="W858" s="85" t="str">
        <f>IF(AND('341-CT'!$H$9=H858,OR(LEFT(N858,3)=$W$7,LEFT(O858,3)=$W$7)),"x","")</f>
        <v/>
      </c>
      <c r="X858" s="85" t="str">
        <f>IF(OR(TH!N858=TH!$X$7,O858=TH!$X$7),"x","")</f>
        <v/>
      </c>
      <c r="Y858" s="85" t="str">
        <f>IF(AND(OR(N858="131",O858="131"),H858='131-CT'!$H$9),"x","")</f>
        <v/>
      </c>
      <c r="Z858" s="85"/>
      <c r="AA858" s="85" t="str">
        <f>IF(AND(MONTH(E858)='IN-NX'!$J$5,'IN-NX'!$D$7=D858),"x","")</f>
        <v/>
      </c>
      <c r="AB858" s="85" t="str">
        <f>IF(AND(OR(LEFT(TH!N858,2)="15",LEFT(TH!O858,2)="15"),'152-CT'!$J$8=TH!F858),"x","")</f>
        <v/>
      </c>
      <c r="AC858" s="85" t="str">
        <f>IF(AND(OR(LEFT(TH!N858,2)="15",LEFT(TH!O858,2)="15"),TK!$E$7=TH!F858),"x","")</f>
        <v/>
      </c>
      <c r="AD858" s="85" t="str">
        <f>IF(AND(N858="1521",MONTH(C858)='BK-NL'!$M$11),"x","")</f>
        <v/>
      </c>
    </row>
    <row r="859" spans="1:30" ht="15.75" customHeight="1">
      <c r="A859" s="343" t="str">
        <f>IF(B859&lt;&gt;"",IF(AND(B859='IN-TC'!$S$4,OR(TH!N859="1111",TH!O859="1111")),TH!D859,""),"")</f>
        <v/>
      </c>
      <c r="B859" s="63" t="str">
        <f t="shared" si="83"/>
        <v/>
      </c>
      <c r="C859" s="64"/>
      <c r="D859" s="64"/>
      <c r="E859" s="64"/>
      <c r="F859" s="67"/>
      <c r="G859" s="67"/>
      <c r="H859" s="351"/>
      <c r="I859" s="449"/>
      <c r="J859" s="449"/>
      <c r="K859" s="440"/>
      <c r="L859" s="449"/>
      <c r="M859" s="65"/>
      <c r="N859" s="66"/>
      <c r="O859" s="66"/>
      <c r="P859" s="85" t="str">
        <f>IF(AND('331-CT'!$E$7=TH!H859,OR(N859="331",O859="331")),"x","")</f>
        <v/>
      </c>
      <c r="Q859" s="85" t="str">
        <f>IF(AND(B859='111'!$L$11,OR($N859=$Q$7,$O859=$Q$7)),"x","")</f>
        <v/>
      </c>
      <c r="R859" s="85" t="str">
        <f>IF(AND($N859=$Q$7,$B859&lt;'111'!$L$11),"x","")</f>
        <v/>
      </c>
      <c r="S859" s="85" t="str">
        <f>IF(AND($O859=$Q$7,$B859&lt;'111'!$L$11),"x","")</f>
        <v/>
      </c>
      <c r="T859" s="85" t="str">
        <f>IF(ISERROR(FIND('112'!$M$9,G859,1)),"",IF((AND(FIND('112'!$M$9,G859,1)&gt;=1,B859='112'!$K$9,OR($N859='112'!$I$6,$O859='112'!$I$6))),"x",""))</f>
        <v/>
      </c>
      <c r="U859" s="85" t="str">
        <f>IF(ISERROR(FIND('112'!$M$9,G859,1)),"",IF((AND(LEFT(G859,2)=LEFT('112'!$M$9,2),B859&lt;'112'!$K$9,$N859='112'!$I$6)),"x",""))</f>
        <v/>
      </c>
      <c r="V859" s="85" t="str">
        <f>IF(ISERROR(FIND('112'!$M$9,G859,1)),"",IF((AND(RIGHT(G859,2)=RIGHT('112'!$M$9,2),B859&lt;'112'!$K$9,$O859='112'!$I$6)),"x",""))</f>
        <v/>
      </c>
      <c r="W859" s="85" t="str">
        <f>IF(AND('341-CT'!$H$9=H859,OR(LEFT(N859,3)=$W$7,LEFT(O859,3)=$W$7)),"x","")</f>
        <v/>
      </c>
      <c r="X859" s="85" t="str">
        <f>IF(OR(TH!N859=TH!$X$7,O859=TH!$X$7),"x","")</f>
        <v/>
      </c>
      <c r="Y859" s="85" t="str">
        <f>IF(AND(OR(N859="131",O859="131"),H859='131-CT'!$H$9),"x","")</f>
        <v/>
      </c>
      <c r="Z859" s="85"/>
      <c r="AA859" s="85" t="str">
        <f>IF(AND(MONTH(E859)='IN-NX'!$J$5,'IN-NX'!$D$7=D859),"x","")</f>
        <v/>
      </c>
      <c r="AB859" s="85" t="str">
        <f>IF(AND(OR(LEFT(TH!N859,2)="15",LEFT(TH!O859,2)="15"),'152-CT'!$J$8=TH!F859),"x","")</f>
        <v/>
      </c>
      <c r="AC859" s="85" t="str">
        <f>IF(AND(OR(LEFT(TH!N859,2)="15",LEFT(TH!O859,2)="15"),TK!$E$7=TH!F859),"x","")</f>
        <v/>
      </c>
      <c r="AD859" s="85" t="str">
        <f>IF(AND(N859="1521",MONTH(C859)='BK-NL'!$M$11),"x","")</f>
        <v/>
      </c>
    </row>
    <row r="860" spans="1:30" ht="15.75" customHeight="1">
      <c r="A860" s="343" t="str">
        <f>IF(B860&lt;&gt;"",IF(AND(B860='IN-TC'!$S$4,OR(TH!N860="1111",TH!O860="1111")),TH!D860,""),"")</f>
        <v/>
      </c>
      <c r="B860" s="63" t="str">
        <f t="shared" si="83"/>
        <v/>
      </c>
      <c r="C860" s="64"/>
      <c r="D860" s="64"/>
      <c r="E860" s="64"/>
      <c r="F860" s="67"/>
      <c r="G860" s="67"/>
      <c r="H860" s="74"/>
      <c r="I860" s="447"/>
      <c r="J860" s="447"/>
      <c r="K860" s="438"/>
      <c r="L860" s="447"/>
      <c r="M860" s="65"/>
      <c r="N860" s="66"/>
      <c r="O860" s="66"/>
      <c r="P860" s="85" t="str">
        <f>IF(AND('331-CT'!$E$7=TH!H860,OR(N860="331",O860="331")),"x","")</f>
        <v/>
      </c>
      <c r="Q860" s="85" t="str">
        <f>IF(AND(B860='111'!$L$11,OR($N860=$Q$7,$O860=$Q$7)),"x","")</f>
        <v/>
      </c>
      <c r="R860" s="85" t="str">
        <f>IF(AND($N860=$Q$7,$B860&lt;'111'!$L$11),"x","")</f>
        <v/>
      </c>
      <c r="S860" s="85" t="str">
        <f>IF(AND($O860=$Q$7,$B860&lt;'111'!$L$11),"x","")</f>
        <v/>
      </c>
      <c r="T860" s="85" t="str">
        <f>IF(ISERROR(FIND('112'!$M$9,G860,1)),"",IF((AND(FIND('112'!$M$9,G860,1)&gt;=1,B860='112'!$K$9,OR($N860='112'!$I$6,$O860='112'!$I$6))),"x",""))</f>
        <v/>
      </c>
      <c r="U860" s="85" t="str">
        <f>IF(ISERROR(FIND('112'!$M$9,G860,1)),"",IF((AND(LEFT(G860,2)=LEFT('112'!$M$9,2),B860&lt;'112'!$K$9,$N860='112'!$I$6)),"x",""))</f>
        <v/>
      </c>
      <c r="V860" s="85" t="str">
        <f>IF(ISERROR(FIND('112'!$M$9,G860,1)),"",IF((AND(RIGHT(G860,2)=RIGHT('112'!$M$9,2),B860&lt;'112'!$K$9,$O860='112'!$I$6)),"x",""))</f>
        <v/>
      </c>
      <c r="W860" s="85" t="str">
        <f>IF(AND('341-CT'!$H$9=H860,OR(LEFT(N860,3)=$W$7,LEFT(O860,3)=$W$7)),"x","")</f>
        <v/>
      </c>
      <c r="X860" s="85" t="str">
        <f>IF(OR(TH!N860=TH!$X$7,O860=TH!$X$7),"x","")</f>
        <v/>
      </c>
      <c r="Y860" s="85" t="str">
        <f>IF(AND(OR(N860="131",O860="131"),H860='131-CT'!$H$9),"x","")</f>
        <v/>
      </c>
      <c r="Z860" s="85"/>
      <c r="AA860" s="85" t="str">
        <f>IF(AND(MONTH(E860)='IN-NX'!$J$5,'IN-NX'!$D$7=D860),"x","")</f>
        <v/>
      </c>
      <c r="AB860" s="85" t="str">
        <f>IF(AND(OR(LEFT(TH!N860,2)="15",LEFT(TH!O860,2)="15"),'152-CT'!$J$8=TH!F860),"x","")</f>
        <v/>
      </c>
      <c r="AC860" s="85" t="str">
        <f>IF(AND(OR(LEFT(TH!N860,2)="15",LEFT(TH!O860,2)="15"),TK!$E$7=TH!F860),"x","")</f>
        <v/>
      </c>
      <c r="AD860" s="85" t="str">
        <f>IF(AND(N860="1521",MONTH(C860)='BK-NL'!$M$11),"x","")</f>
        <v/>
      </c>
    </row>
    <row r="861" spans="1:30" ht="15.75" customHeight="1">
      <c r="A861" s="343" t="str">
        <f>IF(B861&lt;&gt;"",IF(AND(B861='IN-TC'!$S$4,OR(TH!N861="1111",TH!O861="1111")),TH!D861,""),"")</f>
        <v/>
      </c>
      <c r="B861" s="63" t="str">
        <f t="shared" si="83"/>
        <v/>
      </c>
      <c r="C861" s="64"/>
      <c r="D861" s="64"/>
      <c r="E861" s="64"/>
      <c r="F861" s="67"/>
      <c r="G861" s="67"/>
      <c r="H861" s="74"/>
      <c r="I861" s="447"/>
      <c r="J861" s="447"/>
      <c r="K861" s="438"/>
      <c r="L861" s="447"/>
      <c r="M861" s="65"/>
      <c r="N861" s="66"/>
      <c r="O861" s="66"/>
      <c r="P861" s="85" t="str">
        <f>IF(AND('331-CT'!$E$7=TH!H861,OR(N861="331",O861="331")),"x","")</f>
        <v/>
      </c>
      <c r="Q861" s="85" t="str">
        <f>IF(AND(B861='111'!$L$11,OR($N861=$Q$7,$O861=$Q$7)),"x","")</f>
        <v/>
      </c>
      <c r="R861" s="85" t="str">
        <f>IF(AND($N861=$Q$7,$B861&lt;'111'!$L$11),"x","")</f>
        <v/>
      </c>
      <c r="S861" s="85" t="str">
        <f>IF(AND($O861=$Q$7,$B861&lt;'111'!$L$11),"x","")</f>
        <v/>
      </c>
      <c r="T861" s="85" t="str">
        <f>IF(ISERROR(FIND('112'!$M$9,G861,1)),"",IF((AND(FIND('112'!$M$9,G861,1)&gt;=1,B861='112'!$K$9,OR($N861='112'!$I$6,$O861='112'!$I$6))),"x",""))</f>
        <v/>
      </c>
      <c r="U861" s="85" t="str">
        <f>IF(ISERROR(FIND('112'!$M$9,G861,1)),"",IF((AND(LEFT(G861,2)=LEFT('112'!$M$9,2),B861&lt;'112'!$K$9,$N861='112'!$I$6)),"x",""))</f>
        <v/>
      </c>
      <c r="V861" s="85" t="str">
        <f>IF(ISERROR(FIND('112'!$M$9,G861,1)),"",IF((AND(RIGHT(G861,2)=RIGHT('112'!$M$9,2),B861&lt;'112'!$K$9,$O861='112'!$I$6)),"x",""))</f>
        <v/>
      </c>
      <c r="W861" s="85" t="str">
        <f>IF(AND('341-CT'!$H$9=H861,OR(LEFT(N861,3)=$W$7,LEFT(O861,3)=$W$7)),"x","")</f>
        <v/>
      </c>
      <c r="X861" s="85" t="str">
        <f>IF(OR(TH!N861=TH!$X$7,O861=TH!$X$7),"x","")</f>
        <v/>
      </c>
      <c r="Y861" s="85" t="str">
        <f>IF(AND(OR(N861="131",O861="131"),H861='131-CT'!$H$9),"x","")</f>
        <v/>
      </c>
      <c r="Z861" s="85"/>
      <c r="AA861" s="85" t="str">
        <f>IF(AND(MONTH(E861)='IN-NX'!$J$5,'IN-NX'!$D$7=D861),"x","")</f>
        <v/>
      </c>
      <c r="AB861" s="85" t="str">
        <f>IF(AND(OR(LEFT(TH!N861,2)="15",LEFT(TH!O861,2)="15"),'152-CT'!$J$8=TH!F861),"x","")</f>
        <v/>
      </c>
      <c r="AC861" s="85" t="str">
        <f>IF(AND(OR(LEFT(TH!N861,2)="15",LEFT(TH!O861,2)="15"),TK!$E$7=TH!F861),"x","")</f>
        <v/>
      </c>
      <c r="AD861" s="85" t="str">
        <f>IF(AND(N861="1521",MONTH(C861)='BK-NL'!$M$11),"x","")</f>
        <v/>
      </c>
    </row>
    <row r="862" spans="1:30" ht="15.75" customHeight="1">
      <c r="A862" s="343" t="str">
        <f>IF(B862&lt;&gt;"",IF(AND(B862='IN-TC'!$S$4,OR(TH!N862="1111",TH!O862="1111")),TH!D862,""),"")</f>
        <v/>
      </c>
      <c r="B862" s="63" t="str">
        <f t="shared" si="83"/>
        <v/>
      </c>
      <c r="C862" s="64"/>
      <c r="D862" s="64"/>
      <c r="E862" s="64"/>
      <c r="F862" s="67"/>
      <c r="G862" s="996"/>
      <c r="H862" s="322"/>
      <c r="I862" s="447"/>
      <c r="J862" s="447"/>
      <c r="K862" s="438"/>
      <c r="L862" s="447"/>
      <c r="M862" s="65"/>
      <c r="N862" s="66"/>
      <c r="O862" s="66"/>
      <c r="P862" s="85" t="str">
        <f>IF(AND('331-CT'!$E$7=TH!H862,OR(N862="331",O862="331")),"x","")</f>
        <v/>
      </c>
      <c r="Q862" s="85" t="str">
        <f>IF(AND(B862='111'!$L$11,OR($N862=$Q$7,$O862=$Q$7)),"x","")</f>
        <v/>
      </c>
      <c r="R862" s="85" t="str">
        <f>IF(AND($N862=$Q$7,$B862&lt;'111'!$L$11),"x","")</f>
        <v/>
      </c>
      <c r="S862" s="85" t="str">
        <f>IF(AND($O862=$Q$7,$B862&lt;'111'!$L$11),"x","")</f>
        <v/>
      </c>
      <c r="T862" s="85" t="str">
        <f>IF(ISERROR(FIND('112'!$M$9,G862,1)),"",IF((AND(FIND('112'!$M$9,G862,1)&gt;=1,B862='112'!$K$9,OR($N862='112'!$I$6,$O862='112'!$I$6))),"x",""))</f>
        <v/>
      </c>
      <c r="U862" s="85" t="str">
        <f>IF(ISERROR(FIND('112'!$M$9,G862,1)),"",IF((AND(LEFT(G862,2)=LEFT('112'!$M$9,2),B862&lt;'112'!$K$9,$N862='112'!$I$6)),"x",""))</f>
        <v/>
      </c>
      <c r="V862" s="85" t="str">
        <f>IF(ISERROR(FIND('112'!$M$9,G862,1)),"",IF((AND(RIGHT(G862,2)=RIGHT('112'!$M$9,2),B862&lt;'112'!$K$9,$O862='112'!$I$6)),"x",""))</f>
        <v/>
      </c>
      <c r="W862" s="85" t="str">
        <f>IF(AND('341-CT'!$H$9=H862,OR(LEFT(N862,3)=$W$7,LEFT(O862,3)=$W$7)),"x","")</f>
        <v/>
      </c>
      <c r="X862" s="85" t="str">
        <f>IF(OR(TH!N862=TH!$X$7,O862=TH!$X$7),"x","")</f>
        <v/>
      </c>
      <c r="Y862" s="85" t="str">
        <f>IF(AND(OR(N862="131",O862="131"),H862='131-CT'!$H$9),"x","")</f>
        <v/>
      </c>
      <c r="Z862" s="85"/>
      <c r="AA862" s="85" t="str">
        <f>IF(AND(MONTH(E862)='IN-NX'!$J$5,'IN-NX'!$D$7=D862),"x","")</f>
        <v/>
      </c>
      <c r="AB862" s="85" t="str">
        <f>IF(AND(OR(LEFT(TH!N862,2)="15",LEFT(TH!O862,2)="15"),'152-CT'!$J$8=TH!F862),"x","")</f>
        <v/>
      </c>
      <c r="AC862" s="85" t="str">
        <f>IF(AND(OR(LEFT(TH!N862,2)="15",LEFT(TH!O862,2)="15"),TK!$E$7=TH!F862),"x","")</f>
        <v/>
      </c>
      <c r="AD862" s="85" t="str">
        <f>IF(AND(N862="1521",MONTH(C862)='BK-NL'!$M$11),"x","")</f>
        <v/>
      </c>
    </row>
    <row r="863" spans="1:30" ht="15.75" customHeight="1">
      <c r="A863" s="343" t="str">
        <f>IF(B863&lt;&gt;"",IF(AND(B863='IN-TC'!$S$4,OR(TH!N863="1111",TH!O863="1111")),TH!D863,""),"")</f>
        <v/>
      </c>
      <c r="B863" s="63" t="str">
        <f t="shared" si="83"/>
        <v/>
      </c>
      <c r="C863" s="64"/>
      <c r="D863" s="64"/>
      <c r="E863" s="64"/>
      <c r="F863" s="67"/>
      <c r="G863" s="996"/>
      <c r="H863" s="322"/>
      <c r="I863" s="447"/>
      <c r="J863" s="447"/>
      <c r="K863" s="438"/>
      <c r="L863" s="447"/>
      <c r="M863" s="65"/>
      <c r="N863" s="66"/>
      <c r="O863" s="66"/>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IF(AND('341-CT'!$H$9=H863,OR(LEFT(N863,3)=$W$7,LEFT(O863,3)=$W$7)),"x","")</f>
        <v/>
      </c>
      <c r="X863" s="85" t="str">
        <f>IF(OR(TH!N863=TH!$X$7,O863=TH!$X$7),"x","")</f>
        <v/>
      </c>
      <c r="Y863" s="85" t="str">
        <f>IF(AND(OR(N863="131",O863="131"),H863='131-CT'!$H$9),"x","")</f>
        <v/>
      </c>
      <c r="Z863" s="85"/>
      <c r="AA863" s="85" t="str">
        <f>IF(AND(MONTH(E863)='IN-NX'!$J$5,'IN-NX'!$D$7=D863),"x","")</f>
        <v/>
      </c>
      <c r="AB863" s="85" t="str">
        <f>IF(AND(OR(LEFT(TH!N863,2)="15",LEFT(TH!O863,2)="15"),'152-CT'!$J$8=TH!F863),"x","")</f>
        <v/>
      </c>
      <c r="AC863" s="85" t="str">
        <f>IF(AND(OR(LEFT(TH!N863,2)="15",LEFT(TH!O863,2)="15"),TK!$E$7=TH!F863),"x","")</f>
        <v/>
      </c>
      <c r="AD863" s="85" t="str">
        <f>IF(AND(N863="1521",MONTH(C863)='BK-NL'!$M$11),"x","")</f>
        <v/>
      </c>
    </row>
    <row r="864" spans="1:30" ht="15.75" customHeight="1">
      <c r="A864" s="343" t="str">
        <f>IF(B864&lt;&gt;"",IF(AND(B864='IN-TC'!$S$4,OR(TH!N864="1111",TH!O864="1111")),TH!D864,""),"")</f>
        <v/>
      </c>
      <c r="B864" s="63" t="str">
        <f t="shared" si="83"/>
        <v/>
      </c>
      <c r="C864" s="320"/>
      <c r="D864" s="320"/>
      <c r="E864" s="320"/>
      <c r="F864" s="321"/>
      <c r="G864" s="321"/>
      <c r="H864" s="322"/>
      <c r="I864" s="447"/>
      <c r="J864" s="447"/>
      <c r="K864" s="438"/>
      <c r="L864" s="447"/>
      <c r="M864" s="65"/>
      <c r="N864" s="323"/>
      <c r="O864" s="323"/>
      <c r="P864" s="85" t="str">
        <f>IF(AND('331-CT'!$E$7=TH!H864,OR(N864="331",O864="331")),"x","")</f>
        <v/>
      </c>
      <c r="Q864" s="85" t="str">
        <f>IF(AND(B864='111'!$L$11,OR($N864=$Q$7,$O864=$Q$7)),"x","")</f>
        <v/>
      </c>
      <c r="R864" s="85" t="str">
        <f>IF(AND($N864=$Q$7,$B864&lt;'111'!$L$11),"x","")</f>
        <v/>
      </c>
      <c r="S864" s="85" t="str">
        <f>IF(AND($O864=$Q$7,$B864&lt;'111'!$L$11),"x","")</f>
        <v/>
      </c>
      <c r="T864" s="85" t="str">
        <f>IF(ISERROR(FIND('112'!$M$9,G864,1)),"",IF((AND(FIND('112'!$M$9,G864,1)&gt;=1,B864='112'!$K$9,OR($N864='112'!$I$6,$O864='112'!$I$6))),"x",""))</f>
        <v/>
      </c>
      <c r="U864" s="85" t="str">
        <f>IF(ISERROR(FIND('112'!$M$9,G864,1)),"",IF((AND(LEFT(G864,2)=LEFT('112'!$M$9,2),B864&lt;'112'!$K$9,$N864='112'!$I$6)),"x",""))</f>
        <v/>
      </c>
      <c r="V864" s="85" t="str">
        <f>IF(ISERROR(FIND('112'!$M$9,G864,1)),"",IF((AND(RIGHT(G864,2)=RIGHT('112'!$M$9,2),B864&lt;'112'!$K$9,$O864='112'!$I$6)),"x",""))</f>
        <v/>
      </c>
      <c r="W864" s="85" t="str">
        <f>IF(AND('341-CT'!$H$9=H864,OR(LEFT(N864,3)=$W$7,LEFT(O864,3)=$W$7)),"x","")</f>
        <v/>
      </c>
      <c r="X864" s="85" t="str">
        <f>IF(OR(TH!N864=TH!$X$7,O864=TH!$X$7),"x","")</f>
        <v/>
      </c>
      <c r="Y864" s="85" t="str">
        <f>IF(AND(OR(N864="131",O864="131"),H864='131-CT'!$H$9),"x","")</f>
        <v/>
      </c>
      <c r="Z864" s="85"/>
      <c r="AA864" s="85" t="str">
        <f>IF(AND(MONTH(E864)='IN-NX'!$J$5,'IN-NX'!$D$7=D864),"x","")</f>
        <v/>
      </c>
      <c r="AB864" s="85" t="str">
        <f>IF(AND(OR(LEFT(TH!N864,2)="15",LEFT(TH!O864,2)="15"),'152-CT'!$J$8=TH!F864),"x","")</f>
        <v/>
      </c>
      <c r="AC864" s="85" t="str">
        <f>IF(AND(OR(LEFT(TH!N864,2)="15",LEFT(TH!O864,2)="15"),TK!$E$7=TH!F864),"x","")</f>
        <v/>
      </c>
      <c r="AD864" s="85" t="str">
        <f>IF(AND(N864="1521",MONTH(C864)='BK-NL'!$M$11),"x","")</f>
        <v/>
      </c>
    </row>
    <row r="865" spans="1:30" ht="15.75" customHeight="1">
      <c r="A865" s="343" t="str">
        <f>IF(B865&lt;&gt;"",IF(AND(B865='IN-TC'!$S$4,OR(TH!N865="1111",TH!O865="1111")),TH!D865,""),"")</f>
        <v/>
      </c>
      <c r="B865" s="63" t="str">
        <f t="shared" si="83"/>
        <v/>
      </c>
      <c r="C865" s="320"/>
      <c r="D865" s="320"/>
      <c r="E865" s="320"/>
      <c r="F865" s="321"/>
      <c r="G865" s="321"/>
      <c r="H865" s="322"/>
      <c r="I865" s="447"/>
      <c r="J865" s="447"/>
      <c r="K865" s="438"/>
      <c r="L865" s="447"/>
      <c r="M865" s="65"/>
      <c r="N865" s="323"/>
      <c r="O865" s="323"/>
      <c r="P865" s="85" t="str">
        <f>IF(AND('331-CT'!$E$7=TH!H865,OR(N865="331",O865="331")),"x","")</f>
        <v/>
      </c>
      <c r="Q865" s="85" t="str">
        <f>IF(AND(B865='111'!$L$11,OR($N865=$Q$7,$O865=$Q$7)),"x","")</f>
        <v/>
      </c>
      <c r="R865" s="85" t="str">
        <f>IF(AND($N865=$Q$7,$B865&lt;'111'!$L$11),"x","")</f>
        <v/>
      </c>
      <c r="S865" s="85" t="str">
        <f>IF(AND($O865=$Q$7,$B865&lt;'111'!$L$11),"x","")</f>
        <v/>
      </c>
      <c r="T865" s="85" t="str">
        <f>IF(ISERROR(FIND('112'!$M$9,G865,1)),"",IF((AND(FIND('112'!$M$9,G865,1)&gt;=1,B865='112'!$K$9,OR($N865='112'!$I$6,$O865='112'!$I$6))),"x",""))</f>
        <v/>
      </c>
      <c r="U865" s="85" t="str">
        <f>IF(ISERROR(FIND('112'!$M$9,G865,1)),"",IF((AND(LEFT(G865,2)=LEFT('112'!$M$9,2),B865&lt;'112'!$K$9,$N865='112'!$I$6)),"x",""))</f>
        <v/>
      </c>
      <c r="V865" s="85" t="str">
        <f>IF(ISERROR(FIND('112'!$M$9,G865,1)),"",IF((AND(RIGHT(G865,2)=RIGHT('112'!$M$9,2),B865&lt;'112'!$K$9,$O865='112'!$I$6)),"x",""))</f>
        <v/>
      </c>
      <c r="W865" s="85" t="str">
        <f>IF(AND('341-CT'!$H$9=H865,OR(LEFT(N865,3)=$W$7,LEFT(O865,3)=$W$7)),"x","")</f>
        <v/>
      </c>
      <c r="X865" s="85" t="str">
        <f>IF(OR(TH!N865=TH!$X$7,O865=TH!$X$7),"x","")</f>
        <v/>
      </c>
      <c r="Y865" s="85" t="str">
        <f>IF(AND(OR(N865="131",O865="131"),H865='131-CT'!$H$9),"x","")</f>
        <v/>
      </c>
      <c r="Z865" s="85"/>
      <c r="AA865" s="85" t="str">
        <f>IF(AND(MONTH(E865)='IN-NX'!$J$5,'IN-NX'!$D$7=D865),"x","")</f>
        <v/>
      </c>
      <c r="AB865" s="85" t="str">
        <f>IF(AND(OR(LEFT(TH!N865,2)="15",LEFT(TH!O865,2)="15"),'152-CT'!$J$8=TH!F865),"x","")</f>
        <v/>
      </c>
      <c r="AC865" s="85" t="str">
        <f>IF(AND(OR(LEFT(TH!N865,2)="15",LEFT(TH!O865,2)="15"),TK!$E$7=TH!F865),"x","")</f>
        <v/>
      </c>
      <c r="AD865" s="85" t="str">
        <f>IF(AND(N865="1521",MONTH(C865)='BK-NL'!$M$11),"x","")</f>
        <v/>
      </c>
    </row>
    <row r="866" spans="1:30" ht="15.75" customHeight="1">
      <c r="A866" s="343" t="str">
        <f>IF(B866&lt;&gt;"",IF(AND(B866='IN-TC'!$S$4,OR(TH!N866="1111",TH!O866="1111")),TH!D866,""),"")</f>
        <v/>
      </c>
      <c r="B866" s="63" t="str">
        <f t="shared" si="83"/>
        <v/>
      </c>
      <c r="C866" s="320"/>
      <c r="D866" s="320"/>
      <c r="E866" s="320"/>
      <c r="F866" s="321"/>
      <c r="G866" s="321"/>
      <c r="H866" s="322"/>
      <c r="I866" s="447"/>
      <c r="J866" s="447"/>
      <c r="K866" s="438"/>
      <c r="L866" s="447"/>
      <c r="M866" s="65"/>
      <c r="N866" s="323"/>
      <c r="O866" s="323"/>
      <c r="P866" s="85" t="str">
        <f>IF(AND('331-CT'!$E$7=TH!H866,OR(N866="331",O866="331")),"x","")</f>
        <v/>
      </c>
      <c r="Q866" s="85" t="str">
        <f>IF(AND(B866='111'!$L$11,OR($N866=$Q$7,$O866=$Q$7)),"x","")</f>
        <v/>
      </c>
      <c r="R866" s="85" t="str">
        <f>IF(AND($N866=$Q$7,$B866&lt;'111'!$L$11),"x","")</f>
        <v/>
      </c>
      <c r="S866" s="85" t="str">
        <f>IF(AND($O866=$Q$7,$B866&lt;'111'!$L$11),"x","")</f>
        <v/>
      </c>
      <c r="T866" s="85" t="str">
        <f>IF(ISERROR(FIND('112'!$M$9,G866,1)),"",IF((AND(FIND('112'!$M$9,G866,1)&gt;=1,B866='112'!$K$9,OR($N866='112'!$I$6,$O866='112'!$I$6))),"x",""))</f>
        <v/>
      </c>
      <c r="U866" s="85" t="str">
        <f>IF(ISERROR(FIND('112'!$M$9,G866,1)),"",IF((AND(LEFT(G866,2)=LEFT('112'!$M$9,2),B866&lt;'112'!$K$9,$N866='112'!$I$6)),"x",""))</f>
        <v/>
      </c>
      <c r="V866" s="85" t="str">
        <f>IF(ISERROR(FIND('112'!$M$9,G866,1)),"",IF((AND(RIGHT(G866,2)=RIGHT('112'!$M$9,2),B866&lt;'112'!$K$9,$O866='112'!$I$6)),"x",""))</f>
        <v/>
      </c>
      <c r="W866" s="85" t="str">
        <f>IF(AND('341-CT'!$H$9=H866,OR(LEFT(N866,3)=$W$7,LEFT(O866,3)=$W$7)),"x","")</f>
        <v/>
      </c>
      <c r="X866" s="85" t="str">
        <f>IF(OR(TH!N866=TH!$X$7,O866=TH!$X$7),"x","")</f>
        <v/>
      </c>
      <c r="Y866" s="85" t="str">
        <f>IF(AND(OR(N866="131",O866="131"),H866='131-CT'!$H$9),"x","")</f>
        <v/>
      </c>
      <c r="Z866" s="85"/>
      <c r="AA866" s="85" t="str">
        <f>IF(AND(MONTH(E866)='IN-NX'!$J$5,'IN-NX'!$D$7=D866),"x","")</f>
        <v/>
      </c>
      <c r="AB866" s="85" t="str">
        <f>IF(AND(OR(LEFT(TH!N866,2)="15",LEFT(TH!O866,2)="15"),'152-CT'!$J$8=TH!F866),"x","")</f>
        <v/>
      </c>
      <c r="AC866" s="85" t="str">
        <f>IF(AND(OR(LEFT(TH!N866,2)="15",LEFT(TH!O866,2)="15"),TK!$E$7=TH!F866),"x","")</f>
        <v/>
      </c>
      <c r="AD866" s="85" t="str">
        <f>IF(AND(N866="1521",MONTH(C866)='BK-NL'!$M$11),"x","")</f>
        <v/>
      </c>
    </row>
    <row r="867" spans="1:30" ht="15.75" customHeight="1">
      <c r="A867" s="343" t="str">
        <f>IF(B867&lt;&gt;"",IF(AND(B867='IN-TC'!$S$4,OR(TH!N867="1111",TH!O867="1111")),TH!D867,""),"")</f>
        <v/>
      </c>
      <c r="B867" s="63" t="str">
        <f t="shared" si="83"/>
        <v/>
      </c>
      <c r="C867" s="64"/>
      <c r="D867" s="64"/>
      <c r="E867" s="64"/>
      <c r="F867" s="67"/>
      <c r="G867" s="996"/>
      <c r="H867" s="351"/>
      <c r="I867" s="449"/>
      <c r="J867" s="449"/>
      <c r="K867" s="440"/>
      <c r="L867" s="449"/>
      <c r="M867" s="65"/>
      <c r="N867" s="323"/>
      <c r="O867" s="66"/>
      <c r="P867" s="85" t="str">
        <f>IF(AND('331-CT'!$E$7=TH!H867,OR(N867="331",O867="331")),"x","")</f>
        <v/>
      </c>
      <c r="Q867" s="85" t="str">
        <f>IF(AND(B867='111'!$L$11,OR($N867=$Q$7,$O867=$Q$7)),"x","")</f>
        <v/>
      </c>
      <c r="R867" s="85" t="str">
        <f>IF(AND($N867=$Q$7,$B867&lt;'111'!$L$11),"x","")</f>
        <v/>
      </c>
      <c r="S867" s="85" t="str">
        <f>IF(AND($O867=$Q$7,$B867&lt;'111'!$L$11),"x","")</f>
        <v/>
      </c>
      <c r="T867" s="85" t="str">
        <f>IF(ISERROR(FIND('112'!$M$9,G867,1)),"",IF((AND(FIND('112'!$M$9,G867,1)&gt;=1,B867='112'!$K$9,OR($N867='112'!$I$6,$O867='112'!$I$6))),"x",""))</f>
        <v/>
      </c>
      <c r="U867" s="85" t="str">
        <f>IF(ISERROR(FIND('112'!$M$9,G867,1)),"",IF((AND(LEFT(G867,2)=LEFT('112'!$M$9,2),B867&lt;'112'!$K$9,$N867='112'!$I$6)),"x",""))</f>
        <v/>
      </c>
      <c r="V867" s="85" t="str">
        <f>IF(ISERROR(FIND('112'!$M$9,G867,1)),"",IF((AND(RIGHT(G867,2)=RIGHT('112'!$M$9,2),B867&lt;'112'!$K$9,$O867='112'!$I$6)),"x",""))</f>
        <v/>
      </c>
      <c r="W867" s="85" t="str">
        <f>IF(AND('341-CT'!$H$9=H867,OR(LEFT(N867,3)=$W$7,LEFT(O867,3)=$W$7)),"x","")</f>
        <v/>
      </c>
      <c r="X867" s="85" t="str">
        <f>IF(OR(TH!N867=TH!$X$7,O867=TH!$X$7),"x","")</f>
        <v/>
      </c>
      <c r="Y867" s="85" t="str">
        <f>IF(AND(OR(N867="131",O867="131"),H867='131-CT'!$H$9),"x","")</f>
        <v/>
      </c>
      <c r="Z867" s="85"/>
      <c r="AA867" s="85" t="str">
        <f>IF(AND(MONTH(E867)='IN-NX'!$J$5,'IN-NX'!$D$7=D867),"x","")</f>
        <v/>
      </c>
      <c r="AB867" s="85" t="str">
        <f>IF(AND(OR(LEFT(TH!N867,2)="15",LEFT(TH!O867,2)="15"),'152-CT'!$J$8=TH!F867),"x","")</f>
        <v/>
      </c>
      <c r="AC867" s="85" t="str">
        <f>IF(AND(OR(LEFT(TH!N867,2)="15",LEFT(TH!O867,2)="15"),TK!$E$7=TH!F867),"x","")</f>
        <v/>
      </c>
      <c r="AD867" s="85" t="str">
        <f>IF(AND(N867="1521",MONTH(C867)='BK-NL'!$M$11),"x","")</f>
        <v/>
      </c>
    </row>
    <row r="868" spans="1:30" ht="15.75" customHeight="1">
      <c r="A868" s="343" t="str">
        <f>IF(B868&lt;&gt;"",IF(AND(B868='IN-TC'!$S$4,OR(TH!N868="1111",TH!O868="1111")),TH!D868,""),"")</f>
        <v/>
      </c>
      <c r="B868" s="63" t="str">
        <f t="shared" si="83"/>
        <v/>
      </c>
      <c r="C868" s="64"/>
      <c r="D868" s="64"/>
      <c r="E868" s="64"/>
      <c r="F868" s="67"/>
      <c r="G868" s="996"/>
      <c r="H868" s="351"/>
      <c r="I868" s="449"/>
      <c r="J868" s="449"/>
      <c r="K868" s="440"/>
      <c r="L868" s="449"/>
      <c r="M868" s="65"/>
      <c r="N868" s="323"/>
      <c r="O868" s="66"/>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IF(AND('341-CT'!$H$9=H868,OR(LEFT(N868,3)=$W$7,LEFT(O868,3)=$W$7)),"x","")</f>
        <v/>
      </c>
      <c r="X868" s="85" t="str">
        <f>IF(OR(TH!N868=TH!$X$7,O868=TH!$X$7),"x","")</f>
        <v/>
      </c>
      <c r="Y868" s="85" t="str">
        <f>IF(AND(OR(N868="131",O868="131"),H868='131-CT'!$H$9),"x","")</f>
        <v/>
      </c>
      <c r="Z868" s="85"/>
      <c r="AA868" s="85" t="str">
        <f>IF(AND(MONTH(E868)='IN-NX'!$J$5,'IN-NX'!$D$7=D868),"x","")</f>
        <v/>
      </c>
      <c r="AB868" s="85" t="str">
        <f>IF(AND(OR(LEFT(TH!N868,2)="15",LEFT(TH!O868,2)="15"),'152-CT'!$J$8=TH!F868),"x","")</f>
        <v/>
      </c>
      <c r="AC868" s="85" t="str">
        <f>IF(AND(OR(LEFT(TH!N868,2)="15",LEFT(TH!O868,2)="15"),TK!$E$7=TH!F868),"x","")</f>
        <v/>
      </c>
      <c r="AD868" s="85" t="str">
        <f>IF(AND(N868="1521",MONTH(C868)='BK-NL'!$M$11),"x","")</f>
        <v/>
      </c>
    </row>
    <row r="869" spans="1:30" ht="15.75" customHeight="1">
      <c r="A869" s="343" t="str">
        <f>IF(B869&lt;&gt;"",IF(AND(B869='IN-TC'!$S$4,OR(TH!N869="1111",TH!O869="1111")),TH!D869,""),"")</f>
        <v/>
      </c>
      <c r="B869" s="63" t="str">
        <f t="shared" si="83"/>
        <v/>
      </c>
      <c r="C869" s="320"/>
      <c r="D869" s="320"/>
      <c r="E869" s="320"/>
      <c r="F869" s="321"/>
      <c r="G869" s="321"/>
      <c r="H869" s="322"/>
      <c r="I869" s="447"/>
      <c r="J869" s="447"/>
      <c r="K869" s="438"/>
      <c r="L869" s="447"/>
      <c r="M869" s="65"/>
      <c r="N869" s="323"/>
      <c r="O869" s="323"/>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
      </c>
      <c r="U869" s="85" t="str">
        <f>IF(ISERROR(FIND('112'!$M$9,G869,1)),"",IF((AND(LEFT(G869,2)=LEFT('112'!$M$9,2),B869&lt;'112'!$K$9,$N869='112'!$I$6)),"x",""))</f>
        <v/>
      </c>
      <c r="V869" s="85" t="str">
        <f>IF(ISERROR(FIND('112'!$M$9,G869,1)),"",IF((AND(RIGHT(G869,2)=RIGHT('112'!$M$9,2),B869&lt;'112'!$K$9,$O869='112'!$I$6)),"x",""))</f>
        <v/>
      </c>
      <c r="W869" s="85" t="str">
        <f>IF(AND('341-CT'!$H$9=H869,OR(LEFT(N869,3)=$W$7,LEFT(O869,3)=$W$7)),"x","")</f>
        <v/>
      </c>
      <c r="X869" s="85" t="str">
        <f>IF(OR(TH!N869=TH!$X$7,O869=TH!$X$7),"x","")</f>
        <v/>
      </c>
      <c r="Y869" s="85" t="str">
        <f>IF(AND(OR(N869="131",O869="131"),H869='131-CT'!$H$9),"x","")</f>
        <v/>
      </c>
      <c r="Z869" s="85"/>
      <c r="AA869" s="85" t="str">
        <f>IF(AND(MONTH(E869)='IN-NX'!$J$5,'IN-NX'!$D$7=D869),"x","")</f>
        <v/>
      </c>
      <c r="AB869" s="85" t="str">
        <f>IF(AND(OR(LEFT(TH!N869,2)="15",LEFT(TH!O869,2)="15"),'152-CT'!$J$8=TH!F869),"x","")</f>
        <v/>
      </c>
      <c r="AC869" s="85" t="str">
        <f>IF(AND(OR(LEFT(TH!N869,2)="15",LEFT(TH!O869,2)="15"),TK!$E$7=TH!F869),"x","")</f>
        <v/>
      </c>
      <c r="AD869" s="85" t="str">
        <f>IF(AND(N869="1521",MONTH(C869)='BK-NL'!$M$11),"x","")</f>
        <v/>
      </c>
    </row>
    <row r="870" spans="1:30" ht="15.75" customHeight="1">
      <c r="A870" s="343" t="str">
        <f>IF(B870&lt;&gt;"",IF(AND(B870='IN-TC'!$S$4,OR(TH!N870="1111",TH!O870="1111")),TH!D870,""),"")</f>
        <v/>
      </c>
      <c r="B870" s="63" t="str">
        <f t="shared" si="83"/>
        <v/>
      </c>
      <c r="C870" s="320"/>
      <c r="D870" s="320"/>
      <c r="E870" s="320"/>
      <c r="F870" s="321"/>
      <c r="G870" s="321"/>
      <c r="H870" s="322"/>
      <c r="I870" s="447"/>
      <c r="J870" s="447"/>
      <c r="K870" s="438"/>
      <c r="L870" s="447"/>
      <c r="M870" s="65"/>
      <c r="N870" s="323"/>
      <c r="O870" s="323"/>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IF(AND('341-CT'!$H$9=H870,OR(LEFT(N870,3)=$W$7,LEFT(O870,3)=$W$7)),"x","")</f>
        <v/>
      </c>
      <c r="X870" s="85" t="str">
        <f>IF(OR(TH!N870=TH!$X$7,O870=TH!$X$7),"x","")</f>
        <v/>
      </c>
      <c r="Y870" s="85" t="str">
        <f>IF(AND(OR(N870="131",O870="131"),H870='131-CT'!$H$9),"x","")</f>
        <v/>
      </c>
      <c r="Z870" s="85"/>
      <c r="AA870" s="85" t="str">
        <f>IF(AND(MONTH(E870)='IN-NX'!$J$5,'IN-NX'!$D$7=D870),"x","")</f>
        <v/>
      </c>
      <c r="AB870" s="85" t="str">
        <f>IF(AND(OR(LEFT(TH!N870,2)="15",LEFT(TH!O870,2)="15"),'152-CT'!$J$8=TH!F870),"x","")</f>
        <v/>
      </c>
      <c r="AC870" s="85" t="str">
        <f>IF(AND(OR(LEFT(TH!N870,2)="15",LEFT(TH!O870,2)="15"),TK!$E$7=TH!F870),"x","")</f>
        <v/>
      </c>
      <c r="AD870" s="85" t="str">
        <f>IF(AND(N870="1521",MONTH(C870)='BK-NL'!$M$11),"x","")</f>
        <v/>
      </c>
    </row>
    <row r="871" spans="1:30" ht="15.75" customHeight="1">
      <c r="A871" s="343" t="str">
        <f>IF(B871&lt;&gt;"",IF(AND(B871='IN-TC'!$S$4,OR(TH!N871="1111",TH!O871="1111")),TH!D871,""),"")</f>
        <v/>
      </c>
      <c r="B871" s="63" t="str">
        <f t="shared" si="83"/>
        <v/>
      </c>
      <c r="C871" s="320"/>
      <c r="D871" s="320"/>
      <c r="E871" s="320"/>
      <c r="F871" s="321"/>
      <c r="G871" s="321"/>
      <c r="H871" s="322"/>
      <c r="I871" s="447"/>
      <c r="J871" s="447"/>
      <c r="K871" s="438"/>
      <c r="L871" s="447"/>
      <c r="M871" s="65"/>
      <c r="N871" s="323"/>
      <c r="O871" s="323"/>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IF(AND('341-CT'!$H$9=H871,OR(LEFT(N871,3)=$W$7,LEFT(O871,3)=$W$7)),"x","")</f>
        <v/>
      </c>
      <c r="X871" s="85" t="str">
        <f>IF(OR(TH!N871=TH!$X$7,O871=TH!$X$7),"x","")</f>
        <v/>
      </c>
      <c r="Y871" s="85" t="str">
        <f>IF(AND(OR(N871="131",O871="131"),H871='131-CT'!$H$9),"x","")</f>
        <v/>
      </c>
      <c r="Z871" s="85"/>
      <c r="AA871" s="85" t="str">
        <f>IF(AND(MONTH(E871)='IN-NX'!$J$5,'IN-NX'!$D$7=D871),"x","")</f>
        <v/>
      </c>
      <c r="AB871" s="85" t="str">
        <f>IF(AND(OR(LEFT(TH!N871,2)="15",LEFT(TH!O871,2)="15"),'152-CT'!$J$8=TH!F871),"x","")</f>
        <v/>
      </c>
      <c r="AC871" s="85" t="str">
        <f>IF(AND(OR(LEFT(TH!N871,2)="15",LEFT(TH!O871,2)="15"),TK!$E$7=TH!F871),"x","")</f>
        <v/>
      </c>
      <c r="AD871" s="85" t="str">
        <f>IF(AND(N871="1521",MONTH(C871)='BK-NL'!$M$11),"x","")</f>
        <v/>
      </c>
    </row>
    <row r="872" spans="1:30" ht="15.75" customHeight="1">
      <c r="A872" s="343" t="str">
        <f>IF(B872&lt;&gt;"",IF(AND(B872='IN-TC'!$S$4,OR(TH!N872="1111",TH!O872="1111")),TH!D872,""),"")</f>
        <v/>
      </c>
      <c r="B872" s="63" t="str">
        <f t="shared" si="83"/>
        <v/>
      </c>
      <c r="C872" s="320"/>
      <c r="D872" s="320"/>
      <c r="E872" s="320"/>
      <c r="F872" s="321"/>
      <c r="G872" s="321"/>
      <c r="H872" s="322"/>
      <c r="I872" s="447"/>
      <c r="J872" s="447"/>
      <c r="K872" s="438"/>
      <c r="L872" s="447"/>
      <c r="M872" s="65"/>
      <c r="N872" s="323"/>
      <c r="O872" s="323"/>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
      </c>
      <c r="U872" s="85" t="str">
        <f>IF(ISERROR(FIND('112'!$M$9,G872,1)),"",IF((AND(LEFT(G872,2)=LEFT('112'!$M$9,2),B872&lt;'112'!$K$9,$N872='112'!$I$6)),"x",""))</f>
        <v/>
      </c>
      <c r="V872" s="85" t="str">
        <f>IF(ISERROR(FIND('112'!$M$9,G872,1)),"",IF((AND(RIGHT(G872,2)=RIGHT('112'!$M$9,2),B872&lt;'112'!$K$9,$O872='112'!$I$6)),"x",""))</f>
        <v/>
      </c>
      <c r="W872" s="85" t="str">
        <f>IF(AND('341-CT'!$H$9=H872,OR(LEFT(N872,3)=$W$7,LEFT(O872,3)=$W$7)),"x","")</f>
        <v/>
      </c>
      <c r="X872" s="85" t="str">
        <f>IF(OR(TH!N872=TH!$X$7,O872=TH!$X$7),"x","")</f>
        <v/>
      </c>
      <c r="Y872" s="85" t="str">
        <f>IF(AND(OR(N872="131",O872="131"),H872='131-CT'!$H$9),"x","")</f>
        <v/>
      </c>
      <c r="Z872" s="85"/>
      <c r="AA872" s="85" t="str">
        <f>IF(AND(MONTH(E872)='IN-NX'!$J$5,'IN-NX'!$D$7=D872),"x","")</f>
        <v/>
      </c>
      <c r="AB872" s="85" t="str">
        <f>IF(AND(OR(LEFT(TH!N872,2)="15",LEFT(TH!O872,2)="15"),'152-CT'!$J$8=TH!F872),"x","")</f>
        <v/>
      </c>
      <c r="AC872" s="85" t="str">
        <f>IF(AND(OR(LEFT(TH!N872,2)="15",LEFT(TH!O872,2)="15"),TK!$E$7=TH!F872),"x","")</f>
        <v/>
      </c>
      <c r="AD872" s="85" t="str">
        <f>IF(AND(N872="1521",MONTH(C872)='BK-NL'!$M$11),"x","")</f>
        <v/>
      </c>
    </row>
    <row r="873" spans="1:30" ht="15.75" customHeight="1">
      <c r="A873" s="343" t="str">
        <f>IF(B873&lt;&gt;"",IF(AND(B873='IN-TC'!$S$4,OR(TH!N873="1111",TH!O873="1111")),TH!D873,""),"")</f>
        <v/>
      </c>
      <c r="B873" s="63" t="str">
        <f t="shared" si="83"/>
        <v/>
      </c>
      <c r="C873" s="320"/>
      <c r="D873" s="320"/>
      <c r="E873" s="320"/>
      <c r="F873" s="321"/>
      <c r="G873" s="321"/>
      <c r="H873" s="322"/>
      <c r="I873" s="447"/>
      <c r="J873" s="447"/>
      <c r="K873" s="438"/>
      <c r="L873" s="447"/>
      <c r="M873" s="65"/>
      <c r="N873" s="323"/>
      <c r="O873" s="323"/>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
      </c>
      <c r="U873" s="85" t="str">
        <f>IF(ISERROR(FIND('112'!$M$9,G873,1)),"",IF((AND(LEFT(G873,2)=LEFT('112'!$M$9,2),B873&lt;'112'!$K$9,$N873='112'!$I$6)),"x",""))</f>
        <v/>
      </c>
      <c r="V873" s="85" t="str">
        <f>IF(ISERROR(FIND('112'!$M$9,G873,1)),"",IF((AND(RIGHT(G873,2)=RIGHT('112'!$M$9,2),B873&lt;'112'!$K$9,$O873='112'!$I$6)),"x",""))</f>
        <v/>
      </c>
      <c r="W873" s="85" t="str">
        <f>IF(AND('341-CT'!$H$9=H873,OR(LEFT(N873,3)=$W$7,LEFT(O873,3)=$W$7)),"x","")</f>
        <v/>
      </c>
      <c r="X873" s="85" t="str">
        <f>IF(OR(TH!N873=TH!$X$7,O873=TH!$X$7),"x","")</f>
        <v/>
      </c>
      <c r="Y873" s="85" t="str">
        <f>IF(AND(OR(N873="131",O873="131"),H873='131-CT'!$H$9),"x","")</f>
        <v/>
      </c>
      <c r="Z873" s="85"/>
      <c r="AA873" s="85" t="str">
        <f>IF(AND(MONTH(E873)='IN-NX'!$J$5,'IN-NX'!$D$7=D873),"x","")</f>
        <v/>
      </c>
      <c r="AB873" s="85" t="str">
        <f>IF(AND(OR(LEFT(TH!N873,2)="15",LEFT(TH!O873,2)="15"),'152-CT'!$J$8=TH!F873),"x","")</f>
        <v/>
      </c>
      <c r="AC873" s="85" t="str">
        <f>IF(AND(OR(LEFT(TH!N873,2)="15",LEFT(TH!O873,2)="15"),TK!$E$7=TH!F873),"x","")</f>
        <v/>
      </c>
      <c r="AD873" s="85" t="str">
        <f>IF(AND(N873="1521",MONTH(C873)='BK-NL'!$M$11),"x","")</f>
        <v/>
      </c>
    </row>
    <row r="874" spans="1:30" ht="15.75" customHeight="1">
      <c r="A874" s="343" t="str">
        <f>IF(B874&lt;&gt;"",IF(AND(B874='IN-TC'!$S$4,OR(TH!N874="1111",TH!O874="1111")),TH!D874,""),"")</f>
        <v/>
      </c>
      <c r="B874" s="63" t="str">
        <f t="shared" si="83"/>
        <v/>
      </c>
      <c r="C874" s="320"/>
      <c r="D874" s="320"/>
      <c r="E874" s="320"/>
      <c r="F874" s="321"/>
      <c r="G874" s="321"/>
      <c r="H874" s="322"/>
      <c r="I874" s="447"/>
      <c r="J874" s="447"/>
      <c r="K874" s="438"/>
      <c r="L874" s="447"/>
      <c r="M874" s="65"/>
      <c r="N874" s="323"/>
      <c r="O874" s="323"/>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
      </c>
      <c r="U874" s="85" t="str">
        <f>IF(ISERROR(FIND('112'!$M$9,G874,1)),"",IF((AND(LEFT(G874,2)=LEFT('112'!$M$9,2),B874&lt;'112'!$K$9,$N874='112'!$I$6)),"x",""))</f>
        <v/>
      </c>
      <c r="V874" s="85" t="str">
        <f>IF(ISERROR(FIND('112'!$M$9,G874,1)),"",IF((AND(RIGHT(G874,2)=RIGHT('112'!$M$9,2),B874&lt;'112'!$K$9,$O874='112'!$I$6)),"x",""))</f>
        <v/>
      </c>
      <c r="W874" s="85" t="str">
        <f>IF(AND('341-CT'!$H$9=H874,OR(LEFT(N874,3)=$W$7,LEFT(O874,3)=$W$7)),"x","")</f>
        <v/>
      </c>
      <c r="X874" s="85" t="str">
        <f>IF(OR(TH!N874=TH!$X$7,O874=TH!$X$7),"x","")</f>
        <v/>
      </c>
      <c r="Y874" s="85" t="str">
        <f>IF(AND(OR(N874="131",O874="131"),H874='131-CT'!$H$9),"x","")</f>
        <v/>
      </c>
      <c r="Z874" s="85"/>
      <c r="AA874" s="85" t="str">
        <f>IF(AND(MONTH(E874)='IN-NX'!$J$5,'IN-NX'!$D$7=D874),"x","")</f>
        <v/>
      </c>
      <c r="AB874" s="85" t="str">
        <f>IF(AND(OR(LEFT(TH!N874,2)="15",LEFT(TH!O874,2)="15"),'152-CT'!$J$8=TH!F874),"x","")</f>
        <v/>
      </c>
      <c r="AC874" s="85" t="str">
        <f>IF(AND(OR(LEFT(TH!N874,2)="15",LEFT(TH!O874,2)="15"),TK!$E$7=TH!F874),"x","")</f>
        <v/>
      </c>
      <c r="AD874" s="85" t="str">
        <f>IF(AND(N874="1521",MONTH(C874)='BK-NL'!$M$11),"x","")</f>
        <v/>
      </c>
    </row>
    <row r="875" spans="1:30" ht="15.75" customHeight="1">
      <c r="A875" s="343" t="str">
        <f>IF(B875&lt;&gt;"",IF(AND(B875='IN-TC'!$S$4,OR(TH!N875="1111",TH!O875="1111")),TH!D875,""),"")</f>
        <v/>
      </c>
      <c r="B875" s="63" t="str">
        <f t="shared" si="83"/>
        <v/>
      </c>
      <c r="C875" s="320"/>
      <c r="D875" s="320"/>
      <c r="E875" s="320"/>
      <c r="F875" s="321"/>
      <c r="G875" s="321"/>
      <c r="H875" s="322"/>
      <c r="I875" s="447"/>
      <c r="J875" s="447"/>
      <c r="K875" s="438"/>
      <c r="L875" s="447"/>
      <c r="M875" s="65"/>
      <c r="N875" s="323"/>
      <c r="O875" s="323"/>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
      </c>
      <c r="U875" s="85" t="str">
        <f>IF(ISERROR(FIND('112'!$M$9,G875,1)),"",IF((AND(LEFT(G875,2)=LEFT('112'!$M$9,2),B875&lt;'112'!$K$9,$N875='112'!$I$6)),"x",""))</f>
        <v/>
      </c>
      <c r="V875" s="85" t="str">
        <f>IF(ISERROR(FIND('112'!$M$9,G875,1)),"",IF((AND(RIGHT(G875,2)=RIGHT('112'!$M$9,2),B875&lt;'112'!$K$9,$O875='112'!$I$6)),"x",""))</f>
        <v/>
      </c>
      <c r="W875" s="85" t="str">
        <f>IF(AND('341-CT'!$H$9=H875,OR(LEFT(N875,3)=$W$7,LEFT(O875,3)=$W$7)),"x","")</f>
        <v/>
      </c>
      <c r="X875" s="85" t="str">
        <f>IF(OR(TH!N875=TH!$X$7,O875=TH!$X$7),"x","")</f>
        <v/>
      </c>
      <c r="Y875" s="85" t="str">
        <f>IF(AND(OR(N875="131",O875="131"),H875='131-CT'!$H$9),"x","")</f>
        <v/>
      </c>
      <c r="Z875" s="85"/>
      <c r="AA875" s="85" t="str">
        <f>IF(AND(MONTH(E875)='IN-NX'!$J$5,'IN-NX'!$D$7=D875),"x","")</f>
        <v/>
      </c>
      <c r="AB875" s="85" t="str">
        <f>IF(AND(OR(LEFT(TH!N875,2)="15",LEFT(TH!O875,2)="15"),'152-CT'!$J$8=TH!F875),"x","")</f>
        <v/>
      </c>
      <c r="AC875" s="85" t="str">
        <f>IF(AND(OR(LEFT(TH!N875,2)="15",LEFT(TH!O875,2)="15"),TK!$E$7=TH!F875),"x","")</f>
        <v/>
      </c>
      <c r="AD875" s="85" t="str">
        <f>IF(AND(N875="1521",MONTH(C875)='BK-NL'!$M$11),"x","")</f>
        <v/>
      </c>
    </row>
    <row r="876" spans="1:30" ht="15.75" customHeight="1">
      <c r="A876" s="343" t="str">
        <f>IF(B876&lt;&gt;"",IF(AND(B876='IN-TC'!$S$4,OR(TH!N876="1111",TH!O876="1111")),TH!D876,""),"")</f>
        <v/>
      </c>
      <c r="B876" s="63" t="str">
        <f t="shared" si="83"/>
        <v/>
      </c>
      <c r="C876" s="320"/>
      <c r="D876" s="320"/>
      <c r="E876" s="320"/>
      <c r="F876" s="321"/>
      <c r="G876" s="321"/>
      <c r="H876" s="322"/>
      <c r="I876" s="447"/>
      <c r="J876" s="447"/>
      <c r="K876" s="438"/>
      <c r="L876" s="447"/>
      <c r="M876" s="65"/>
      <c r="N876" s="323"/>
      <c r="O876" s="323"/>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
      </c>
      <c r="U876" s="85" t="str">
        <f>IF(ISERROR(FIND('112'!$M$9,G876,1)),"",IF((AND(LEFT(G876,2)=LEFT('112'!$M$9,2),B876&lt;'112'!$K$9,$N876='112'!$I$6)),"x",""))</f>
        <v/>
      </c>
      <c r="V876" s="85" t="str">
        <f>IF(ISERROR(FIND('112'!$M$9,G876,1)),"",IF((AND(RIGHT(G876,2)=RIGHT('112'!$M$9,2),B876&lt;'112'!$K$9,$O876='112'!$I$6)),"x",""))</f>
        <v/>
      </c>
      <c r="W876" s="85" t="str">
        <f>IF(AND('341-CT'!$H$9=H876,OR(LEFT(N876,3)=$W$7,LEFT(O876,3)=$W$7)),"x","")</f>
        <v/>
      </c>
      <c r="X876" s="85" t="str">
        <f>IF(OR(TH!N876=TH!$X$7,O876=TH!$X$7),"x","")</f>
        <v/>
      </c>
      <c r="Y876" s="85" t="str">
        <f>IF(AND(OR(N876="131",O876="131"),H876='131-CT'!$H$9),"x","")</f>
        <v/>
      </c>
      <c r="Z876" s="85"/>
      <c r="AA876" s="85" t="str">
        <f>IF(AND(MONTH(E876)='IN-NX'!$J$5,'IN-NX'!$D$7=D876),"x","")</f>
        <v/>
      </c>
      <c r="AB876" s="85" t="str">
        <f>IF(AND(OR(LEFT(TH!N876,2)="15",LEFT(TH!O876,2)="15"),'152-CT'!$J$8=TH!F876),"x","")</f>
        <v/>
      </c>
      <c r="AC876" s="85" t="str">
        <f>IF(AND(OR(LEFT(TH!N876,2)="15",LEFT(TH!O876,2)="15"),TK!$E$7=TH!F876),"x","")</f>
        <v/>
      </c>
      <c r="AD876" s="85" t="str">
        <f>IF(AND(N876="1521",MONTH(C876)='BK-NL'!$M$11),"x","")</f>
        <v/>
      </c>
    </row>
    <row r="877" spans="1:30" ht="15.75" customHeight="1">
      <c r="A877" s="343" t="str">
        <f>IF(B877&lt;&gt;"",IF(AND(B877='IN-TC'!$S$4,OR(TH!N877="1111",TH!O877="1111")),TH!D877,""),"")</f>
        <v/>
      </c>
      <c r="B877" s="63" t="str">
        <f t="shared" si="83"/>
        <v/>
      </c>
      <c r="C877" s="320"/>
      <c r="D877" s="320"/>
      <c r="E877" s="320"/>
      <c r="F877" s="321"/>
      <c r="G877" s="321"/>
      <c r="H877" s="322"/>
      <c r="I877" s="447"/>
      <c r="J877" s="447"/>
      <c r="K877" s="438"/>
      <c r="L877" s="447"/>
      <c r="M877" s="65"/>
      <c r="N877" s="323"/>
      <c r="O877" s="323"/>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
      </c>
      <c r="U877" s="85" t="str">
        <f>IF(ISERROR(FIND('112'!$M$9,G877,1)),"",IF((AND(LEFT(G877,2)=LEFT('112'!$M$9,2),B877&lt;'112'!$K$9,$N877='112'!$I$6)),"x",""))</f>
        <v/>
      </c>
      <c r="V877" s="85" t="str">
        <f>IF(ISERROR(FIND('112'!$M$9,G877,1)),"",IF((AND(RIGHT(G877,2)=RIGHT('112'!$M$9,2),B877&lt;'112'!$K$9,$O877='112'!$I$6)),"x",""))</f>
        <v/>
      </c>
      <c r="W877" s="85" t="str">
        <f>IF(AND('341-CT'!$H$9=H877,OR(LEFT(N877,3)=$W$7,LEFT(O877,3)=$W$7)),"x","")</f>
        <v/>
      </c>
      <c r="X877" s="85" t="str">
        <f>IF(OR(TH!N877=TH!$X$7,O877=TH!$X$7),"x","")</f>
        <v/>
      </c>
      <c r="Y877" s="85" t="str">
        <f>IF(AND(OR(N877="131",O877="131"),H877='131-CT'!$H$9),"x","")</f>
        <v/>
      </c>
      <c r="Z877" s="85"/>
      <c r="AA877" s="85" t="str">
        <f>IF(AND(MONTH(E877)='IN-NX'!$J$5,'IN-NX'!$D$7=D877),"x","")</f>
        <v/>
      </c>
      <c r="AB877" s="85" t="str">
        <f>IF(AND(OR(LEFT(TH!N877,2)="15",LEFT(TH!O877,2)="15"),'152-CT'!$J$8=TH!F877),"x","")</f>
        <v/>
      </c>
      <c r="AC877" s="85" t="str">
        <f>IF(AND(OR(LEFT(TH!N877,2)="15",LEFT(TH!O877,2)="15"),TK!$E$7=TH!F877),"x","")</f>
        <v/>
      </c>
      <c r="AD877" s="85" t="str">
        <f>IF(AND(N877="1521",MONTH(C877)='BK-NL'!$M$11),"x","")</f>
        <v/>
      </c>
    </row>
    <row r="878" spans="1:30" ht="15.75" customHeight="1">
      <c r="A878" s="343" t="str">
        <f>IF(B878&lt;&gt;"",IF(AND(B878='IN-TC'!$S$4,OR(TH!N878="1111",TH!O878="1111")),TH!D878,""),"")</f>
        <v/>
      </c>
      <c r="B878" s="63" t="str">
        <f t="shared" si="83"/>
        <v/>
      </c>
      <c r="C878" s="320"/>
      <c r="D878" s="320"/>
      <c r="E878" s="320"/>
      <c r="F878" s="321"/>
      <c r="G878" s="321"/>
      <c r="H878" s="322"/>
      <c r="I878" s="447"/>
      <c r="J878" s="447"/>
      <c r="K878" s="438"/>
      <c r="L878" s="447"/>
      <c r="M878" s="65"/>
      <c r="N878" s="323"/>
      <c r="O878" s="323"/>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
      </c>
      <c r="U878" s="85" t="str">
        <f>IF(ISERROR(FIND('112'!$M$9,G878,1)),"",IF((AND(LEFT(G878,2)=LEFT('112'!$M$9,2),B878&lt;'112'!$K$9,$N878='112'!$I$6)),"x",""))</f>
        <v/>
      </c>
      <c r="V878" s="85" t="str">
        <f>IF(ISERROR(FIND('112'!$M$9,G878,1)),"",IF((AND(RIGHT(G878,2)=RIGHT('112'!$M$9,2),B878&lt;'112'!$K$9,$O878='112'!$I$6)),"x",""))</f>
        <v/>
      </c>
      <c r="W878" s="85" t="str">
        <f>IF(AND('341-CT'!$H$9=H878,OR(LEFT(N878,3)=$W$7,LEFT(O878,3)=$W$7)),"x","")</f>
        <v/>
      </c>
      <c r="X878" s="85" t="str">
        <f>IF(OR(TH!N878=TH!$X$7,O878=TH!$X$7),"x","")</f>
        <v/>
      </c>
      <c r="Y878" s="85" t="str">
        <f>IF(AND(OR(N878="131",O878="131"),H878='131-CT'!$H$9),"x","")</f>
        <v/>
      </c>
      <c r="Z878" s="85"/>
      <c r="AA878" s="85" t="str">
        <f>IF(AND(MONTH(E878)='IN-NX'!$J$5,'IN-NX'!$D$7=D878),"x","")</f>
        <v/>
      </c>
      <c r="AB878" s="85" t="str">
        <f>IF(AND(OR(LEFT(TH!N878,2)="15",LEFT(TH!O878,2)="15"),'152-CT'!$J$8=TH!F878),"x","")</f>
        <v/>
      </c>
      <c r="AC878" s="85" t="str">
        <f>IF(AND(OR(LEFT(TH!N878,2)="15",LEFT(TH!O878,2)="15"),TK!$E$7=TH!F878),"x","")</f>
        <v/>
      </c>
      <c r="AD878" s="85" t="str">
        <f>IF(AND(N878="1521",MONTH(C878)='BK-NL'!$M$11),"x","")</f>
        <v/>
      </c>
    </row>
    <row r="879" spans="1:30" ht="15.75" customHeight="1">
      <c r="A879" s="343" t="str">
        <f>IF(B879&lt;&gt;"",IF(AND(B879='IN-TC'!$S$4,OR(TH!N879="1111",TH!O879="1111")),TH!D879,""),"")</f>
        <v/>
      </c>
      <c r="B879" s="63" t="str">
        <f t="shared" si="83"/>
        <v/>
      </c>
      <c r="C879" s="320"/>
      <c r="D879" s="320"/>
      <c r="E879" s="320"/>
      <c r="F879" s="321"/>
      <c r="G879" s="321"/>
      <c r="H879" s="322"/>
      <c r="I879" s="447"/>
      <c r="J879" s="447"/>
      <c r="K879" s="438"/>
      <c r="L879" s="447"/>
      <c r="M879" s="65"/>
      <c r="N879" s="323"/>
      <c r="O879" s="323"/>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
      </c>
      <c r="U879" s="85" t="str">
        <f>IF(ISERROR(FIND('112'!$M$9,G879,1)),"",IF((AND(LEFT(G879,2)=LEFT('112'!$M$9,2),B879&lt;'112'!$K$9,$N879='112'!$I$6)),"x",""))</f>
        <v/>
      </c>
      <c r="V879" s="85" t="str">
        <f>IF(ISERROR(FIND('112'!$M$9,G879,1)),"",IF((AND(RIGHT(G879,2)=RIGHT('112'!$M$9,2),B879&lt;'112'!$K$9,$O879='112'!$I$6)),"x",""))</f>
        <v/>
      </c>
      <c r="W879" s="85" t="str">
        <f>IF(AND('341-CT'!$H$9=H879,OR(LEFT(N879,3)=$W$7,LEFT(O879,3)=$W$7)),"x","")</f>
        <v/>
      </c>
      <c r="X879" s="85" t="str">
        <f>IF(OR(TH!N879=TH!$X$7,O879=TH!$X$7),"x","")</f>
        <v/>
      </c>
      <c r="Y879" s="85" t="str">
        <f>IF(AND(OR(N879="131",O879="131"),H879='131-CT'!$H$9),"x","")</f>
        <v/>
      </c>
      <c r="Z879" s="85"/>
      <c r="AA879" s="85" t="str">
        <f>IF(AND(MONTH(E879)='IN-NX'!$J$5,'IN-NX'!$D$7=D879),"x","")</f>
        <v/>
      </c>
      <c r="AB879" s="85" t="str">
        <f>IF(AND(OR(LEFT(TH!N879,2)="15",LEFT(TH!O879,2)="15"),'152-CT'!$J$8=TH!F879),"x","")</f>
        <v/>
      </c>
      <c r="AC879" s="85" t="str">
        <f>IF(AND(OR(LEFT(TH!N879,2)="15",LEFT(TH!O879,2)="15"),TK!$E$7=TH!F879),"x","")</f>
        <v/>
      </c>
      <c r="AD879" s="85" t="str">
        <f>IF(AND(N879="1521",MONTH(C879)='BK-NL'!$M$11),"x","")</f>
        <v/>
      </c>
    </row>
    <row r="880" spans="1:30" ht="15.75" customHeight="1">
      <c r="A880" s="343" t="str">
        <f>IF(B880&lt;&gt;"",IF(AND(B880='IN-TC'!$S$4,OR(TH!N880="1111",TH!O880="1111")),TH!D880,""),"")</f>
        <v/>
      </c>
      <c r="B880" s="63" t="str">
        <f t="shared" si="83"/>
        <v/>
      </c>
      <c r="C880" s="320"/>
      <c r="D880" s="320"/>
      <c r="E880" s="320"/>
      <c r="F880" s="321"/>
      <c r="G880" s="321"/>
      <c r="H880" s="322"/>
      <c r="I880" s="447"/>
      <c r="J880" s="447"/>
      <c r="K880" s="438"/>
      <c r="L880" s="447"/>
      <c r="M880" s="65"/>
      <c r="N880" s="323"/>
      <c r="O880" s="323"/>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
      </c>
      <c r="U880" s="85" t="str">
        <f>IF(ISERROR(FIND('112'!$M$9,G880,1)),"",IF((AND(LEFT(G880,2)=LEFT('112'!$M$9,2),B880&lt;'112'!$K$9,$N880='112'!$I$6)),"x",""))</f>
        <v/>
      </c>
      <c r="V880" s="85" t="str">
        <f>IF(ISERROR(FIND('112'!$M$9,G880,1)),"",IF((AND(RIGHT(G880,2)=RIGHT('112'!$M$9,2),B880&lt;'112'!$K$9,$O880='112'!$I$6)),"x",""))</f>
        <v/>
      </c>
      <c r="W880" s="85" t="str">
        <f>IF(AND('341-CT'!$H$9=H880,OR(LEFT(N880,3)=$W$7,LEFT(O880,3)=$W$7)),"x","")</f>
        <v/>
      </c>
      <c r="X880" s="85" t="str">
        <f>IF(OR(TH!N880=TH!$X$7,O880=TH!$X$7),"x","")</f>
        <v/>
      </c>
      <c r="Y880" s="85" t="str">
        <f>IF(AND(OR(N880="131",O880="131"),H880='131-CT'!$H$9),"x","")</f>
        <v/>
      </c>
      <c r="Z880" s="85"/>
      <c r="AA880" s="85" t="str">
        <f>IF(AND(MONTH(E880)='IN-NX'!$J$5,'IN-NX'!$D$7=D880),"x","")</f>
        <v/>
      </c>
      <c r="AB880" s="85" t="str">
        <f>IF(AND(OR(LEFT(TH!N880,2)="15",LEFT(TH!O880,2)="15"),'152-CT'!$J$8=TH!F880),"x","")</f>
        <v/>
      </c>
      <c r="AC880" s="85" t="str">
        <f>IF(AND(OR(LEFT(TH!N880,2)="15",LEFT(TH!O880,2)="15"),TK!$E$7=TH!F880),"x","")</f>
        <v/>
      </c>
      <c r="AD880" s="85" t="str">
        <f>IF(AND(N880="1521",MONTH(C880)='BK-NL'!$M$11),"x","")</f>
        <v/>
      </c>
    </row>
    <row r="881" spans="1:30" ht="15.75" customHeight="1">
      <c r="A881" s="343" t="str">
        <f>IF(B881&lt;&gt;"",IF(AND(B881='IN-TC'!$S$4,OR(TH!N881="1111",TH!O881="1111")),TH!D881,""),"")</f>
        <v/>
      </c>
      <c r="B881" s="63" t="str">
        <f t="shared" si="83"/>
        <v/>
      </c>
      <c r="C881" s="320"/>
      <c r="D881" s="320"/>
      <c r="E881" s="320"/>
      <c r="F881" s="321"/>
      <c r="G881" s="321"/>
      <c r="H881" s="322"/>
      <c r="I881" s="447"/>
      <c r="J881" s="447"/>
      <c r="K881" s="438"/>
      <c r="L881" s="447"/>
      <c r="M881" s="65"/>
      <c r="N881" s="323"/>
      <c r="O881" s="323"/>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
      </c>
      <c r="U881" s="85" t="str">
        <f>IF(ISERROR(FIND('112'!$M$9,G881,1)),"",IF((AND(LEFT(G881,2)=LEFT('112'!$M$9,2),B881&lt;'112'!$K$9,$N881='112'!$I$6)),"x",""))</f>
        <v/>
      </c>
      <c r="V881" s="85" t="str">
        <f>IF(ISERROR(FIND('112'!$M$9,G881,1)),"",IF((AND(RIGHT(G881,2)=RIGHT('112'!$M$9,2),B881&lt;'112'!$K$9,$O881='112'!$I$6)),"x",""))</f>
        <v/>
      </c>
      <c r="W881" s="85" t="str">
        <f>IF(AND('341-CT'!$H$9=H881,OR(LEFT(N881,3)=$W$7,LEFT(O881,3)=$W$7)),"x","")</f>
        <v/>
      </c>
      <c r="X881" s="85" t="str">
        <f>IF(OR(TH!N881=TH!$X$7,O881=TH!$X$7),"x","")</f>
        <v/>
      </c>
      <c r="Y881" s="85" t="str">
        <f>IF(AND(OR(N881="131",O881="131"),H881='131-CT'!$H$9),"x","")</f>
        <v/>
      </c>
      <c r="Z881" s="85"/>
      <c r="AA881" s="85" t="str">
        <f>IF(AND(MONTH(E881)='IN-NX'!$J$5,'IN-NX'!$D$7=D881),"x","")</f>
        <v/>
      </c>
      <c r="AB881" s="85" t="str">
        <f>IF(AND(OR(LEFT(TH!N881,2)="15",LEFT(TH!O881,2)="15"),'152-CT'!$J$8=TH!F881),"x","")</f>
        <v/>
      </c>
      <c r="AC881" s="85" t="str">
        <f>IF(AND(OR(LEFT(TH!N881,2)="15",LEFT(TH!O881,2)="15"),TK!$E$7=TH!F881),"x","")</f>
        <v/>
      </c>
      <c r="AD881" s="85" t="str">
        <f>IF(AND(N881="1521",MONTH(C881)='BK-NL'!$M$11),"x","")</f>
        <v/>
      </c>
    </row>
    <row r="882" spans="1:30" ht="15.75" customHeight="1">
      <c r="A882" s="343" t="str">
        <f>IF(B882&lt;&gt;"",IF(AND(B882='IN-TC'!$S$4,OR(TH!N882="1111",TH!O882="1111")),TH!D882,""),"")</f>
        <v/>
      </c>
      <c r="B882" s="63" t="str">
        <f t="shared" si="83"/>
        <v/>
      </c>
      <c r="C882" s="320"/>
      <c r="D882" s="320"/>
      <c r="E882" s="320"/>
      <c r="F882" s="321"/>
      <c r="G882" s="321"/>
      <c r="H882" s="322"/>
      <c r="I882" s="447"/>
      <c r="J882" s="447"/>
      <c r="K882" s="438"/>
      <c r="L882" s="447"/>
      <c r="M882" s="65"/>
      <c r="N882" s="323"/>
      <c r="O882" s="323"/>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
      </c>
      <c r="U882" s="85" t="str">
        <f>IF(ISERROR(FIND('112'!$M$9,G882,1)),"",IF((AND(LEFT(G882,2)=LEFT('112'!$M$9,2),B882&lt;'112'!$K$9,$N882='112'!$I$6)),"x",""))</f>
        <v/>
      </c>
      <c r="V882" s="85" t="str">
        <f>IF(ISERROR(FIND('112'!$M$9,G882,1)),"",IF((AND(RIGHT(G882,2)=RIGHT('112'!$M$9,2),B882&lt;'112'!$K$9,$O882='112'!$I$6)),"x",""))</f>
        <v/>
      </c>
      <c r="W882" s="85" t="str">
        <f>IF(AND('341-CT'!$H$9=H882,OR(LEFT(N882,3)=$W$7,LEFT(O882,3)=$W$7)),"x","")</f>
        <v/>
      </c>
      <c r="X882" s="85" t="str">
        <f>IF(OR(TH!N882=TH!$X$7,O882=TH!$X$7),"x","")</f>
        <v/>
      </c>
      <c r="Y882" s="85" t="str">
        <f>IF(AND(OR(N882="131",O882="131"),H882='131-CT'!$H$9),"x","")</f>
        <v/>
      </c>
      <c r="Z882" s="85"/>
      <c r="AA882" s="85" t="str">
        <f>IF(AND(MONTH(E882)='IN-NX'!$J$5,'IN-NX'!$D$7=D882),"x","")</f>
        <v/>
      </c>
      <c r="AB882" s="85" t="str">
        <f>IF(AND(OR(LEFT(TH!N882,2)="15",LEFT(TH!O882,2)="15"),'152-CT'!$J$8=TH!F882),"x","")</f>
        <v/>
      </c>
      <c r="AC882" s="85" t="str">
        <f>IF(AND(OR(LEFT(TH!N882,2)="15",LEFT(TH!O882,2)="15"),TK!$E$7=TH!F882),"x","")</f>
        <v/>
      </c>
      <c r="AD882" s="85" t="str">
        <f>IF(AND(N882="1521",MONTH(C882)='BK-NL'!$M$11),"x","")</f>
        <v/>
      </c>
    </row>
    <row r="883" spans="1:30" ht="15.75" customHeight="1">
      <c r="A883" s="343" t="str">
        <f>IF(B883&lt;&gt;"",IF(AND(B883='IN-TC'!$S$4,OR(TH!N883="1111",TH!O883="1111")),TH!D883,""),"")</f>
        <v/>
      </c>
      <c r="B883" s="63" t="str">
        <f t="shared" si="83"/>
        <v/>
      </c>
      <c r="C883" s="320"/>
      <c r="D883" s="320"/>
      <c r="E883" s="320"/>
      <c r="F883" s="321"/>
      <c r="G883" s="321"/>
      <c r="H883" s="322"/>
      <c r="I883" s="447"/>
      <c r="J883" s="447"/>
      <c r="K883" s="438"/>
      <c r="L883" s="447"/>
      <c r="M883" s="65"/>
      <c r="N883" s="323"/>
      <c r="O883" s="323"/>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
      </c>
      <c r="U883" s="85" t="str">
        <f>IF(ISERROR(FIND('112'!$M$9,G883,1)),"",IF((AND(LEFT(G883,2)=LEFT('112'!$M$9,2),B883&lt;'112'!$K$9,$N883='112'!$I$6)),"x",""))</f>
        <v/>
      </c>
      <c r="V883" s="85" t="str">
        <f>IF(ISERROR(FIND('112'!$M$9,G883,1)),"",IF((AND(RIGHT(G883,2)=RIGHT('112'!$M$9,2),B883&lt;'112'!$K$9,$O883='112'!$I$6)),"x",""))</f>
        <v/>
      </c>
      <c r="W883" s="85" t="str">
        <f>IF(AND('341-CT'!$H$9=H883,OR(LEFT(N883,3)=$W$7,LEFT(O883,3)=$W$7)),"x","")</f>
        <v/>
      </c>
      <c r="X883" s="85" t="str">
        <f>IF(OR(TH!N883=TH!$X$7,O883=TH!$X$7),"x","")</f>
        <v/>
      </c>
      <c r="Y883" s="85" t="str">
        <f>IF(AND(OR(N883="131",O883="131"),H883='131-CT'!$H$9),"x","")</f>
        <v/>
      </c>
      <c r="Z883" s="85"/>
      <c r="AA883" s="85" t="str">
        <f>IF(AND(MONTH(E883)='IN-NX'!$J$5,'IN-NX'!$D$7=D883),"x","")</f>
        <v/>
      </c>
      <c r="AB883" s="85" t="str">
        <f>IF(AND(OR(LEFT(TH!N883,2)="15",LEFT(TH!O883,2)="15"),'152-CT'!$J$8=TH!F883),"x","")</f>
        <v/>
      </c>
      <c r="AC883" s="85" t="str">
        <f>IF(AND(OR(LEFT(TH!N883,2)="15",LEFT(TH!O883,2)="15"),TK!$E$7=TH!F883),"x","")</f>
        <v/>
      </c>
      <c r="AD883" s="85" t="str">
        <f>IF(AND(N883="1521",MONTH(C883)='BK-NL'!$M$11),"x","")</f>
        <v/>
      </c>
    </row>
    <row r="884" spans="1:30" ht="15.75" customHeight="1">
      <c r="A884" s="343" t="str">
        <f>IF(B884&lt;&gt;"",IF(AND(B884='IN-TC'!$S$4,OR(TH!N884="1111",TH!O884="1111")),TH!D884,""),"")</f>
        <v/>
      </c>
      <c r="B884" s="63" t="str">
        <f t="shared" si="83"/>
        <v/>
      </c>
      <c r="C884" s="320"/>
      <c r="D884" s="320"/>
      <c r="E884" s="320"/>
      <c r="F884" s="321"/>
      <c r="G884" s="321"/>
      <c r="H884" s="322"/>
      <c r="I884" s="447"/>
      <c r="J884" s="447"/>
      <c r="K884" s="438"/>
      <c r="L884" s="447"/>
      <c r="M884" s="65"/>
      <c r="N884" s="323"/>
      <c r="O884" s="323"/>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
      </c>
      <c r="U884" s="85" t="str">
        <f>IF(ISERROR(FIND('112'!$M$9,G884,1)),"",IF((AND(LEFT(G884,2)=LEFT('112'!$M$9,2),B884&lt;'112'!$K$9,$N884='112'!$I$6)),"x",""))</f>
        <v/>
      </c>
      <c r="V884" s="85" t="str">
        <f>IF(ISERROR(FIND('112'!$M$9,G884,1)),"",IF((AND(RIGHT(G884,2)=RIGHT('112'!$M$9,2),B884&lt;'112'!$K$9,$O884='112'!$I$6)),"x",""))</f>
        <v/>
      </c>
      <c r="W884" s="85" t="str">
        <f>IF(AND('341-CT'!$H$9=H884,OR(LEFT(N884,3)=$W$7,LEFT(O884,3)=$W$7)),"x","")</f>
        <v/>
      </c>
      <c r="X884" s="85" t="str">
        <f>IF(OR(TH!N884=TH!$X$7,O884=TH!$X$7),"x","")</f>
        <v/>
      </c>
      <c r="Y884" s="85" t="str">
        <f>IF(AND(OR(N884="131",O884="131"),H884='131-CT'!$H$9),"x","")</f>
        <v/>
      </c>
      <c r="Z884" s="85"/>
      <c r="AA884" s="85" t="str">
        <f>IF(AND(MONTH(E884)='IN-NX'!$J$5,'IN-NX'!$D$7=D884),"x","")</f>
        <v/>
      </c>
      <c r="AB884" s="85" t="str">
        <f>IF(AND(OR(LEFT(TH!N884,2)="15",LEFT(TH!O884,2)="15"),'152-CT'!$J$8=TH!F884),"x","")</f>
        <v/>
      </c>
      <c r="AC884" s="85" t="str">
        <f>IF(AND(OR(LEFT(TH!N884,2)="15",LEFT(TH!O884,2)="15"),TK!$E$7=TH!F884),"x","")</f>
        <v/>
      </c>
      <c r="AD884" s="85" t="str">
        <f>IF(AND(N884="1521",MONTH(C884)='BK-NL'!$M$11),"x","")</f>
        <v/>
      </c>
    </row>
    <row r="885" spans="1:30" ht="15.75" customHeight="1">
      <c r="A885" s="343" t="str">
        <f>IF(B885&lt;&gt;"",IF(AND(B885='IN-TC'!$S$4,OR(TH!N885="1111",TH!O885="1111")),TH!D885,""),"")</f>
        <v/>
      </c>
      <c r="B885" s="63" t="str">
        <f t="shared" si="83"/>
        <v/>
      </c>
      <c r="C885" s="320"/>
      <c r="D885" s="320"/>
      <c r="E885" s="320"/>
      <c r="F885" s="321"/>
      <c r="G885" s="321"/>
      <c r="H885" s="322"/>
      <c r="I885" s="447"/>
      <c r="J885" s="447"/>
      <c r="K885" s="438"/>
      <c r="L885" s="447"/>
      <c r="M885" s="65"/>
      <c r="N885" s="323"/>
      <c r="O885" s="323"/>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
      </c>
      <c r="U885" s="85" t="str">
        <f>IF(ISERROR(FIND('112'!$M$9,G885,1)),"",IF((AND(LEFT(G885,2)=LEFT('112'!$M$9,2),B885&lt;'112'!$K$9,$N885='112'!$I$6)),"x",""))</f>
        <v/>
      </c>
      <c r="V885" s="85" t="str">
        <f>IF(ISERROR(FIND('112'!$M$9,G885,1)),"",IF((AND(RIGHT(G885,2)=RIGHT('112'!$M$9,2),B885&lt;'112'!$K$9,$O885='112'!$I$6)),"x",""))</f>
        <v/>
      </c>
      <c r="W885" s="85" t="str">
        <f>IF(AND('341-CT'!$H$9=H885,OR(LEFT(N885,3)=$W$7,LEFT(O885,3)=$W$7)),"x","")</f>
        <v/>
      </c>
      <c r="X885" s="85" t="str">
        <f>IF(OR(TH!N885=TH!$X$7,O885=TH!$X$7),"x","")</f>
        <v/>
      </c>
      <c r="Y885" s="85" t="str">
        <f>IF(AND(OR(N885="131",O885="131"),H885='131-CT'!$H$9),"x","")</f>
        <v/>
      </c>
      <c r="Z885" s="85"/>
      <c r="AA885" s="85" t="str">
        <f>IF(AND(MONTH(E885)='IN-NX'!$J$5,'IN-NX'!$D$7=D885),"x","")</f>
        <v/>
      </c>
      <c r="AB885" s="85" t="str">
        <f>IF(AND(OR(LEFT(TH!N885,2)="15",LEFT(TH!O885,2)="15"),'152-CT'!$J$8=TH!F885),"x","")</f>
        <v/>
      </c>
      <c r="AC885" s="85" t="str">
        <f>IF(AND(OR(LEFT(TH!N885,2)="15",LEFT(TH!O885,2)="15"),TK!$E$7=TH!F885),"x","")</f>
        <v/>
      </c>
      <c r="AD885" s="85" t="str">
        <f>IF(AND(N885="1521",MONTH(C885)='BK-NL'!$M$11),"x","")</f>
        <v/>
      </c>
    </row>
    <row r="886" spans="1:30" ht="15.75" customHeight="1">
      <c r="A886" s="343" t="str">
        <f>IF(B886&lt;&gt;"",IF(AND(B886='IN-TC'!$S$4,OR(TH!N886="1111",TH!O886="1111")),TH!D886,""),"")</f>
        <v/>
      </c>
      <c r="B886" s="63" t="str">
        <f t="shared" si="83"/>
        <v/>
      </c>
      <c r="C886" s="64"/>
      <c r="D886" s="64"/>
      <c r="E886" s="64"/>
      <c r="F886" s="67"/>
      <c r="G886" s="996"/>
      <c r="H886" s="351"/>
      <c r="I886" s="449"/>
      <c r="J886" s="449"/>
      <c r="K886" s="440"/>
      <c r="L886" s="449"/>
      <c r="M886" s="65"/>
      <c r="N886" s="323"/>
      <c r="O886" s="66"/>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
      </c>
      <c r="U886" s="85" t="str">
        <f>IF(ISERROR(FIND('112'!$M$9,G886,1)),"",IF((AND(LEFT(G886,2)=LEFT('112'!$M$9,2),B886&lt;'112'!$K$9,$N886='112'!$I$6)),"x",""))</f>
        <v/>
      </c>
      <c r="V886" s="85" t="str">
        <f>IF(ISERROR(FIND('112'!$M$9,G886,1)),"",IF((AND(RIGHT(G886,2)=RIGHT('112'!$M$9,2),B886&lt;'112'!$K$9,$O886='112'!$I$6)),"x",""))</f>
        <v/>
      </c>
      <c r="W886" s="85" t="str">
        <f>IF(AND('341-CT'!$H$9=H886,OR(LEFT(N886,3)=$W$7,LEFT(O886,3)=$W$7)),"x","")</f>
        <v/>
      </c>
      <c r="X886" s="85" t="str">
        <f>IF(OR(TH!N886=TH!$X$7,O886=TH!$X$7),"x","")</f>
        <v/>
      </c>
      <c r="Y886" s="85" t="str">
        <f>IF(AND(OR(N886="131",O886="131"),H886='131-CT'!$H$9),"x","")</f>
        <v/>
      </c>
      <c r="Z886" s="85"/>
      <c r="AA886" s="85" t="str">
        <f>IF(AND(MONTH(E886)='IN-NX'!$J$5,'IN-NX'!$D$7=D886),"x","")</f>
        <v/>
      </c>
      <c r="AB886" s="85" t="str">
        <f>IF(AND(OR(LEFT(TH!N886,2)="15",LEFT(TH!O886,2)="15"),'152-CT'!$J$8=TH!F886),"x","")</f>
        <v/>
      </c>
      <c r="AC886" s="85" t="str">
        <f>IF(AND(OR(LEFT(TH!N886,2)="15",LEFT(TH!O886,2)="15"),TK!$E$7=TH!F886),"x","")</f>
        <v/>
      </c>
      <c r="AD886" s="85" t="str">
        <f>IF(AND(N886="1521",MONTH(C886)='BK-NL'!$M$11),"x","")</f>
        <v/>
      </c>
    </row>
    <row r="887" spans="1:30" ht="15.75" customHeight="1">
      <c r="A887" s="343" t="str">
        <f>IF(B887&lt;&gt;"",IF(AND(B887='IN-TC'!$S$4,OR(TH!N887="1111",TH!O887="1111")),TH!D887,""),"")</f>
        <v/>
      </c>
      <c r="B887" s="63" t="str">
        <f t="shared" si="83"/>
        <v/>
      </c>
      <c r="C887" s="64"/>
      <c r="D887" s="64"/>
      <c r="E887" s="64"/>
      <c r="F887" s="67"/>
      <c r="G887" s="996"/>
      <c r="H887" s="351"/>
      <c r="I887" s="449"/>
      <c r="J887" s="449"/>
      <c r="K887" s="440"/>
      <c r="L887" s="449"/>
      <c r="M887" s="65"/>
      <c r="N887" s="323"/>
      <c r="O887" s="66"/>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
      </c>
      <c r="U887" s="85" t="str">
        <f>IF(ISERROR(FIND('112'!$M$9,G887,1)),"",IF((AND(LEFT(G887,2)=LEFT('112'!$M$9,2),B887&lt;'112'!$K$9,$N887='112'!$I$6)),"x",""))</f>
        <v/>
      </c>
      <c r="V887" s="85" t="str">
        <f>IF(ISERROR(FIND('112'!$M$9,G887,1)),"",IF((AND(RIGHT(G887,2)=RIGHT('112'!$M$9,2),B887&lt;'112'!$K$9,$O887='112'!$I$6)),"x",""))</f>
        <v/>
      </c>
      <c r="W887" s="85" t="str">
        <f>IF(AND('341-CT'!$H$9=H887,OR(LEFT(N887,3)=$W$7,LEFT(O887,3)=$W$7)),"x","")</f>
        <v/>
      </c>
      <c r="X887" s="85" t="str">
        <f>IF(OR(TH!N887=TH!$X$7,O887=TH!$X$7),"x","")</f>
        <v/>
      </c>
      <c r="Y887" s="85" t="str">
        <f>IF(AND(OR(N887="131",O887="131"),H887='131-CT'!$H$9),"x","")</f>
        <v/>
      </c>
      <c r="Z887" s="85"/>
      <c r="AA887" s="85" t="str">
        <f>IF(AND(MONTH(E887)='IN-NX'!$J$5,'IN-NX'!$D$7=D887),"x","")</f>
        <v/>
      </c>
      <c r="AB887" s="85" t="str">
        <f>IF(AND(OR(LEFT(TH!N887,2)="15",LEFT(TH!O887,2)="15"),'152-CT'!$J$8=TH!F887),"x","")</f>
        <v/>
      </c>
      <c r="AC887" s="85" t="str">
        <f>IF(AND(OR(LEFT(TH!N887,2)="15",LEFT(TH!O887,2)="15"),TK!$E$7=TH!F887),"x","")</f>
        <v/>
      </c>
      <c r="AD887" s="85" t="str">
        <f>IF(AND(N887="1521",MONTH(C887)='BK-NL'!$M$11),"x","")</f>
        <v/>
      </c>
    </row>
    <row r="888" spans="1:30" ht="15.75" customHeight="1">
      <c r="A888" s="343" t="str">
        <f>IF(B888&lt;&gt;"",IF(AND(B888='IN-TC'!$S$4,OR(TH!N888="1111",TH!O888="1111")),TH!D888,""),"")</f>
        <v/>
      </c>
      <c r="B888" s="63" t="str">
        <f t="shared" si="83"/>
        <v/>
      </c>
      <c r="C888" s="320"/>
      <c r="D888" s="320"/>
      <c r="E888" s="320"/>
      <c r="F888" s="321"/>
      <c r="G888" s="321"/>
      <c r="H888" s="322"/>
      <c r="I888" s="447"/>
      <c r="J888" s="447"/>
      <c r="K888" s="438"/>
      <c r="L888" s="447"/>
      <c r="M888" s="65"/>
      <c r="N888" s="323"/>
      <c r="O888" s="323"/>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
      </c>
      <c r="U888" s="85" t="str">
        <f>IF(ISERROR(FIND('112'!$M$9,G888,1)),"",IF((AND(LEFT(G888,2)=LEFT('112'!$M$9,2),B888&lt;'112'!$K$9,$N888='112'!$I$6)),"x",""))</f>
        <v/>
      </c>
      <c r="V888" s="85" t="str">
        <f>IF(ISERROR(FIND('112'!$M$9,G888,1)),"",IF((AND(RIGHT(G888,2)=RIGHT('112'!$M$9,2),B888&lt;'112'!$K$9,$O888='112'!$I$6)),"x",""))</f>
        <v/>
      </c>
      <c r="W888" s="85" t="str">
        <f>IF(AND('341-CT'!$H$9=H888,OR(LEFT(N888,3)=$W$7,LEFT(O888,3)=$W$7)),"x","")</f>
        <v/>
      </c>
      <c r="X888" s="85" t="str">
        <f>IF(OR(TH!N888=TH!$X$7,O888=TH!$X$7),"x","")</f>
        <v/>
      </c>
      <c r="Y888" s="85" t="str">
        <f>IF(AND(OR(N888="131",O888="131"),H888='131-CT'!$H$9),"x","")</f>
        <v/>
      </c>
      <c r="Z888" s="85"/>
      <c r="AA888" s="85" t="str">
        <f>IF(AND(MONTH(E888)='IN-NX'!$J$5,'IN-NX'!$D$7=D888),"x","")</f>
        <v/>
      </c>
      <c r="AB888" s="85" t="str">
        <f>IF(AND(OR(LEFT(TH!N888,2)="15",LEFT(TH!O888,2)="15"),'152-CT'!$J$8=TH!F888),"x","")</f>
        <v/>
      </c>
      <c r="AC888" s="85" t="str">
        <f>IF(AND(OR(LEFT(TH!N888,2)="15",LEFT(TH!O888,2)="15"),TK!$E$7=TH!F888),"x","")</f>
        <v/>
      </c>
      <c r="AD888" s="85" t="str">
        <f>IF(AND(N888="1521",MONTH(C888)='BK-NL'!$M$11),"x","")</f>
        <v/>
      </c>
    </row>
    <row r="889" spans="1:30" ht="15.75" customHeight="1">
      <c r="A889" s="343" t="str">
        <f>IF(B889&lt;&gt;"",IF(AND(B889='IN-TC'!$S$4,OR(TH!N889="1111",TH!O889="1111")),TH!D889,""),"")</f>
        <v/>
      </c>
      <c r="B889" s="63" t="str">
        <f t="shared" si="83"/>
        <v/>
      </c>
      <c r="C889" s="320"/>
      <c r="D889" s="320"/>
      <c r="E889" s="320"/>
      <c r="F889" s="321"/>
      <c r="G889" s="321"/>
      <c r="H889" s="322"/>
      <c r="I889" s="447"/>
      <c r="J889" s="447"/>
      <c r="K889" s="438"/>
      <c r="L889" s="447"/>
      <c r="M889" s="65"/>
      <c r="N889" s="323"/>
      <c r="O889" s="323"/>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
      </c>
      <c r="U889" s="85" t="str">
        <f>IF(ISERROR(FIND('112'!$M$9,G889,1)),"",IF((AND(LEFT(G889,2)=LEFT('112'!$M$9,2),B889&lt;'112'!$K$9,$N889='112'!$I$6)),"x",""))</f>
        <v/>
      </c>
      <c r="V889" s="85" t="str">
        <f>IF(ISERROR(FIND('112'!$M$9,G889,1)),"",IF((AND(RIGHT(G889,2)=RIGHT('112'!$M$9,2),B889&lt;'112'!$K$9,$O889='112'!$I$6)),"x",""))</f>
        <v/>
      </c>
      <c r="W889" s="85" t="str">
        <f>IF(AND('341-CT'!$H$9=H889,OR(LEFT(N889,3)=$W$7,LEFT(O889,3)=$W$7)),"x","")</f>
        <v/>
      </c>
      <c r="X889" s="85" t="str">
        <f>IF(OR(TH!N889=TH!$X$7,O889=TH!$X$7),"x","")</f>
        <v/>
      </c>
      <c r="Y889" s="85" t="str">
        <f>IF(AND(OR(N889="131",O889="131"),H889='131-CT'!$H$9),"x","")</f>
        <v/>
      </c>
      <c r="Z889" s="85"/>
      <c r="AA889" s="85" t="str">
        <f>IF(AND(MONTH(E889)='IN-NX'!$J$5,'IN-NX'!$D$7=D889),"x","")</f>
        <v/>
      </c>
      <c r="AB889" s="85" t="str">
        <f>IF(AND(OR(LEFT(TH!N889,2)="15",LEFT(TH!O889,2)="15"),'152-CT'!$J$8=TH!F889),"x","")</f>
        <v/>
      </c>
      <c r="AC889" s="85" t="str">
        <f>IF(AND(OR(LEFT(TH!N889,2)="15",LEFT(TH!O889,2)="15"),TK!$E$7=TH!F889),"x","")</f>
        <v/>
      </c>
      <c r="AD889" s="85" t="str">
        <f>IF(AND(N889="1521",MONTH(C889)='BK-NL'!$M$11),"x","")</f>
        <v/>
      </c>
    </row>
    <row r="890" spans="1:30" ht="15.75" customHeight="1">
      <c r="A890" s="343" t="str">
        <f>IF(B890&lt;&gt;"",IF(AND(B890='IN-TC'!$S$4,OR(TH!N890="1111",TH!O890="1111")),TH!D890,""),"")</f>
        <v/>
      </c>
      <c r="B890" s="63" t="str">
        <f t="shared" si="83"/>
        <v/>
      </c>
      <c r="C890" s="320"/>
      <c r="D890" s="320"/>
      <c r="E890" s="320"/>
      <c r="F890" s="321"/>
      <c r="G890" s="321"/>
      <c r="H890" s="322"/>
      <c r="I890" s="447"/>
      <c r="J890" s="447"/>
      <c r="K890" s="438"/>
      <c r="L890" s="447"/>
      <c r="M890" s="65"/>
      <c r="N890" s="323"/>
      <c r="O890" s="323"/>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
      </c>
      <c r="U890" s="85" t="str">
        <f>IF(ISERROR(FIND('112'!$M$9,G890,1)),"",IF((AND(LEFT(G890,2)=LEFT('112'!$M$9,2),B890&lt;'112'!$K$9,$N890='112'!$I$6)),"x",""))</f>
        <v/>
      </c>
      <c r="V890" s="85" t="str">
        <f>IF(ISERROR(FIND('112'!$M$9,G890,1)),"",IF((AND(RIGHT(G890,2)=RIGHT('112'!$M$9,2),B890&lt;'112'!$K$9,$O890='112'!$I$6)),"x",""))</f>
        <v/>
      </c>
      <c r="W890" s="85" t="str">
        <f>IF(AND('341-CT'!$H$9=H890,OR(LEFT(N890,3)=$W$7,LEFT(O890,3)=$W$7)),"x","")</f>
        <v/>
      </c>
      <c r="X890" s="85" t="str">
        <f>IF(OR(TH!N890=TH!$X$7,O890=TH!$X$7),"x","")</f>
        <v/>
      </c>
      <c r="Y890" s="85" t="str">
        <f>IF(AND(OR(N890="131",O890="131"),H890='131-CT'!$H$9),"x","")</f>
        <v/>
      </c>
      <c r="Z890" s="85"/>
      <c r="AA890" s="85" t="str">
        <f>IF(AND(MONTH(E890)='IN-NX'!$J$5,'IN-NX'!$D$7=D890),"x","")</f>
        <v/>
      </c>
      <c r="AB890" s="85" t="str">
        <f>IF(AND(OR(LEFT(TH!N890,2)="15",LEFT(TH!O890,2)="15"),'152-CT'!$J$8=TH!F890),"x","")</f>
        <v/>
      </c>
      <c r="AC890" s="85" t="str">
        <f>IF(AND(OR(LEFT(TH!N890,2)="15",LEFT(TH!O890,2)="15"),TK!$E$7=TH!F890),"x","")</f>
        <v/>
      </c>
      <c r="AD890" s="85" t="str">
        <f>IF(AND(N890="1521",MONTH(C890)='BK-NL'!$M$11),"x","")</f>
        <v/>
      </c>
    </row>
    <row r="891" spans="1:30" ht="15.75" customHeight="1">
      <c r="A891" s="343" t="str">
        <f>IF(B891&lt;&gt;"",IF(AND(B891='IN-TC'!$S$4,OR(TH!N891="1111",TH!O891="1111")),TH!D891,""),"")</f>
        <v/>
      </c>
      <c r="B891" s="63" t="str">
        <f t="shared" si="83"/>
        <v/>
      </c>
      <c r="C891" s="320"/>
      <c r="D891" s="320"/>
      <c r="E891" s="320"/>
      <c r="F891" s="321"/>
      <c r="G891" s="321"/>
      <c r="H891" s="322"/>
      <c r="I891" s="447"/>
      <c r="J891" s="447"/>
      <c r="K891" s="438"/>
      <c r="L891" s="447"/>
      <c r="M891" s="65"/>
      <c r="N891" s="323"/>
      <c r="O891" s="323"/>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
      </c>
      <c r="U891" s="85" t="str">
        <f>IF(ISERROR(FIND('112'!$M$9,G891,1)),"",IF((AND(LEFT(G891,2)=LEFT('112'!$M$9,2),B891&lt;'112'!$K$9,$N891='112'!$I$6)),"x",""))</f>
        <v/>
      </c>
      <c r="V891" s="85" t="str">
        <f>IF(ISERROR(FIND('112'!$M$9,G891,1)),"",IF((AND(RIGHT(G891,2)=RIGHT('112'!$M$9,2),B891&lt;'112'!$K$9,$O891='112'!$I$6)),"x",""))</f>
        <v/>
      </c>
      <c r="W891" s="85" t="str">
        <f>IF(AND('341-CT'!$H$9=H891,OR(LEFT(N891,3)=$W$7,LEFT(O891,3)=$W$7)),"x","")</f>
        <v/>
      </c>
      <c r="X891" s="85" t="str">
        <f>IF(OR(TH!N891=TH!$X$7,O891=TH!$X$7),"x","")</f>
        <v/>
      </c>
      <c r="Y891" s="85" t="str">
        <f>IF(AND(OR(N891="131",O891="131"),H891='131-CT'!$H$9),"x","")</f>
        <v/>
      </c>
      <c r="Z891" s="85"/>
      <c r="AA891" s="85" t="str">
        <f>IF(AND(MONTH(E891)='IN-NX'!$J$5,'IN-NX'!$D$7=D891),"x","")</f>
        <v/>
      </c>
      <c r="AB891" s="85" t="str">
        <f>IF(AND(OR(LEFT(TH!N891,2)="15",LEFT(TH!O891,2)="15"),'152-CT'!$J$8=TH!F891),"x","")</f>
        <v/>
      </c>
      <c r="AC891" s="85" t="str">
        <f>IF(AND(OR(LEFT(TH!N891,2)="15",LEFT(TH!O891,2)="15"),TK!$E$7=TH!F891),"x","")</f>
        <v/>
      </c>
      <c r="AD891" s="85" t="str">
        <f>IF(AND(N891="1521",MONTH(C891)='BK-NL'!$M$11),"x","")</f>
        <v/>
      </c>
    </row>
    <row r="892" spans="1:30" ht="15.75" customHeight="1">
      <c r="A892" s="343" t="str">
        <f>IF(B892&lt;&gt;"",IF(AND(B892='IN-TC'!$S$4,OR(TH!N892="1111",TH!O892="1111")),TH!D892,""),"")</f>
        <v/>
      </c>
      <c r="B892" s="63" t="str">
        <f t="shared" si="83"/>
        <v/>
      </c>
      <c r="C892" s="320"/>
      <c r="D892" s="320"/>
      <c r="E892" s="320"/>
      <c r="F892" s="321"/>
      <c r="G892" s="321"/>
      <c r="H892" s="322"/>
      <c r="I892" s="447"/>
      <c r="J892" s="447"/>
      <c r="K892" s="438"/>
      <c r="L892" s="447"/>
      <c r="M892" s="65"/>
      <c r="N892" s="323"/>
      <c r="O892" s="323"/>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
      </c>
      <c r="U892" s="85" t="str">
        <f>IF(ISERROR(FIND('112'!$M$9,G892,1)),"",IF((AND(LEFT(G892,2)=LEFT('112'!$M$9,2),B892&lt;'112'!$K$9,$N892='112'!$I$6)),"x",""))</f>
        <v/>
      </c>
      <c r="V892" s="85" t="str">
        <f>IF(ISERROR(FIND('112'!$M$9,G892,1)),"",IF((AND(RIGHT(G892,2)=RIGHT('112'!$M$9,2),B892&lt;'112'!$K$9,$O892='112'!$I$6)),"x",""))</f>
        <v/>
      </c>
      <c r="W892" s="85" t="str">
        <f>IF(AND('341-CT'!$H$9=H892,OR(LEFT(N892,3)=$W$7,LEFT(O892,3)=$W$7)),"x","")</f>
        <v/>
      </c>
      <c r="X892" s="85" t="str">
        <f>IF(OR(TH!N892=TH!$X$7,O892=TH!$X$7),"x","")</f>
        <v/>
      </c>
      <c r="Y892" s="85" t="str">
        <f>IF(AND(OR(N892="131",O892="131"),H892='131-CT'!$H$9),"x","")</f>
        <v/>
      </c>
      <c r="Z892" s="85"/>
      <c r="AA892" s="85" t="str">
        <f>IF(AND(MONTH(E892)='IN-NX'!$J$5,'IN-NX'!$D$7=D892),"x","")</f>
        <v/>
      </c>
      <c r="AB892" s="85" t="str">
        <f>IF(AND(OR(LEFT(TH!N892,2)="15",LEFT(TH!O892,2)="15"),'152-CT'!$J$8=TH!F892),"x","")</f>
        <v/>
      </c>
      <c r="AC892" s="85" t="str">
        <f>IF(AND(OR(LEFT(TH!N892,2)="15",LEFT(TH!O892,2)="15"),TK!$E$7=TH!F892),"x","")</f>
        <v/>
      </c>
      <c r="AD892" s="85" t="str">
        <f>IF(AND(N892="1521",MONTH(C892)='BK-NL'!$M$11),"x","")</f>
        <v/>
      </c>
    </row>
    <row r="893" spans="1:30" ht="15.75" customHeight="1">
      <c r="A893" s="343" t="str">
        <f>IF(B893&lt;&gt;"",IF(AND(B893='IN-TC'!$S$4,OR(TH!N893="1111",TH!O893="1111")),TH!D893,""),"")</f>
        <v/>
      </c>
      <c r="B893" s="63" t="str">
        <f t="shared" si="83"/>
        <v/>
      </c>
      <c r="C893" s="320"/>
      <c r="D893" s="320"/>
      <c r="E893" s="320"/>
      <c r="F893" s="321"/>
      <c r="G893" s="321"/>
      <c r="H893" s="322"/>
      <c r="I893" s="447"/>
      <c r="J893" s="447"/>
      <c r="K893" s="438"/>
      <c r="L893" s="447"/>
      <c r="M893" s="65"/>
      <c r="N893" s="323"/>
      <c r="O893" s="323"/>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
      </c>
      <c r="U893" s="85" t="str">
        <f>IF(ISERROR(FIND('112'!$M$9,G893,1)),"",IF((AND(LEFT(G893,2)=LEFT('112'!$M$9,2),B893&lt;'112'!$K$9,$N893='112'!$I$6)),"x",""))</f>
        <v/>
      </c>
      <c r="V893" s="85" t="str">
        <f>IF(ISERROR(FIND('112'!$M$9,G893,1)),"",IF((AND(RIGHT(G893,2)=RIGHT('112'!$M$9,2),B893&lt;'112'!$K$9,$O893='112'!$I$6)),"x",""))</f>
        <v/>
      </c>
      <c r="W893" s="85" t="str">
        <f>IF(AND('341-CT'!$H$9=H893,OR(LEFT(N893,3)=$W$7,LEFT(O893,3)=$W$7)),"x","")</f>
        <v/>
      </c>
      <c r="X893" s="85" t="str">
        <f>IF(OR(TH!N893=TH!$X$7,O893=TH!$X$7),"x","")</f>
        <v/>
      </c>
      <c r="Y893" s="85" t="str">
        <f>IF(AND(OR(N893="131",O893="131"),H893='131-CT'!$H$9),"x","")</f>
        <v/>
      </c>
      <c r="Z893" s="85"/>
      <c r="AA893" s="85" t="str">
        <f>IF(AND(MONTH(E893)='IN-NX'!$J$5,'IN-NX'!$D$7=D893),"x","")</f>
        <v/>
      </c>
      <c r="AB893" s="85" t="str">
        <f>IF(AND(OR(LEFT(TH!N893,2)="15",LEFT(TH!O893,2)="15"),'152-CT'!$J$8=TH!F893),"x","")</f>
        <v/>
      </c>
      <c r="AC893" s="85" t="str">
        <f>IF(AND(OR(LEFT(TH!N893,2)="15",LEFT(TH!O893,2)="15"),TK!$E$7=TH!F893),"x","")</f>
        <v/>
      </c>
      <c r="AD893" s="85" t="str">
        <f>IF(AND(N893="1521",MONTH(C893)='BK-NL'!$M$11),"x","")</f>
        <v/>
      </c>
    </row>
    <row r="894" spans="1:30" ht="15.75" customHeight="1">
      <c r="A894" s="343" t="str">
        <f>IF(B894&lt;&gt;"",IF(AND(B894='IN-TC'!$S$4,OR(TH!N894="1111",TH!O894="1111")),TH!D894,""),"")</f>
        <v/>
      </c>
      <c r="B894" s="63" t="str">
        <f t="shared" si="83"/>
        <v/>
      </c>
      <c r="C894" s="320"/>
      <c r="D894" s="320"/>
      <c r="E894" s="320"/>
      <c r="F894" s="321"/>
      <c r="G894" s="321"/>
      <c r="H894" s="322"/>
      <c r="I894" s="447"/>
      <c r="J894" s="447"/>
      <c r="K894" s="438"/>
      <c r="L894" s="447"/>
      <c r="M894" s="65"/>
      <c r="N894" s="323"/>
      <c r="O894" s="323"/>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
      </c>
      <c r="U894" s="85" t="str">
        <f>IF(ISERROR(FIND('112'!$M$9,G894,1)),"",IF((AND(LEFT(G894,2)=LEFT('112'!$M$9,2),B894&lt;'112'!$K$9,$N894='112'!$I$6)),"x",""))</f>
        <v/>
      </c>
      <c r="V894" s="85" t="str">
        <f>IF(ISERROR(FIND('112'!$M$9,G894,1)),"",IF((AND(RIGHT(G894,2)=RIGHT('112'!$M$9,2),B894&lt;'112'!$K$9,$O894='112'!$I$6)),"x",""))</f>
        <v/>
      </c>
      <c r="W894" s="85" t="str">
        <f>IF(AND('341-CT'!$H$9=H894,OR(LEFT(N894,3)=$W$7,LEFT(O894,3)=$W$7)),"x","")</f>
        <v/>
      </c>
      <c r="X894" s="85" t="str">
        <f>IF(OR(TH!N894=TH!$X$7,O894=TH!$X$7),"x","")</f>
        <v/>
      </c>
      <c r="Y894" s="85" t="str">
        <f>IF(AND(OR(N894="131",O894="131"),H894='131-CT'!$H$9),"x","")</f>
        <v/>
      </c>
      <c r="Z894" s="85"/>
      <c r="AA894" s="85" t="str">
        <f>IF(AND(MONTH(E894)='IN-NX'!$J$5,'IN-NX'!$D$7=D894),"x","")</f>
        <v/>
      </c>
      <c r="AB894" s="85" t="str">
        <f>IF(AND(OR(LEFT(TH!N894,2)="15",LEFT(TH!O894,2)="15"),'152-CT'!$J$8=TH!F894),"x","")</f>
        <v/>
      </c>
      <c r="AC894" s="85" t="str">
        <f>IF(AND(OR(LEFT(TH!N894,2)="15",LEFT(TH!O894,2)="15"),TK!$E$7=TH!F894),"x","")</f>
        <v/>
      </c>
      <c r="AD894" s="85" t="str">
        <f>IF(AND(N894="1521",MONTH(C894)='BK-NL'!$M$11),"x","")</f>
        <v/>
      </c>
    </row>
    <row r="895" spans="1:30" ht="15.75" customHeight="1">
      <c r="A895" s="343" t="str">
        <f>IF(B895&lt;&gt;"",IF(AND(B895='IN-TC'!$S$4,OR(TH!N895="1111",TH!O895="1111")),TH!D895,""),"")</f>
        <v/>
      </c>
      <c r="B895" s="63" t="str">
        <f t="shared" si="83"/>
        <v/>
      </c>
      <c r="C895" s="320"/>
      <c r="D895" s="320"/>
      <c r="E895" s="320"/>
      <c r="F895" s="321"/>
      <c r="G895" s="321"/>
      <c r="H895" s="322"/>
      <c r="I895" s="447"/>
      <c r="J895" s="447"/>
      <c r="K895" s="438"/>
      <c r="L895" s="447"/>
      <c r="M895" s="65"/>
      <c r="N895" s="323"/>
      <c r="O895" s="323"/>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
      </c>
      <c r="U895" s="85" t="str">
        <f>IF(ISERROR(FIND('112'!$M$9,G895,1)),"",IF((AND(LEFT(G895,2)=LEFT('112'!$M$9,2),B895&lt;'112'!$K$9,$N895='112'!$I$6)),"x",""))</f>
        <v/>
      </c>
      <c r="V895" s="85" t="str">
        <f>IF(ISERROR(FIND('112'!$M$9,G895,1)),"",IF((AND(RIGHT(G895,2)=RIGHT('112'!$M$9,2),B895&lt;'112'!$K$9,$O895='112'!$I$6)),"x",""))</f>
        <v/>
      </c>
      <c r="W895" s="85" t="str">
        <f>IF(AND('341-CT'!$H$9=H895,OR(LEFT(N895,3)=$W$7,LEFT(O895,3)=$W$7)),"x","")</f>
        <v/>
      </c>
      <c r="X895" s="85" t="str">
        <f>IF(OR(TH!N895=TH!$X$7,O895=TH!$X$7),"x","")</f>
        <v/>
      </c>
      <c r="Y895" s="85" t="str">
        <f>IF(AND(OR(N895="131",O895="131"),H895='131-CT'!$H$9),"x","")</f>
        <v/>
      </c>
      <c r="Z895" s="85"/>
      <c r="AA895" s="85" t="str">
        <f>IF(AND(MONTH(E895)='IN-NX'!$J$5,'IN-NX'!$D$7=D895),"x","")</f>
        <v/>
      </c>
      <c r="AB895" s="85" t="str">
        <f>IF(AND(OR(LEFT(TH!N895,2)="15",LEFT(TH!O895,2)="15"),'152-CT'!$J$8=TH!F895),"x","")</f>
        <v/>
      </c>
      <c r="AC895" s="85" t="str">
        <f>IF(AND(OR(LEFT(TH!N895,2)="15",LEFT(TH!O895,2)="15"),TK!$E$7=TH!F895),"x","")</f>
        <v/>
      </c>
      <c r="AD895" s="85" t="str">
        <f>IF(AND(N895="1521",MONTH(C895)='BK-NL'!$M$11),"x","")</f>
        <v/>
      </c>
    </row>
    <row r="896" spans="1:30" ht="15.75" customHeight="1">
      <c r="A896" s="343" t="str">
        <f>IF(B896&lt;&gt;"",IF(AND(B896='IN-TC'!$S$4,OR(TH!N896="1111",TH!O896="1111")),TH!D896,""),"")</f>
        <v/>
      </c>
      <c r="B896" s="63" t="str">
        <f t="shared" si="83"/>
        <v/>
      </c>
      <c r="C896" s="320"/>
      <c r="D896" s="320"/>
      <c r="E896" s="320"/>
      <c r="F896" s="321"/>
      <c r="G896" s="321"/>
      <c r="H896" s="322"/>
      <c r="I896" s="447"/>
      <c r="J896" s="447"/>
      <c r="K896" s="438"/>
      <c r="L896" s="447"/>
      <c r="M896" s="65"/>
      <c r="N896" s="323"/>
      <c r="O896" s="323"/>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
      </c>
      <c r="U896" s="85" t="str">
        <f>IF(ISERROR(FIND('112'!$M$9,G896,1)),"",IF((AND(LEFT(G896,2)=LEFT('112'!$M$9,2),B896&lt;'112'!$K$9,$N896='112'!$I$6)),"x",""))</f>
        <v/>
      </c>
      <c r="V896" s="85" t="str">
        <f>IF(ISERROR(FIND('112'!$M$9,G896,1)),"",IF((AND(RIGHT(G896,2)=RIGHT('112'!$M$9,2),B896&lt;'112'!$K$9,$O896='112'!$I$6)),"x",""))</f>
        <v/>
      </c>
      <c r="W896" s="85" t="str">
        <f>IF(AND('341-CT'!$H$9=H896,OR(LEFT(N896,3)=$W$7,LEFT(O896,3)=$W$7)),"x","")</f>
        <v/>
      </c>
      <c r="X896" s="85" t="str">
        <f>IF(OR(TH!N896=TH!$X$7,O896=TH!$X$7),"x","")</f>
        <v/>
      </c>
      <c r="Y896" s="85" t="str">
        <f>IF(AND(OR(N896="131",O896="131"),H896='131-CT'!$H$9),"x","")</f>
        <v/>
      </c>
      <c r="Z896" s="85"/>
      <c r="AA896" s="85" t="str">
        <f>IF(AND(MONTH(E896)='IN-NX'!$J$5,'IN-NX'!$D$7=D896),"x","")</f>
        <v/>
      </c>
      <c r="AB896" s="85" t="str">
        <f>IF(AND(OR(LEFT(TH!N896,2)="15",LEFT(TH!O896,2)="15"),'152-CT'!$J$8=TH!F896),"x","")</f>
        <v/>
      </c>
      <c r="AC896" s="85" t="str">
        <f>IF(AND(OR(LEFT(TH!N896,2)="15",LEFT(TH!O896,2)="15"),TK!$E$7=TH!F896),"x","")</f>
        <v/>
      </c>
      <c r="AD896" s="85" t="str">
        <f>IF(AND(N896="1521",MONTH(C896)='BK-NL'!$M$11),"x","")</f>
        <v/>
      </c>
    </row>
    <row r="897" spans="1:30" ht="15.75" customHeight="1">
      <c r="A897" s="343" t="str">
        <f>IF(B897&lt;&gt;"",IF(AND(B897='IN-TC'!$S$4,OR(TH!N897="1111",TH!O897="1111")),TH!D897,""),"")</f>
        <v/>
      </c>
      <c r="B897" s="63" t="str">
        <f t="shared" si="83"/>
        <v/>
      </c>
      <c r="C897" s="64"/>
      <c r="D897" s="64"/>
      <c r="E897" s="64"/>
      <c r="F897" s="67"/>
      <c r="G897" s="996"/>
      <c r="H897" s="324"/>
      <c r="I897" s="445"/>
      <c r="J897" s="445"/>
      <c r="K897" s="436"/>
      <c r="L897" s="445"/>
      <c r="M897" s="65"/>
      <c r="N897" s="323"/>
      <c r="O897" s="66"/>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
      </c>
      <c r="U897" s="85" t="str">
        <f>IF(ISERROR(FIND('112'!$M$9,G897,1)),"",IF((AND(LEFT(G897,2)=LEFT('112'!$M$9,2),B897&lt;'112'!$K$9,$N897='112'!$I$6)),"x",""))</f>
        <v/>
      </c>
      <c r="V897" s="85" t="str">
        <f>IF(ISERROR(FIND('112'!$M$9,G897,1)),"",IF((AND(RIGHT(G897,2)=RIGHT('112'!$M$9,2),B897&lt;'112'!$K$9,$O897='112'!$I$6)),"x",""))</f>
        <v/>
      </c>
      <c r="W897" s="85" t="str">
        <f>IF(AND('341-CT'!$H$9=H897,OR(LEFT(N897,3)=$W$7,LEFT(O897,3)=$W$7)),"x","")</f>
        <v/>
      </c>
      <c r="X897" s="85" t="str">
        <f>IF(OR(TH!N897=TH!$X$7,O897=TH!$X$7),"x","")</f>
        <v/>
      </c>
      <c r="Y897" s="85" t="str">
        <f>IF(AND(OR(N897="131",O897="131"),H897='131-CT'!$H$9),"x","")</f>
        <v/>
      </c>
      <c r="Z897" s="85"/>
      <c r="AA897" s="85" t="str">
        <f>IF(AND(MONTH(E897)='IN-NX'!$J$5,'IN-NX'!$D$7=D897),"x","")</f>
        <v/>
      </c>
      <c r="AB897" s="85" t="str">
        <f>IF(AND(OR(LEFT(TH!N897,2)="15",LEFT(TH!O897,2)="15"),'152-CT'!$J$8=TH!F897),"x","")</f>
        <v/>
      </c>
      <c r="AC897" s="85" t="str">
        <f>IF(AND(OR(LEFT(TH!N897,2)="15",LEFT(TH!O897,2)="15"),TK!$E$7=TH!F897),"x","")</f>
        <v/>
      </c>
      <c r="AD897" s="85" t="str">
        <f>IF(AND(N897="1521",MONTH(C897)='BK-NL'!$M$11),"x","")</f>
        <v/>
      </c>
    </row>
    <row r="898" spans="1:30" ht="15.75" customHeight="1">
      <c r="A898" s="343" t="str">
        <f>IF(B898&lt;&gt;"",IF(AND(B898='IN-TC'!$S$4,OR(TH!N898="1111",TH!O898="1111")),TH!D898,""),"")</f>
        <v/>
      </c>
      <c r="B898" s="63" t="str">
        <f t="shared" si="83"/>
        <v/>
      </c>
      <c r="C898" s="64"/>
      <c r="D898" s="64"/>
      <c r="E898" s="64"/>
      <c r="F898" s="67"/>
      <c r="G898" s="996"/>
      <c r="H898" s="324"/>
      <c r="I898" s="445"/>
      <c r="J898" s="445"/>
      <c r="K898" s="436"/>
      <c r="L898" s="445"/>
      <c r="M898" s="65"/>
      <c r="N898" s="323"/>
      <c r="O898" s="66"/>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
      </c>
      <c r="U898" s="85" t="str">
        <f>IF(ISERROR(FIND('112'!$M$9,G898,1)),"",IF((AND(LEFT(G898,2)=LEFT('112'!$M$9,2),B898&lt;'112'!$K$9,$N898='112'!$I$6)),"x",""))</f>
        <v/>
      </c>
      <c r="V898" s="85" t="str">
        <f>IF(ISERROR(FIND('112'!$M$9,G898,1)),"",IF((AND(RIGHT(G898,2)=RIGHT('112'!$M$9,2),B898&lt;'112'!$K$9,$O898='112'!$I$6)),"x",""))</f>
        <v/>
      </c>
      <c r="W898" s="85" t="str">
        <f>IF(AND('341-CT'!$H$9=H898,OR(LEFT(N898,3)=$W$7,LEFT(O898,3)=$W$7)),"x","")</f>
        <v/>
      </c>
      <c r="X898" s="85" t="str">
        <f>IF(OR(TH!N898=TH!$X$7,O898=TH!$X$7),"x","")</f>
        <v/>
      </c>
      <c r="Y898" s="85" t="str">
        <f>IF(AND(OR(N898="131",O898="131"),H898='131-CT'!$H$9),"x","")</f>
        <v/>
      </c>
      <c r="Z898" s="85"/>
      <c r="AA898" s="85" t="str">
        <f>IF(AND(MONTH(E898)='IN-NX'!$J$5,'IN-NX'!$D$7=D898),"x","")</f>
        <v/>
      </c>
      <c r="AB898" s="85" t="str">
        <f>IF(AND(OR(LEFT(TH!N898,2)="15",LEFT(TH!O898,2)="15"),'152-CT'!$J$8=TH!F898),"x","")</f>
        <v/>
      </c>
      <c r="AC898" s="85" t="str">
        <f>IF(AND(OR(LEFT(TH!N898,2)="15",LEFT(TH!O898,2)="15"),TK!$E$7=TH!F898),"x","")</f>
        <v/>
      </c>
      <c r="AD898" s="85" t="str">
        <f>IF(AND(N898="1521",MONTH(C898)='BK-NL'!$M$11),"x","")</f>
        <v/>
      </c>
    </row>
    <row r="899" spans="1:30" ht="15.75" customHeight="1">
      <c r="A899" s="343" t="str">
        <f>IF(B899&lt;&gt;"",IF(AND(B899='IN-TC'!$S$4,OR(TH!N899="1111",TH!O899="1111")),TH!D899,""),"")</f>
        <v/>
      </c>
      <c r="B899" s="63" t="str">
        <f t="shared" si="83"/>
        <v/>
      </c>
      <c r="C899" s="64"/>
      <c r="D899" s="64"/>
      <c r="E899" s="64"/>
      <c r="F899" s="67"/>
      <c r="G899" s="996"/>
      <c r="H899" s="322"/>
      <c r="I899" s="447"/>
      <c r="J899" s="447"/>
      <c r="K899" s="438"/>
      <c r="L899" s="447"/>
      <c r="M899" s="65"/>
      <c r="N899" s="66"/>
      <c r="O899" s="66"/>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
      </c>
      <c r="U899" s="85" t="str">
        <f>IF(ISERROR(FIND('112'!$M$9,G899,1)),"",IF((AND(LEFT(G899,2)=LEFT('112'!$M$9,2),B899&lt;'112'!$K$9,$N899='112'!$I$6)),"x",""))</f>
        <v/>
      </c>
      <c r="V899" s="85" t="str">
        <f>IF(ISERROR(FIND('112'!$M$9,G899,1)),"",IF((AND(RIGHT(G899,2)=RIGHT('112'!$M$9,2),B899&lt;'112'!$K$9,$O899='112'!$I$6)),"x",""))</f>
        <v/>
      </c>
      <c r="W899" s="85" t="str">
        <f>IF(AND('341-CT'!$H$9=H899,OR(LEFT(N899,3)=$W$7,LEFT(O899,3)=$W$7)),"x","")</f>
        <v/>
      </c>
      <c r="X899" s="85" t="str">
        <f>IF(OR(TH!N899=TH!$X$7,O899=TH!$X$7),"x","")</f>
        <v/>
      </c>
      <c r="Y899" s="85" t="str">
        <f>IF(AND(OR(N899="131",O899="131"),H899='131-CT'!$H$9),"x","")</f>
        <v/>
      </c>
      <c r="Z899" s="85"/>
      <c r="AA899" s="85" t="str">
        <f>IF(AND(MONTH(E899)='IN-NX'!$J$5,'IN-NX'!$D$7=D899),"x","")</f>
        <v/>
      </c>
      <c r="AB899" s="85" t="str">
        <f>IF(AND(OR(LEFT(TH!N899,2)="15",LEFT(TH!O899,2)="15"),'152-CT'!$J$8=TH!F899),"x","")</f>
        <v/>
      </c>
      <c r="AC899" s="85" t="str">
        <f>IF(AND(OR(LEFT(TH!N899,2)="15",LEFT(TH!O899,2)="15"),TK!$E$7=TH!F899),"x","")</f>
        <v/>
      </c>
      <c r="AD899" s="85" t="str">
        <f>IF(AND(N899="1521",MONTH(C899)='BK-NL'!$M$11),"x","")</f>
        <v/>
      </c>
    </row>
    <row r="900" spans="1:30" ht="15.75" customHeight="1">
      <c r="A900" s="343" t="str">
        <f>IF(B900&lt;&gt;"",IF(AND(B900='IN-TC'!$S$4,OR(TH!N900="1111",TH!O900="1111")),TH!D900,""),"")</f>
        <v/>
      </c>
      <c r="B900" s="63" t="str">
        <f t="shared" si="83"/>
        <v/>
      </c>
      <c r="C900" s="64"/>
      <c r="D900" s="64"/>
      <c r="E900" s="64"/>
      <c r="F900" s="67"/>
      <c r="G900" s="996"/>
      <c r="H900" s="322"/>
      <c r="I900" s="447"/>
      <c r="J900" s="447"/>
      <c r="K900" s="438"/>
      <c r="L900" s="447"/>
      <c r="M900" s="65"/>
      <c r="N900" s="66"/>
      <c r="O900" s="66"/>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
      </c>
      <c r="U900" s="85" t="str">
        <f>IF(ISERROR(FIND('112'!$M$9,G900,1)),"",IF((AND(LEFT(G900,2)=LEFT('112'!$M$9,2),B900&lt;'112'!$K$9,$N900='112'!$I$6)),"x",""))</f>
        <v/>
      </c>
      <c r="V900" s="85" t="str">
        <f>IF(ISERROR(FIND('112'!$M$9,G900,1)),"",IF((AND(RIGHT(G900,2)=RIGHT('112'!$M$9,2),B900&lt;'112'!$K$9,$O900='112'!$I$6)),"x",""))</f>
        <v/>
      </c>
      <c r="W900" s="85" t="str">
        <f>IF(AND('341-CT'!$H$9=H900,OR(LEFT(N900,3)=$W$7,LEFT(O900,3)=$W$7)),"x","")</f>
        <v/>
      </c>
      <c r="X900" s="85" t="str">
        <f>IF(OR(TH!N900=TH!$X$7,O900=TH!$X$7),"x","")</f>
        <v/>
      </c>
      <c r="Y900" s="85" t="str">
        <f>IF(AND(OR(N900="131",O900="131"),H900='131-CT'!$H$9),"x","")</f>
        <v/>
      </c>
      <c r="Z900" s="85"/>
      <c r="AA900" s="85" t="str">
        <f>IF(AND(MONTH(E900)='IN-NX'!$J$5,'IN-NX'!$D$7=D900),"x","")</f>
        <v/>
      </c>
      <c r="AB900" s="85" t="str">
        <f>IF(AND(OR(LEFT(TH!N900,2)="15",LEFT(TH!O900,2)="15"),'152-CT'!$J$8=TH!F900),"x","")</f>
        <v/>
      </c>
      <c r="AC900" s="85" t="str">
        <f>IF(AND(OR(LEFT(TH!N900,2)="15",LEFT(TH!O900,2)="15"),TK!$E$7=TH!F900),"x","")</f>
        <v/>
      </c>
      <c r="AD900" s="85" t="str">
        <f>IF(AND(N900="1521",MONTH(C900)='BK-NL'!$M$11),"x","")</f>
        <v/>
      </c>
    </row>
    <row r="901" spans="1:30" ht="15.75" customHeight="1">
      <c r="A901" s="343" t="str">
        <f>IF(B901&lt;&gt;"",IF(AND(B901='IN-TC'!$S$4,OR(TH!N901="1111",TH!O901="1111")),TH!D901,""),"")</f>
        <v/>
      </c>
      <c r="B901" s="63" t="str">
        <f t="shared" si="83"/>
        <v/>
      </c>
      <c r="C901" s="64"/>
      <c r="D901" s="64"/>
      <c r="E901" s="64"/>
      <c r="F901" s="67"/>
      <c r="G901" s="996"/>
      <c r="H901" s="74"/>
      <c r="I901" s="447"/>
      <c r="J901" s="447"/>
      <c r="K901" s="438"/>
      <c r="L901" s="447"/>
      <c r="M901" s="65"/>
      <c r="N901" s="66"/>
      <c r="O901" s="66"/>
      <c r="P901" s="85" t="str">
        <f>IF(AND('331-CT'!$E$7=TH!H901,OR(N901="331",O901="331")),"x","")</f>
        <v/>
      </c>
      <c r="Q901" s="85" t="str">
        <f>IF(AND(B901='111'!$L$11,OR($N901=$Q$7,$O901=$Q$7)),"x","")</f>
        <v/>
      </c>
      <c r="R901" s="85" t="str">
        <f>IF(AND($N901=$Q$7,$B901&lt;'111'!$L$11),"x","")</f>
        <v/>
      </c>
      <c r="S901" s="85" t="str">
        <f>IF(AND($O901=$Q$7,$B901&lt;'111'!$L$11),"x","")</f>
        <v/>
      </c>
      <c r="T901" s="85" t="str">
        <f>IF(ISERROR(FIND('112'!$M$9,G901,1)),"",IF((AND(FIND('112'!$M$9,G901,1)&gt;=1,B901='112'!$K$9,OR($N901='112'!$I$6,$O901='112'!$I$6))),"x",""))</f>
        <v/>
      </c>
      <c r="U901" s="85" t="str">
        <f>IF(ISERROR(FIND('112'!$M$9,G901,1)),"",IF((AND(LEFT(G901,2)=LEFT('112'!$M$9,2),B901&lt;'112'!$K$9,$N901='112'!$I$6)),"x",""))</f>
        <v/>
      </c>
      <c r="V901" s="85" t="str">
        <f>IF(ISERROR(FIND('112'!$M$9,G901,1)),"",IF((AND(RIGHT(G901,2)=RIGHT('112'!$M$9,2),B901&lt;'112'!$K$9,$O901='112'!$I$6)),"x",""))</f>
        <v/>
      </c>
      <c r="W901" s="85" t="str">
        <f>IF(AND('341-CT'!$H$9=H901,OR(LEFT(N901,3)=$W$7,LEFT(O901,3)=$W$7)),"x","")</f>
        <v/>
      </c>
      <c r="X901" s="85" t="str">
        <f>IF(OR(TH!N901=TH!$X$7,O901=TH!$X$7),"x","")</f>
        <v/>
      </c>
      <c r="Y901" s="85" t="str">
        <f>IF(AND(OR(N901="131",O901="131"),H901='131-CT'!$H$9),"x","")</f>
        <v/>
      </c>
      <c r="Z901" s="85"/>
      <c r="AA901" s="85" t="str">
        <f>IF(AND(MONTH(E901)='IN-NX'!$J$5,'IN-NX'!$D$7=D901),"x","")</f>
        <v/>
      </c>
      <c r="AB901" s="85" t="str">
        <f>IF(AND(OR(LEFT(TH!N901,2)="15",LEFT(TH!O901,2)="15"),'152-CT'!$J$8=TH!F901),"x","")</f>
        <v/>
      </c>
      <c r="AC901" s="85" t="str">
        <f>IF(AND(OR(LEFT(TH!N901,2)="15",LEFT(TH!O901,2)="15"),TK!$E$7=TH!F901),"x","")</f>
        <v/>
      </c>
      <c r="AD901" s="85" t="str">
        <f>IF(AND(N901="1521",MONTH(C901)='BK-NL'!$M$11),"x","")</f>
        <v/>
      </c>
    </row>
    <row r="902" spans="1:30" ht="15.75" customHeight="1">
      <c r="A902" s="343" t="str">
        <f>IF(B902&lt;&gt;"",IF(AND(B902='IN-TC'!$S$4,OR(TH!N902="1111",TH!O902="1111")),TH!D902,""),"")</f>
        <v/>
      </c>
      <c r="B902" s="63" t="str">
        <f t="shared" si="83"/>
        <v/>
      </c>
      <c r="C902" s="64"/>
      <c r="D902" s="64"/>
      <c r="E902" s="64"/>
      <c r="F902" s="67"/>
      <c r="G902" s="996"/>
      <c r="H902" s="74"/>
      <c r="I902" s="447"/>
      <c r="J902" s="447"/>
      <c r="K902" s="438"/>
      <c r="L902" s="447"/>
      <c r="M902" s="65"/>
      <c r="N902" s="66"/>
      <c r="O902" s="66"/>
      <c r="P902" s="85" t="str">
        <f>IF(AND('331-CT'!$E$7=TH!H902,OR(N902="331",O902="331")),"x","")</f>
        <v/>
      </c>
      <c r="Q902" s="85" t="str">
        <f>IF(AND(B902='111'!$L$11,OR($N902=$Q$7,$O902=$Q$7)),"x","")</f>
        <v/>
      </c>
      <c r="R902" s="85" t="str">
        <f>IF(AND($N902=$Q$7,$B902&lt;'111'!$L$11),"x","")</f>
        <v/>
      </c>
      <c r="S902" s="85" t="str">
        <f>IF(AND($O902=$Q$7,$B902&lt;'111'!$L$11),"x","")</f>
        <v/>
      </c>
      <c r="T902" s="85" t="str">
        <f>IF(ISERROR(FIND('112'!$M$9,G902,1)),"",IF((AND(FIND('112'!$M$9,G902,1)&gt;=1,B902='112'!$K$9,OR($N902='112'!$I$6,$O902='112'!$I$6))),"x",""))</f>
        <v/>
      </c>
      <c r="U902" s="85" t="str">
        <f>IF(ISERROR(FIND('112'!$M$9,G902,1)),"",IF((AND(LEFT(G902,2)=LEFT('112'!$M$9,2),B902&lt;'112'!$K$9,$N902='112'!$I$6)),"x",""))</f>
        <v/>
      </c>
      <c r="V902" s="85" t="str">
        <f>IF(ISERROR(FIND('112'!$M$9,G902,1)),"",IF((AND(RIGHT(G902,2)=RIGHT('112'!$M$9,2),B902&lt;'112'!$K$9,$O902='112'!$I$6)),"x",""))</f>
        <v/>
      </c>
      <c r="W902" s="85" t="str">
        <f>IF(AND('341-CT'!$H$9=H902,OR(LEFT(N902,3)=$W$7,LEFT(O902,3)=$W$7)),"x","")</f>
        <v/>
      </c>
      <c r="X902" s="85" t="str">
        <f>IF(OR(TH!N902=TH!$X$7,O902=TH!$X$7),"x","")</f>
        <v/>
      </c>
      <c r="Y902" s="85" t="str">
        <f>IF(AND(OR(N902="131",O902="131"),H902='131-CT'!$H$9),"x","")</f>
        <v/>
      </c>
      <c r="Z902" s="85"/>
      <c r="AA902" s="85" t="str">
        <f>IF(AND(MONTH(E902)='IN-NX'!$J$5,'IN-NX'!$D$7=D902),"x","")</f>
        <v/>
      </c>
      <c r="AB902" s="85" t="str">
        <f>IF(AND(OR(LEFT(TH!N902,2)="15",LEFT(TH!O902,2)="15"),'152-CT'!$J$8=TH!F902),"x","")</f>
        <v/>
      </c>
      <c r="AC902" s="85" t="str">
        <f>IF(AND(OR(LEFT(TH!N902,2)="15",LEFT(TH!O902,2)="15"),TK!$E$7=TH!F902),"x","")</f>
        <v/>
      </c>
      <c r="AD902" s="85" t="str">
        <f>IF(AND(N902="1521",MONTH(C902)='BK-NL'!$M$11),"x","")</f>
        <v/>
      </c>
    </row>
    <row r="903" spans="1:30" ht="15.75" customHeight="1">
      <c r="A903" s="343" t="str">
        <f>IF(B903&lt;&gt;"",IF(AND(B903='IN-TC'!$S$4,OR(TH!N903="1111",TH!O903="1111")),TH!D903,""),"")</f>
        <v/>
      </c>
      <c r="B903" s="63" t="str">
        <f t="shared" si="83"/>
        <v/>
      </c>
      <c r="C903" s="64"/>
      <c r="D903" s="64"/>
      <c r="E903" s="64"/>
      <c r="F903" s="67"/>
      <c r="G903" s="996"/>
      <c r="H903" s="74"/>
      <c r="I903" s="447"/>
      <c r="J903" s="447"/>
      <c r="K903" s="438"/>
      <c r="L903" s="447"/>
      <c r="M903" s="65"/>
      <c r="N903" s="66"/>
      <c r="O903" s="66"/>
      <c r="P903" s="85" t="str">
        <f>IF(AND('331-CT'!$E$7=TH!H903,OR(N903="331",O903="331")),"x","")</f>
        <v/>
      </c>
      <c r="Q903" s="85" t="str">
        <f>IF(AND(B903='111'!$L$11,OR($N903=$Q$7,$O903=$Q$7)),"x","")</f>
        <v/>
      </c>
      <c r="R903" s="85" t="str">
        <f>IF(AND($N903=$Q$7,$B903&lt;'111'!$L$11),"x","")</f>
        <v/>
      </c>
      <c r="S903" s="85" t="str">
        <f>IF(AND($O903=$Q$7,$B903&lt;'111'!$L$11),"x","")</f>
        <v/>
      </c>
      <c r="T903" s="85" t="str">
        <f>IF(ISERROR(FIND('112'!$M$9,G903,1)),"",IF((AND(FIND('112'!$M$9,G903,1)&gt;=1,B903='112'!$K$9,OR($N903='112'!$I$6,$O903='112'!$I$6))),"x",""))</f>
        <v/>
      </c>
      <c r="U903" s="85" t="str">
        <f>IF(ISERROR(FIND('112'!$M$9,G903,1)),"",IF((AND(LEFT(G903,2)=LEFT('112'!$M$9,2),B903&lt;'112'!$K$9,$N903='112'!$I$6)),"x",""))</f>
        <v/>
      </c>
      <c r="V903" s="85" t="str">
        <f>IF(ISERROR(FIND('112'!$M$9,G903,1)),"",IF((AND(RIGHT(G903,2)=RIGHT('112'!$M$9,2),B903&lt;'112'!$K$9,$O903='112'!$I$6)),"x",""))</f>
        <v/>
      </c>
      <c r="W903" s="85" t="str">
        <f>IF(AND('341-CT'!$H$9=H903,OR(LEFT(N903,3)=$W$7,LEFT(O903,3)=$W$7)),"x","")</f>
        <v/>
      </c>
      <c r="X903" s="85" t="str">
        <f>IF(OR(TH!N903=TH!$X$7,O903=TH!$X$7),"x","")</f>
        <v/>
      </c>
      <c r="Y903" s="85" t="str">
        <f>IF(AND(OR(N903="131",O903="131"),H903='131-CT'!$H$9),"x","")</f>
        <v/>
      </c>
      <c r="Z903" s="85"/>
      <c r="AA903" s="85" t="str">
        <f>IF(AND(MONTH(E903)='IN-NX'!$J$5,'IN-NX'!$D$7=D903),"x","")</f>
        <v/>
      </c>
      <c r="AB903" s="85" t="str">
        <f>IF(AND(OR(LEFT(TH!N903,2)="15",LEFT(TH!O903,2)="15"),'152-CT'!$J$8=TH!F903),"x","")</f>
        <v/>
      </c>
      <c r="AC903" s="85" t="str">
        <f>IF(AND(OR(LEFT(TH!N903,2)="15",LEFT(TH!O903,2)="15"),TK!$E$7=TH!F903),"x","")</f>
        <v/>
      </c>
      <c r="AD903" s="85" t="str">
        <f>IF(AND(N903="1521",MONTH(C903)='BK-NL'!$M$11),"x","")</f>
        <v/>
      </c>
    </row>
    <row r="904" spans="1:30" ht="15.75" customHeight="1">
      <c r="A904" s="343" t="str">
        <f>IF(B904&lt;&gt;"",IF(AND(B904='IN-TC'!$S$4,OR(TH!N904="1111",TH!O904="1111")),TH!D904,""),"")</f>
        <v/>
      </c>
      <c r="B904" s="63" t="str">
        <f t="shared" si="83"/>
        <v/>
      </c>
      <c r="C904" s="320"/>
      <c r="D904" s="320"/>
      <c r="E904" s="320"/>
      <c r="F904" s="321"/>
      <c r="G904" s="321"/>
      <c r="H904" s="322"/>
      <c r="I904" s="447"/>
      <c r="J904" s="447"/>
      <c r="K904" s="438"/>
      <c r="L904" s="447"/>
      <c r="M904" s="65"/>
      <c r="N904" s="323"/>
      <c r="O904" s="323"/>
      <c r="P904" s="85" t="str">
        <f>IF(AND('331-CT'!$E$7=TH!H904,OR(N904="331",O904="331")),"x","")</f>
        <v/>
      </c>
      <c r="Q904" s="85" t="str">
        <f>IF(AND(B904='111'!$L$11,OR($N904=$Q$7,$O904=$Q$7)),"x","")</f>
        <v/>
      </c>
      <c r="R904" s="85" t="str">
        <f>IF(AND($N904=$Q$7,$B904&lt;'111'!$L$11),"x","")</f>
        <v/>
      </c>
      <c r="S904" s="85" t="str">
        <f>IF(AND($O904=$Q$7,$B904&lt;'111'!$L$11),"x","")</f>
        <v/>
      </c>
      <c r="T904" s="85" t="str">
        <f>IF(ISERROR(FIND('112'!$M$9,G904,1)),"",IF((AND(FIND('112'!$M$9,G904,1)&gt;=1,B904='112'!$K$9,OR($N904='112'!$I$6,$O904='112'!$I$6))),"x",""))</f>
        <v/>
      </c>
      <c r="U904" s="85" t="str">
        <f>IF(ISERROR(FIND('112'!$M$9,G904,1)),"",IF((AND(LEFT(G904,2)=LEFT('112'!$M$9,2),B904&lt;'112'!$K$9,$N904='112'!$I$6)),"x",""))</f>
        <v/>
      </c>
      <c r="V904" s="85" t="str">
        <f>IF(ISERROR(FIND('112'!$M$9,G904,1)),"",IF((AND(RIGHT(G904,2)=RIGHT('112'!$M$9,2),B904&lt;'112'!$K$9,$O904='112'!$I$6)),"x",""))</f>
        <v/>
      </c>
      <c r="W904" s="85" t="str">
        <f>IF(AND('341-CT'!$H$9=H904,OR(LEFT(N904,3)=$W$7,LEFT(O904,3)=$W$7)),"x","")</f>
        <v/>
      </c>
      <c r="X904" s="85" t="str">
        <f>IF(OR(TH!N904=TH!$X$7,O904=TH!$X$7),"x","")</f>
        <v/>
      </c>
      <c r="Y904" s="85" t="str">
        <f>IF(AND(OR(N904="131",O904="131"),H904='131-CT'!$H$9),"x","")</f>
        <v/>
      </c>
      <c r="Z904" s="85"/>
      <c r="AA904" s="85" t="str">
        <f>IF(AND(MONTH(E904)='IN-NX'!$J$5,'IN-NX'!$D$7=D904),"x","")</f>
        <v/>
      </c>
      <c r="AB904" s="85" t="str">
        <f>IF(AND(OR(LEFT(TH!N904,2)="15",LEFT(TH!O904,2)="15"),'152-CT'!$J$8=TH!F904),"x","")</f>
        <v/>
      </c>
      <c r="AC904" s="85" t="str">
        <f>IF(AND(OR(LEFT(TH!N904,2)="15",LEFT(TH!O904,2)="15"),TK!$E$7=TH!F904),"x","")</f>
        <v/>
      </c>
      <c r="AD904" s="85" t="str">
        <f>IF(AND(N904="1521",MONTH(C904)='BK-NL'!$M$11),"x","")</f>
        <v/>
      </c>
    </row>
    <row r="905" spans="1:30" ht="15.75" customHeight="1">
      <c r="A905" s="343" t="str">
        <f>IF(B905&lt;&gt;"",IF(AND(B905='IN-TC'!$S$4,OR(TH!N905="1111",TH!O905="1111")),TH!D905,""),"")</f>
        <v/>
      </c>
      <c r="B905" s="63" t="str">
        <f t="shared" si="83"/>
        <v/>
      </c>
      <c r="C905" s="320"/>
      <c r="D905" s="320"/>
      <c r="E905" s="320"/>
      <c r="F905" s="321"/>
      <c r="G905" s="321"/>
      <c r="H905" s="322"/>
      <c r="I905" s="447"/>
      <c r="J905" s="447"/>
      <c r="K905" s="438"/>
      <c r="L905" s="447"/>
      <c r="M905" s="65"/>
      <c r="N905" s="323"/>
      <c r="O905" s="323"/>
      <c r="P905" s="85" t="str">
        <f>IF(AND('331-CT'!$E$7=TH!H905,OR(N905="331",O905="331")),"x","")</f>
        <v/>
      </c>
      <c r="Q905" s="85" t="str">
        <f>IF(AND(B905='111'!$L$11,OR($N905=$Q$7,$O905=$Q$7)),"x","")</f>
        <v/>
      </c>
      <c r="R905" s="85" t="str">
        <f>IF(AND($N905=$Q$7,$B905&lt;'111'!$L$11),"x","")</f>
        <v/>
      </c>
      <c r="S905" s="85" t="str">
        <f>IF(AND($O905=$Q$7,$B905&lt;'111'!$L$11),"x","")</f>
        <v/>
      </c>
      <c r="T905" s="85" t="str">
        <f>IF(ISERROR(FIND('112'!$M$9,G905,1)),"",IF((AND(FIND('112'!$M$9,G905,1)&gt;=1,B905='112'!$K$9,OR($N905='112'!$I$6,$O905='112'!$I$6))),"x",""))</f>
        <v/>
      </c>
      <c r="U905" s="85" t="str">
        <f>IF(ISERROR(FIND('112'!$M$9,G905,1)),"",IF((AND(LEFT(G905,2)=LEFT('112'!$M$9,2),B905&lt;'112'!$K$9,$N905='112'!$I$6)),"x",""))</f>
        <v/>
      </c>
      <c r="V905" s="85" t="str">
        <f>IF(ISERROR(FIND('112'!$M$9,G905,1)),"",IF((AND(RIGHT(G905,2)=RIGHT('112'!$M$9,2),B905&lt;'112'!$K$9,$O905='112'!$I$6)),"x",""))</f>
        <v/>
      </c>
      <c r="W905" s="85" t="str">
        <f>IF(AND('341-CT'!$H$9=H905,OR(LEFT(N905,3)=$W$7,LEFT(O905,3)=$W$7)),"x","")</f>
        <v/>
      </c>
      <c r="X905" s="85" t="str">
        <f>IF(OR(TH!N905=TH!$X$7,O905=TH!$X$7),"x","")</f>
        <v/>
      </c>
      <c r="Y905" s="85" t="str">
        <f>IF(AND(OR(N905="131",O905="131"),H905='131-CT'!$H$9),"x","")</f>
        <v/>
      </c>
      <c r="Z905" s="85"/>
      <c r="AA905" s="85" t="str">
        <f>IF(AND(MONTH(E905)='IN-NX'!$J$5,'IN-NX'!$D$7=D905),"x","")</f>
        <v/>
      </c>
      <c r="AB905" s="85" t="str">
        <f>IF(AND(OR(LEFT(TH!N905,2)="15",LEFT(TH!O905,2)="15"),'152-CT'!$J$8=TH!F905),"x","")</f>
        <v/>
      </c>
      <c r="AC905" s="85" t="str">
        <f>IF(AND(OR(LEFT(TH!N905,2)="15",LEFT(TH!O905,2)="15"),TK!$E$7=TH!F905),"x","")</f>
        <v/>
      </c>
      <c r="AD905" s="85" t="str">
        <f>IF(AND(N905="1521",MONTH(C905)='BK-NL'!$M$11),"x","")</f>
        <v/>
      </c>
    </row>
    <row r="906" spans="1:30" ht="15.75" customHeight="1">
      <c r="A906" s="343" t="str">
        <f>IF(B906&lt;&gt;"",IF(AND(B906='IN-TC'!$S$4,OR(TH!N906="1111",TH!O906="1111")),TH!D906,""),"")</f>
        <v/>
      </c>
      <c r="B906" s="63" t="str">
        <f t="shared" si="83"/>
        <v/>
      </c>
      <c r="C906" s="320"/>
      <c r="D906" s="320"/>
      <c r="E906" s="320"/>
      <c r="F906" s="321"/>
      <c r="G906" s="321"/>
      <c r="H906" s="322"/>
      <c r="I906" s="447"/>
      <c r="J906" s="447"/>
      <c r="K906" s="438"/>
      <c r="L906" s="447"/>
      <c r="M906" s="65"/>
      <c r="N906" s="323"/>
      <c r="O906" s="323"/>
      <c r="P906" s="85" t="str">
        <f>IF(AND('331-CT'!$E$7=TH!H906,OR(N906="331",O906="331")),"x","")</f>
        <v/>
      </c>
      <c r="Q906" s="85" t="str">
        <f>IF(AND(B906='111'!$L$11,OR($N906=$Q$7,$O906=$Q$7)),"x","")</f>
        <v/>
      </c>
      <c r="R906" s="85" t="str">
        <f>IF(AND($N906=$Q$7,$B906&lt;'111'!$L$11),"x","")</f>
        <v/>
      </c>
      <c r="S906" s="85" t="str">
        <f>IF(AND($O906=$Q$7,$B906&lt;'111'!$L$11),"x","")</f>
        <v/>
      </c>
      <c r="T906" s="85" t="str">
        <f>IF(ISERROR(FIND('112'!$M$9,G906,1)),"",IF((AND(FIND('112'!$M$9,G906,1)&gt;=1,B906='112'!$K$9,OR($N906='112'!$I$6,$O906='112'!$I$6))),"x",""))</f>
        <v/>
      </c>
      <c r="U906" s="85" t="str">
        <f>IF(ISERROR(FIND('112'!$M$9,G906,1)),"",IF((AND(LEFT(G906,2)=LEFT('112'!$M$9,2),B906&lt;'112'!$K$9,$N906='112'!$I$6)),"x",""))</f>
        <v/>
      </c>
      <c r="V906" s="85" t="str">
        <f>IF(ISERROR(FIND('112'!$M$9,G906,1)),"",IF((AND(RIGHT(G906,2)=RIGHT('112'!$M$9,2),B906&lt;'112'!$K$9,$O906='112'!$I$6)),"x",""))</f>
        <v/>
      </c>
      <c r="W906" s="85" t="str">
        <f>IF(AND('341-CT'!$H$9=H906,OR(LEFT(N906,3)=$W$7,LEFT(O906,3)=$W$7)),"x","")</f>
        <v/>
      </c>
      <c r="X906" s="85" t="str">
        <f>IF(OR(TH!N906=TH!$X$7,O906=TH!$X$7),"x","")</f>
        <v/>
      </c>
      <c r="Y906" s="85" t="str">
        <f>IF(AND(OR(N906="131",O906="131"),H906='131-CT'!$H$9),"x","")</f>
        <v/>
      </c>
      <c r="Z906" s="85"/>
      <c r="AA906" s="85" t="str">
        <f>IF(AND(MONTH(E906)='IN-NX'!$J$5,'IN-NX'!$D$7=D906),"x","")</f>
        <v/>
      </c>
      <c r="AB906" s="85" t="str">
        <f>IF(AND(OR(LEFT(TH!N906,2)="15",LEFT(TH!O906,2)="15"),'152-CT'!$J$8=TH!F906),"x","")</f>
        <v/>
      </c>
      <c r="AC906" s="85" t="str">
        <f>IF(AND(OR(LEFT(TH!N906,2)="15",LEFT(TH!O906,2)="15"),TK!$E$7=TH!F906),"x","")</f>
        <v/>
      </c>
      <c r="AD906" s="85" t="str">
        <f>IF(AND(N906="1521",MONTH(C906)='BK-NL'!$M$11),"x","")</f>
        <v/>
      </c>
    </row>
    <row r="907" spans="1:30" ht="15.75" customHeight="1">
      <c r="A907" s="343" t="str">
        <f>IF(B907&lt;&gt;"",IF(AND(B907='IN-TC'!$S$4,OR(TH!N907="1111",TH!O907="1111")),TH!D907,""),"")</f>
        <v/>
      </c>
      <c r="B907" s="63" t="str">
        <f t="shared" si="83"/>
        <v/>
      </c>
      <c r="C907" s="320"/>
      <c r="D907" s="320"/>
      <c r="E907" s="320"/>
      <c r="F907" s="321"/>
      <c r="G907" s="321"/>
      <c r="H907" s="322"/>
      <c r="I907" s="447"/>
      <c r="J907" s="447"/>
      <c r="K907" s="438"/>
      <c r="L907" s="447"/>
      <c r="M907" s="65"/>
      <c r="N907" s="323"/>
      <c r="O907" s="323"/>
      <c r="P907" s="85" t="str">
        <f>IF(AND('331-CT'!$E$7=TH!H907,OR(N907="331",O907="331")),"x","")</f>
        <v/>
      </c>
      <c r="Q907" s="85" t="str">
        <f>IF(AND(B907='111'!$L$11,OR($N907=$Q$7,$O907=$Q$7)),"x","")</f>
        <v/>
      </c>
      <c r="R907" s="85" t="str">
        <f>IF(AND($N907=$Q$7,$B907&lt;'111'!$L$11),"x","")</f>
        <v/>
      </c>
      <c r="S907" s="85" t="str">
        <f>IF(AND($O907=$Q$7,$B907&lt;'111'!$L$11),"x","")</f>
        <v/>
      </c>
      <c r="T907" s="85" t="str">
        <f>IF(ISERROR(FIND('112'!$M$9,G907,1)),"",IF((AND(FIND('112'!$M$9,G907,1)&gt;=1,B907='112'!$K$9,OR($N907='112'!$I$6,$O907='112'!$I$6))),"x",""))</f>
        <v/>
      </c>
      <c r="U907" s="85" t="str">
        <f>IF(ISERROR(FIND('112'!$M$9,G907,1)),"",IF((AND(LEFT(G907,2)=LEFT('112'!$M$9,2),B907&lt;'112'!$K$9,$N907='112'!$I$6)),"x",""))</f>
        <v/>
      </c>
      <c r="V907" s="85" t="str">
        <f>IF(ISERROR(FIND('112'!$M$9,G907,1)),"",IF((AND(RIGHT(G907,2)=RIGHT('112'!$M$9,2),B907&lt;'112'!$K$9,$O907='112'!$I$6)),"x",""))</f>
        <v/>
      </c>
      <c r="W907" s="85" t="str">
        <f>IF(AND('341-CT'!$H$9=H907,OR(LEFT(N907,3)=$W$7,LEFT(O907,3)=$W$7)),"x","")</f>
        <v/>
      </c>
      <c r="X907" s="85" t="str">
        <f>IF(OR(TH!N907=TH!$X$7,O907=TH!$X$7),"x","")</f>
        <v/>
      </c>
      <c r="Y907" s="85" t="str">
        <f>IF(AND(OR(N907="131",O907="131"),H907='131-CT'!$H$9),"x","")</f>
        <v/>
      </c>
      <c r="Z907" s="85"/>
      <c r="AA907" s="85" t="str">
        <f>IF(AND(MONTH(E907)='IN-NX'!$J$5,'IN-NX'!$D$7=D907),"x","")</f>
        <v/>
      </c>
      <c r="AB907" s="85" t="str">
        <f>IF(AND(OR(LEFT(TH!N907,2)="15",LEFT(TH!O907,2)="15"),'152-CT'!$J$8=TH!F907),"x","")</f>
        <v/>
      </c>
      <c r="AC907" s="85" t="str">
        <f>IF(AND(OR(LEFT(TH!N907,2)="15",LEFT(TH!O907,2)="15"),TK!$E$7=TH!F907),"x","")</f>
        <v/>
      </c>
      <c r="AD907" s="85" t="str">
        <f>IF(AND(N907="1521",MONTH(C907)='BK-NL'!$M$11),"x","")</f>
        <v/>
      </c>
    </row>
    <row r="908" spans="1:30" ht="15.75" customHeight="1">
      <c r="A908" s="343" t="str">
        <f>IF(B908&lt;&gt;"",IF(AND(B908='IN-TC'!$S$4,OR(TH!N908="1111",TH!O908="1111")),TH!D908,""),"")</f>
        <v/>
      </c>
      <c r="B908" s="63" t="str">
        <f t="shared" si="83"/>
        <v/>
      </c>
      <c r="C908" s="320"/>
      <c r="D908" s="320"/>
      <c r="E908" s="320"/>
      <c r="F908" s="321"/>
      <c r="G908" s="321"/>
      <c r="H908" s="322"/>
      <c r="I908" s="447"/>
      <c r="J908" s="447"/>
      <c r="K908" s="438"/>
      <c r="L908" s="447"/>
      <c r="M908" s="65"/>
      <c r="N908" s="323"/>
      <c r="O908" s="323"/>
      <c r="P908" s="85" t="str">
        <f>IF(AND('331-CT'!$E$7=TH!H908,OR(N908="331",O908="331")),"x","")</f>
        <v/>
      </c>
      <c r="Q908" s="85" t="str">
        <f>IF(AND(B908='111'!$L$11,OR($N908=$Q$7,$O908=$Q$7)),"x","")</f>
        <v/>
      </c>
      <c r="R908" s="85" t="str">
        <f>IF(AND($N908=$Q$7,$B908&lt;'111'!$L$11),"x","")</f>
        <v/>
      </c>
      <c r="S908" s="85" t="str">
        <f>IF(AND($O908=$Q$7,$B908&lt;'111'!$L$11),"x","")</f>
        <v/>
      </c>
      <c r="T908" s="85" t="str">
        <f>IF(ISERROR(FIND('112'!$M$9,G908,1)),"",IF((AND(FIND('112'!$M$9,G908,1)&gt;=1,B908='112'!$K$9,OR($N908='112'!$I$6,$O908='112'!$I$6))),"x",""))</f>
        <v/>
      </c>
      <c r="U908" s="85" t="str">
        <f>IF(ISERROR(FIND('112'!$M$9,G908,1)),"",IF((AND(LEFT(G908,2)=LEFT('112'!$M$9,2),B908&lt;'112'!$K$9,$N908='112'!$I$6)),"x",""))</f>
        <v/>
      </c>
      <c r="V908" s="85" t="str">
        <f>IF(ISERROR(FIND('112'!$M$9,G908,1)),"",IF((AND(RIGHT(G908,2)=RIGHT('112'!$M$9,2),B908&lt;'112'!$K$9,$O908='112'!$I$6)),"x",""))</f>
        <v/>
      </c>
      <c r="W908" s="85" t="str">
        <f>IF(AND('341-CT'!$H$9=H908,OR(LEFT(N908,3)=$W$7,LEFT(O908,3)=$W$7)),"x","")</f>
        <v/>
      </c>
      <c r="X908" s="85" t="str">
        <f>IF(OR(TH!N908=TH!$X$7,O908=TH!$X$7),"x","")</f>
        <v/>
      </c>
      <c r="Y908" s="85" t="str">
        <f>IF(AND(OR(N908="131",O908="131"),H908='131-CT'!$H$9),"x","")</f>
        <v/>
      </c>
      <c r="Z908" s="85"/>
      <c r="AA908" s="85" t="str">
        <f>IF(AND(MONTH(E908)='IN-NX'!$J$5,'IN-NX'!$D$7=D908),"x","")</f>
        <v/>
      </c>
      <c r="AB908" s="85" t="str">
        <f>IF(AND(OR(LEFT(TH!N908,2)="15",LEFT(TH!O908,2)="15"),'152-CT'!$J$8=TH!F908),"x","")</f>
        <v/>
      </c>
      <c r="AC908" s="85" t="str">
        <f>IF(AND(OR(LEFT(TH!N908,2)="15",LEFT(TH!O908,2)="15"),TK!$E$7=TH!F908),"x","")</f>
        <v/>
      </c>
      <c r="AD908" s="85" t="str">
        <f>IF(AND(N908="1521",MONTH(C908)='BK-NL'!$M$11),"x","")</f>
        <v/>
      </c>
    </row>
    <row r="909" spans="1:30" ht="15.75" customHeight="1">
      <c r="A909" s="343" t="str">
        <f>IF(B909&lt;&gt;"",IF(AND(B909='IN-TC'!$S$4,OR(TH!N909="1111",TH!O909="1111")),TH!D909,""),"")</f>
        <v/>
      </c>
      <c r="B909" s="63" t="str">
        <f t="shared" si="83"/>
        <v/>
      </c>
      <c r="C909" s="320"/>
      <c r="D909" s="320"/>
      <c r="E909" s="320"/>
      <c r="F909" s="321"/>
      <c r="G909" s="321"/>
      <c r="H909" s="322"/>
      <c r="I909" s="447"/>
      <c r="J909" s="447"/>
      <c r="K909" s="438"/>
      <c r="L909" s="447"/>
      <c r="M909" s="65"/>
      <c r="N909" s="323"/>
      <c r="O909" s="323"/>
      <c r="P909" s="85" t="str">
        <f>IF(AND('331-CT'!$E$7=TH!H909,OR(N909="331",O909="331")),"x","")</f>
        <v/>
      </c>
      <c r="Q909" s="85" t="str">
        <f>IF(AND(B909='111'!$L$11,OR($N909=$Q$7,$O909=$Q$7)),"x","")</f>
        <v/>
      </c>
      <c r="R909" s="85" t="str">
        <f>IF(AND($N909=$Q$7,$B909&lt;'111'!$L$11),"x","")</f>
        <v/>
      </c>
      <c r="S909" s="85" t="str">
        <f>IF(AND($O909=$Q$7,$B909&lt;'111'!$L$11),"x","")</f>
        <v/>
      </c>
      <c r="T909" s="85" t="str">
        <f>IF(ISERROR(FIND('112'!$M$9,G909,1)),"",IF((AND(FIND('112'!$M$9,G909,1)&gt;=1,B909='112'!$K$9,OR($N909='112'!$I$6,$O909='112'!$I$6))),"x",""))</f>
        <v/>
      </c>
      <c r="U909" s="85" t="str">
        <f>IF(ISERROR(FIND('112'!$M$9,G909,1)),"",IF((AND(LEFT(G909,2)=LEFT('112'!$M$9,2),B909&lt;'112'!$K$9,$N909='112'!$I$6)),"x",""))</f>
        <v/>
      </c>
      <c r="V909" s="85" t="str">
        <f>IF(ISERROR(FIND('112'!$M$9,G909,1)),"",IF((AND(RIGHT(G909,2)=RIGHT('112'!$M$9,2),B909&lt;'112'!$K$9,$O909='112'!$I$6)),"x",""))</f>
        <v/>
      </c>
      <c r="W909" s="85" t="str">
        <f>IF(AND('341-CT'!$H$9=H909,OR(LEFT(N909,3)=$W$7,LEFT(O909,3)=$W$7)),"x","")</f>
        <v/>
      </c>
      <c r="X909" s="85" t="str">
        <f>IF(OR(TH!N909=TH!$X$7,O909=TH!$X$7),"x","")</f>
        <v/>
      </c>
      <c r="Y909" s="85" t="str">
        <f>IF(AND(OR(N909="131",O909="131"),H909='131-CT'!$H$9),"x","")</f>
        <v/>
      </c>
      <c r="Z909" s="85"/>
      <c r="AA909" s="85" t="str">
        <f>IF(AND(MONTH(E909)='IN-NX'!$J$5,'IN-NX'!$D$7=D909),"x","")</f>
        <v/>
      </c>
      <c r="AB909" s="85" t="str">
        <f>IF(AND(OR(LEFT(TH!N909,2)="15",LEFT(TH!O909,2)="15"),'152-CT'!$J$8=TH!F909),"x","")</f>
        <v/>
      </c>
      <c r="AC909" s="85" t="str">
        <f>IF(AND(OR(LEFT(TH!N909,2)="15",LEFT(TH!O909,2)="15"),TK!$E$7=TH!F909),"x","")</f>
        <v/>
      </c>
      <c r="AD909" s="85" t="str">
        <f>IF(AND(N909="1521",MONTH(C909)='BK-NL'!$M$11),"x","")</f>
        <v/>
      </c>
    </row>
    <row r="910" spans="1:30" ht="15.75" customHeight="1">
      <c r="A910" s="343" t="str">
        <f>IF(B910&lt;&gt;"",IF(AND(B910='IN-TC'!$S$4,OR(TH!N910="1111",TH!O910="1111")),TH!D910,""),"")</f>
        <v/>
      </c>
      <c r="B910" s="63" t="str">
        <f t="shared" si="83"/>
        <v/>
      </c>
      <c r="C910" s="320"/>
      <c r="D910" s="320"/>
      <c r="E910" s="320"/>
      <c r="F910" s="321"/>
      <c r="G910" s="321"/>
      <c r="H910" s="322"/>
      <c r="I910" s="447"/>
      <c r="J910" s="447"/>
      <c r="K910" s="438"/>
      <c r="L910" s="447"/>
      <c r="M910" s="65"/>
      <c r="N910" s="323"/>
      <c r="O910" s="323"/>
      <c r="P910" s="85" t="str">
        <f>IF(AND('331-CT'!$E$7=TH!H910,OR(N910="331",O910="331")),"x","")</f>
        <v/>
      </c>
      <c r="Q910" s="85" t="str">
        <f>IF(AND(B910='111'!$L$11,OR($N910=$Q$7,$O910=$Q$7)),"x","")</f>
        <v/>
      </c>
      <c r="R910" s="85" t="str">
        <f>IF(AND($N910=$Q$7,$B910&lt;'111'!$L$11),"x","")</f>
        <v/>
      </c>
      <c r="S910" s="85" t="str">
        <f>IF(AND($O910=$Q$7,$B910&lt;'111'!$L$11),"x","")</f>
        <v/>
      </c>
      <c r="T910" s="85" t="str">
        <f>IF(ISERROR(FIND('112'!$M$9,G910,1)),"",IF((AND(FIND('112'!$M$9,G910,1)&gt;=1,B910='112'!$K$9,OR($N910='112'!$I$6,$O910='112'!$I$6))),"x",""))</f>
        <v/>
      </c>
      <c r="U910" s="85" t="str">
        <f>IF(ISERROR(FIND('112'!$M$9,G910,1)),"",IF((AND(LEFT(G910,2)=LEFT('112'!$M$9,2),B910&lt;'112'!$K$9,$N910='112'!$I$6)),"x",""))</f>
        <v/>
      </c>
      <c r="V910" s="85" t="str">
        <f>IF(ISERROR(FIND('112'!$M$9,G910,1)),"",IF((AND(RIGHT(G910,2)=RIGHT('112'!$M$9,2),B910&lt;'112'!$K$9,$O910='112'!$I$6)),"x",""))</f>
        <v/>
      </c>
      <c r="W910" s="85" t="str">
        <f>IF(AND('341-CT'!$H$9=H910,OR(LEFT(N910,3)=$W$7,LEFT(O910,3)=$W$7)),"x","")</f>
        <v/>
      </c>
      <c r="X910" s="85" t="str">
        <f>IF(OR(TH!N910=TH!$X$7,O910=TH!$X$7),"x","")</f>
        <v/>
      </c>
      <c r="Y910" s="85" t="str">
        <f>IF(AND(OR(N910="131",O910="131"),H910='131-CT'!$H$9),"x","")</f>
        <v/>
      </c>
      <c r="Z910" s="85"/>
      <c r="AA910" s="85" t="str">
        <f>IF(AND(MONTH(E910)='IN-NX'!$J$5,'IN-NX'!$D$7=D910),"x","")</f>
        <v/>
      </c>
      <c r="AB910" s="85" t="str">
        <f>IF(AND(OR(LEFT(TH!N910,2)="15",LEFT(TH!O910,2)="15"),'152-CT'!$J$8=TH!F910),"x","")</f>
        <v/>
      </c>
      <c r="AC910" s="85" t="str">
        <f>IF(AND(OR(LEFT(TH!N910,2)="15",LEFT(TH!O910,2)="15"),TK!$E$7=TH!F910),"x","")</f>
        <v/>
      </c>
      <c r="AD910" s="85" t="str">
        <f>IF(AND(N910="1521",MONTH(C910)='BK-NL'!$M$11),"x","")</f>
        <v/>
      </c>
    </row>
    <row r="911" spans="1:30" ht="15.75" customHeight="1">
      <c r="A911" s="343" t="str">
        <f>IF(B911&lt;&gt;"",IF(AND(B911='IN-TC'!$S$4,OR(TH!N911="1111",TH!O911="1111")),TH!D911,""),"")</f>
        <v/>
      </c>
      <c r="B911" s="63" t="str">
        <f t="shared" si="83"/>
        <v/>
      </c>
      <c r="C911" s="320"/>
      <c r="D911" s="320"/>
      <c r="E911" s="320"/>
      <c r="F911" s="321"/>
      <c r="G911" s="321"/>
      <c r="H911" s="322"/>
      <c r="I911" s="447"/>
      <c r="J911" s="447"/>
      <c r="K911" s="438"/>
      <c r="L911" s="447"/>
      <c r="M911" s="65"/>
      <c r="N911" s="323"/>
      <c r="O911" s="323"/>
      <c r="P911" s="85" t="str">
        <f>IF(AND('331-CT'!$E$7=TH!H911,OR(N911="331",O911="331")),"x","")</f>
        <v/>
      </c>
      <c r="Q911" s="85" t="str">
        <f>IF(AND(B911='111'!$L$11,OR($N911=$Q$7,$O911=$Q$7)),"x","")</f>
        <v/>
      </c>
      <c r="R911" s="85" t="str">
        <f>IF(AND($N911=$Q$7,$B911&lt;'111'!$L$11),"x","")</f>
        <v/>
      </c>
      <c r="S911" s="85" t="str">
        <f>IF(AND($O911=$Q$7,$B911&lt;'111'!$L$11),"x","")</f>
        <v/>
      </c>
      <c r="T911" s="85" t="str">
        <f>IF(ISERROR(FIND('112'!$M$9,G911,1)),"",IF((AND(FIND('112'!$M$9,G911,1)&gt;=1,B911='112'!$K$9,OR($N911='112'!$I$6,$O911='112'!$I$6))),"x",""))</f>
        <v/>
      </c>
      <c r="U911" s="85" t="str">
        <f>IF(ISERROR(FIND('112'!$M$9,G911,1)),"",IF((AND(LEFT(G911,2)=LEFT('112'!$M$9,2),B911&lt;'112'!$K$9,$N911='112'!$I$6)),"x",""))</f>
        <v/>
      </c>
      <c r="V911" s="85" t="str">
        <f>IF(ISERROR(FIND('112'!$M$9,G911,1)),"",IF((AND(RIGHT(G911,2)=RIGHT('112'!$M$9,2),B911&lt;'112'!$K$9,$O911='112'!$I$6)),"x",""))</f>
        <v/>
      </c>
      <c r="W911" s="85" t="str">
        <f>IF(AND('341-CT'!$H$9=H911,OR(LEFT(N911,3)=$W$7,LEFT(O911,3)=$W$7)),"x","")</f>
        <v/>
      </c>
      <c r="X911" s="85" t="str">
        <f>IF(OR(TH!N911=TH!$X$7,O911=TH!$X$7),"x","")</f>
        <v/>
      </c>
      <c r="Y911" s="85" t="str">
        <f>IF(AND(OR(N911="131",O911="131"),H911='131-CT'!$H$9),"x","")</f>
        <v/>
      </c>
      <c r="Z911" s="85"/>
      <c r="AA911" s="85" t="str">
        <f>IF(AND(MONTH(E911)='IN-NX'!$J$5,'IN-NX'!$D$7=D911),"x","")</f>
        <v/>
      </c>
      <c r="AB911" s="85" t="str">
        <f>IF(AND(OR(LEFT(TH!N911,2)="15",LEFT(TH!O911,2)="15"),'152-CT'!$J$8=TH!F911),"x","")</f>
        <v/>
      </c>
      <c r="AC911" s="85" t="str">
        <f>IF(AND(OR(LEFT(TH!N911,2)="15",LEFT(TH!O911,2)="15"),TK!$E$7=TH!F911),"x","")</f>
        <v/>
      </c>
      <c r="AD911" s="85" t="str">
        <f>IF(AND(N911="1521",MONTH(C911)='BK-NL'!$M$11),"x","")</f>
        <v/>
      </c>
    </row>
    <row r="912" spans="1:30" ht="15.75" customHeight="1">
      <c r="A912" s="343" t="str">
        <f>IF(B912&lt;&gt;"",IF(AND(B912='IN-TC'!$S$4,OR(TH!N912="1111",TH!O912="1111")),TH!D912,""),"")</f>
        <v/>
      </c>
      <c r="B912" s="63" t="str">
        <f t="shared" si="83"/>
        <v/>
      </c>
      <c r="C912" s="320"/>
      <c r="D912" s="320"/>
      <c r="E912" s="320"/>
      <c r="F912" s="321"/>
      <c r="G912" s="321"/>
      <c r="H912" s="322"/>
      <c r="I912" s="447"/>
      <c r="J912" s="447"/>
      <c r="K912" s="438"/>
      <c r="L912" s="447"/>
      <c r="M912" s="65"/>
      <c r="N912" s="323"/>
      <c r="O912" s="323"/>
      <c r="P912" s="85" t="str">
        <f>IF(AND('331-CT'!$E$7=TH!H912,OR(N912="331",O912="331")),"x","")</f>
        <v/>
      </c>
      <c r="Q912" s="85" t="str">
        <f>IF(AND(B912='111'!$L$11,OR($N912=$Q$7,$O912=$Q$7)),"x","")</f>
        <v/>
      </c>
      <c r="R912" s="85" t="str">
        <f>IF(AND($N912=$Q$7,$B912&lt;'111'!$L$11),"x","")</f>
        <v/>
      </c>
      <c r="S912" s="85" t="str">
        <f>IF(AND($O912=$Q$7,$B912&lt;'111'!$L$11),"x","")</f>
        <v/>
      </c>
      <c r="T912" s="85" t="str">
        <f>IF(ISERROR(FIND('112'!$M$9,G912,1)),"",IF((AND(FIND('112'!$M$9,G912,1)&gt;=1,B912='112'!$K$9,OR($N912='112'!$I$6,$O912='112'!$I$6))),"x",""))</f>
        <v/>
      </c>
      <c r="U912" s="85" t="str">
        <f>IF(ISERROR(FIND('112'!$M$9,G912,1)),"",IF((AND(LEFT(G912,2)=LEFT('112'!$M$9,2),B912&lt;'112'!$K$9,$N912='112'!$I$6)),"x",""))</f>
        <v/>
      </c>
      <c r="V912" s="85" t="str">
        <f>IF(ISERROR(FIND('112'!$M$9,G912,1)),"",IF((AND(RIGHT(G912,2)=RIGHT('112'!$M$9,2),B912&lt;'112'!$K$9,$O912='112'!$I$6)),"x",""))</f>
        <v/>
      </c>
      <c r="W912" s="85" t="str">
        <f>IF(AND('341-CT'!$H$9=H912,OR(LEFT(N912,3)=$W$7,LEFT(O912,3)=$W$7)),"x","")</f>
        <v/>
      </c>
      <c r="X912" s="85" t="str">
        <f>IF(OR(TH!N912=TH!$X$7,O912=TH!$X$7),"x","")</f>
        <v/>
      </c>
      <c r="Y912" s="85" t="str">
        <f>IF(AND(OR(N912="131",O912="131"),H912='131-CT'!$H$9),"x","")</f>
        <v/>
      </c>
      <c r="Z912" s="85"/>
      <c r="AA912" s="85" t="str">
        <f>IF(AND(MONTH(E912)='IN-NX'!$J$5,'IN-NX'!$D$7=D912),"x","")</f>
        <v/>
      </c>
      <c r="AB912" s="85" t="str">
        <f>IF(AND(OR(LEFT(TH!N912,2)="15",LEFT(TH!O912,2)="15"),'152-CT'!$J$8=TH!F912),"x","")</f>
        <v/>
      </c>
      <c r="AC912" s="85" t="str">
        <f>IF(AND(OR(LEFT(TH!N912,2)="15",LEFT(TH!O912,2)="15"),TK!$E$7=TH!F912),"x","")</f>
        <v/>
      </c>
      <c r="AD912" s="85" t="str">
        <f>IF(AND(N912="1521",MONTH(C912)='BK-NL'!$M$11),"x","")</f>
        <v/>
      </c>
    </row>
    <row r="913" spans="1:30" ht="15.75" customHeight="1">
      <c r="A913" s="343" t="str">
        <f>IF(B913&lt;&gt;"",IF(AND(B913='IN-TC'!$S$4,OR(TH!N913="1111",TH!O913="1111")),TH!D913,""),"")</f>
        <v/>
      </c>
      <c r="B913" s="63" t="str">
        <f t="shared" si="83"/>
        <v/>
      </c>
      <c r="C913" s="64"/>
      <c r="D913" s="64"/>
      <c r="E913" s="64"/>
      <c r="F913" s="67"/>
      <c r="G913" s="996"/>
      <c r="H913" s="351"/>
      <c r="I913" s="449"/>
      <c r="J913" s="449"/>
      <c r="K913" s="440"/>
      <c r="L913" s="449"/>
      <c r="M913" s="336"/>
      <c r="N913" s="323"/>
      <c r="O913" s="66"/>
      <c r="P913" s="85" t="str">
        <f>IF(AND('331-CT'!$E$7=TH!H913,OR(N913="331",O913="331")),"x","")</f>
        <v/>
      </c>
      <c r="Q913" s="85" t="str">
        <f>IF(AND(B913='111'!$L$11,OR($N913=$Q$7,$O913=$Q$7)),"x","")</f>
        <v/>
      </c>
      <c r="R913" s="85" t="str">
        <f>IF(AND($N913=$Q$7,$B913&lt;'111'!$L$11),"x","")</f>
        <v/>
      </c>
      <c r="S913" s="85" t="str">
        <f>IF(AND($O913=$Q$7,$B913&lt;'111'!$L$11),"x","")</f>
        <v/>
      </c>
      <c r="T913" s="85" t="str">
        <f>IF(ISERROR(FIND('112'!$M$9,G913,1)),"",IF((AND(FIND('112'!$M$9,G913,1)&gt;=1,B913='112'!$K$9,OR($N913='112'!$I$6,$O913='112'!$I$6))),"x",""))</f>
        <v/>
      </c>
      <c r="U913" s="85" t="str">
        <f>IF(ISERROR(FIND('112'!$M$9,G913,1)),"",IF((AND(LEFT(G913,2)=LEFT('112'!$M$9,2),B913&lt;'112'!$K$9,$N913='112'!$I$6)),"x",""))</f>
        <v/>
      </c>
      <c r="V913" s="85" t="str">
        <f>IF(ISERROR(FIND('112'!$M$9,G913,1)),"",IF((AND(RIGHT(G913,2)=RIGHT('112'!$M$9,2),B913&lt;'112'!$K$9,$O913='112'!$I$6)),"x",""))</f>
        <v/>
      </c>
      <c r="W913" s="85" t="str">
        <f>IF(AND('341-CT'!$H$9=H913,OR(LEFT(N913,3)=$W$7,LEFT(O913,3)=$W$7)),"x","")</f>
        <v/>
      </c>
      <c r="X913" s="85" t="str">
        <f>IF(OR(TH!N913=TH!$X$7,O913=TH!$X$7),"x","")</f>
        <v/>
      </c>
      <c r="Y913" s="85" t="str">
        <f>IF(AND(OR(N913="131",O913="131"),H913='131-CT'!$H$9),"x","")</f>
        <v/>
      </c>
      <c r="Z913" s="85"/>
      <c r="AA913" s="85" t="str">
        <f>IF(AND(MONTH(E913)='IN-NX'!$J$5,'IN-NX'!$D$7=D913),"x","")</f>
        <v/>
      </c>
      <c r="AB913" s="85" t="str">
        <f>IF(AND(OR(LEFT(TH!N913,2)="15",LEFT(TH!O913,2)="15"),'152-CT'!$J$8=TH!F913),"x","")</f>
        <v/>
      </c>
      <c r="AC913" s="85" t="str">
        <f>IF(AND(OR(LEFT(TH!N913,2)="15",LEFT(TH!O913,2)="15"),TK!$E$7=TH!F913),"x","")</f>
        <v/>
      </c>
      <c r="AD913" s="85" t="str">
        <f>IF(AND(N913="1521",MONTH(C913)='BK-NL'!$M$11),"x","")</f>
        <v/>
      </c>
    </row>
    <row r="914" spans="1:30" ht="15.75" customHeight="1">
      <c r="A914" s="343" t="str">
        <f>IF(B914&lt;&gt;"",IF(AND(B914='IN-TC'!$S$4,OR(TH!N914="1111",TH!O914="1111")),TH!D914,""),"")</f>
        <v/>
      </c>
      <c r="B914" s="63" t="str">
        <f t="shared" si="83"/>
        <v/>
      </c>
      <c r="C914" s="64"/>
      <c r="D914" s="64"/>
      <c r="E914" s="64"/>
      <c r="F914" s="67"/>
      <c r="G914" s="996"/>
      <c r="H914" s="351"/>
      <c r="I914" s="449"/>
      <c r="J914" s="449"/>
      <c r="K914" s="440"/>
      <c r="L914" s="449"/>
      <c r="M914" s="65"/>
      <c r="N914" s="323"/>
      <c r="O914" s="66"/>
      <c r="P914" s="85" t="str">
        <f>IF(AND('331-CT'!$E$7=TH!H914,OR(N914="331",O914="331")),"x","")</f>
        <v/>
      </c>
      <c r="Q914" s="85" t="str">
        <f>IF(AND(B914='111'!$L$11,OR($N914=$Q$7,$O914=$Q$7)),"x","")</f>
        <v/>
      </c>
      <c r="R914" s="85" t="str">
        <f>IF(AND($N914=$Q$7,$B914&lt;'111'!$L$11),"x","")</f>
        <v/>
      </c>
      <c r="S914" s="85" t="str">
        <f>IF(AND($O914=$Q$7,$B914&lt;'111'!$L$11),"x","")</f>
        <v/>
      </c>
      <c r="T914" s="85" t="str">
        <f>IF(ISERROR(FIND('112'!$M$9,G914,1)),"",IF((AND(FIND('112'!$M$9,G914,1)&gt;=1,B914='112'!$K$9,OR($N914='112'!$I$6,$O914='112'!$I$6))),"x",""))</f>
        <v/>
      </c>
      <c r="U914" s="85" t="str">
        <f>IF(ISERROR(FIND('112'!$M$9,G914,1)),"",IF((AND(LEFT(G914,2)=LEFT('112'!$M$9,2),B914&lt;'112'!$K$9,$N914='112'!$I$6)),"x",""))</f>
        <v/>
      </c>
      <c r="V914" s="85" t="str">
        <f>IF(ISERROR(FIND('112'!$M$9,G914,1)),"",IF((AND(RIGHT(G914,2)=RIGHT('112'!$M$9,2),B914&lt;'112'!$K$9,$O914='112'!$I$6)),"x",""))</f>
        <v/>
      </c>
      <c r="W914" s="85" t="str">
        <f>IF(AND('341-CT'!$H$9=H914,OR(LEFT(N914,3)=$W$7,LEFT(O914,3)=$W$7)),"x","")</f>
        <v/>
      </c>
      <c r="X914" s="85" t="str">
        <f>IF(OR(TH!N914=TH!$X$7,O914=TH!$X$7),"x","")</f>
        <v/>
      </c>
      <c r="Y914" s="85" t="str">
        <f>IF(AND(OR(N914="131",O914="131"),H914='131-CT'!$H$9),"x","")</f>
        <v/>
      </c>
      <c r="Z914" s="85"/>
      <c r="AA914" s="85" t="str">
        <f>IF(AND(MONTH(E914)='IN-NX'!$J$5,'IN-NX'!$D$7=D914),"x","")</f>
        <v/>
      </c>
      <c r="AB914" s="85" t="str">
        <f>IF(AND(OR(LEFT(TH!N914,2)="15",LEFT(TH!O914,2)="15"),'152-CT'!$J$8=TH!F914),"x","")</f>
        <v/>
      </c>
      <c r="AC914" s="85" t="str">
        <f>IF(AND(OR(LEFT(TH!N914,2)="15",LEFT(TH!O914,2)="15"),TK!$E$7=TH!F914),"x","")</f>
        <v/>
      </c>
      <c r="AD914" s="85" t="str">
        <f>IF(AND(N914="1521",MONTH(C914)='BK-NL'!$M$11),"x","")</f>
        <v/>
      </c>
    </row>
    <row r="915" spans="1:30" ht="15.75" customHeight="1">
      <c r="A915" s="343" t="str">
        <f>IF(B915&lt;&gt;"",IF(AND(B915='IN-TC'!$S$4,OR(TH!N915="1111",TH!O915="1111")),TH!D915,""),"")</f>
        <v/>
      </c>
      <c r="B915" s="63" t="str">
        <f t="shared" si="83"/>
        <v/>
      </c>
      <c r="C915" s="64"/>
      <c r="D915" s="64"/>
      <c r="E915" s="64"/>
      <c r="F915" s="67"/>
      <c r="G915" s="996"/>
      <c r="H915" s="74"/>
      <c r="I915" s="447"/>
      <c r="J915" s="447"/>
      <c r="K915" s="438"/>
      <c r="L915" s="447"/>
      <c r="M915" s="65"/>
      <c r="N915" s="66"/>
      <c r="O915" s="66"/>
      <c r="P915" s="85" t="str">
        <f>IF(AND('331-CT'!$E$7=TH!H915,OR(N915="331",O915="331")),"x","")</f>
        <v/>
      </c>
      <c r="Q915" s="85" t="str">
        <f>IF(AND(B915='111'!$L$11,OR($N915=$Q$7,$O915=$Q$7)),"x","")</f>
        <v/>
      </c>
      <c r="R915" s="85" t="str">
        <f>IF(AND($N915=$Q$7,$B915&lt;'111'!$L$11),"x","")</f>
        <v/>
      </c>
      <c r="S915" s="85" t="str">
        <f>IF(AND($O915=$Q$7,$B915&lt;'111'!$L$11),"x","")</f>
        <v/>
      </c>
      <c r="T915" s="85" t="str">
        <f>IF(ISERROR(FIND('112'!$M$9,G915,1)),"",IF((AND(FIND('112'!$M$9,G915,1)&gt;=1,B915='112'!$K$9,OR($N915='112'!$I$6,$O915='112'!$I$6))),"x",""))</f>
        <v/>
      </c>
      <c r="U915" s="85" t="str">
        <f>IF(ISERROR(FIND('112'!$M$9,G915,1)),"",IF((AND(LEFT(G915,2)=LEFT('112'!$M$9,2),B915&lt;'112'!$K$9,$N915='112'!$I$6)),"x",""))</f>
        <v/>
      </c>
      <c r="V915" s="85" t="str">
        <f>IF(ISERROR(FIND('112'!$M$9,G915,1)),"",IF((AND(RIGHT(G915,2)=RIGHT('112'!$M$9,2),B915&lt;'112'!$K$9,$O915='112'!$I$6)),"x",""))</f>
        <v/>
      </c>
      <c r="W915" s="85" t="str">
        <f>IF(AND('341-CT'!$H$9=H915,OR(LEFT(N915,3)=$W$7,LEFT(O915,3)=$W$7)),"x","")</f>
        <v/>
      </c>
      <c r="X915" s="85" t="str">
        <f>IF(OR(TH!N915=TH!$X$7,O915=TH!$X$7),"x","")</f>
        <v/>
      </c>
      <c r="Y915" s="85" t="str">
        <f>IF(AND(OR(N915="131",O915="131"),H915='131-CT'!$H$9),"x","")</f>
        <v/>
      </c>
      <c r="Z915" s="85"/>
      <c r="AA915" s="85" t="str">
        <f>IF(AND(MONTH(E915)='IN-NX'!$J$5,'IN-NX'!$D$7=D915),"x","")</f>
        <v/>
      </c>
      <c r="AB915" s="85" t="str">
        <f>IF(AND(OR(LEFT(TH!N915,2)="15",LEFT(TH!O915,2)="15"),'152-CT'!$J$8=TH!F915),"x","")</f>
        <v/>
      </c>
      <c r="AC915" s="85" t="str">
        <f>IF(AND(OR(LEFT(TH!N915,2)="15",LEFT(TH!O915,2)="15"),TK!$E$7=TH!F915),"x","")</f>
        <v/>
      </c>
      <c r="AD915" s="85" t="str">
        <f>IF(AND(N915="1521",MONTH(C915)='BK-NL'!$M$11),"x","")</f>
        <v/>
      </c>
    </row>
    <row r="916" spans="1:30" ht="15.75" customHeight="1">
      <c r="A916" s="343" t="str">
        <f>IF(B916&lt;&gt;"",IF(AND(B916='IN-TC'!$S$4,OR(TH!N916="1111",TH!O916="1111")),TH!D916,""),"")</f>
        <v/>
      </c>
      <c r="B916" s="63" t="str">
        <f t="shared" si="83"/>
        <v/>
      </c>
      <c r="C916" s="64"/>
      <c r="D916" s="64"/>
      <c r="E916" s="64"/>
      <c r="F916" s="67"/>
      <c r="G916" s="996"/>
      <c r="H916" s="74"/>
      <c r="I916" s="447"/>
      <c r="J916" s="447"/>
      <c r="K916" s="438"/>
      <c r="L916" s="447"/>
      <c r="M916" s="65"/>
      <c r="N916" s="66"/>
      <c r="O916" s="66"/>
      <c r="P916" s="85" t="str">
        <f>IF(AND('331-CT'!$E$7=TH!H916,OR(N916="331",O916="331")),"x","")</f>
        <v/>
      </c>
      <c r="Q916" s="85" t="str">
        <f>IF(AND(B916='111'!$L$11,OR($N916=$Q$7,$O916=$Q$7)),"x","")</f>
        <v/>
      </c>
      <c r="R916" s="85" t="str">
        <f>IF(AND($N916=$Q$7,$B916&lt;'111'!$L$11),"x","")</f>
        <v/>
      </c>
      <c r="S916" s="85" t="str">
        <f>IF(AND($O916=$Q$7,$B916&lt;'111'!$L$11),"x","")</f>
        <v/>
      </c>
      <c r="T916" s="85" t="str">
        <f>IF(ISERROR(FIND('112'!$M$9,G916,1)),"",IF((AND(FIND('112'!$M$9,G916,1)&gt;=1,B916='112'!$K$9,OR($N916='112'!$I$6,$O916='112'!$I$6))),"x",""))</f>
        <v/>
      </c>
      <c r="U916" s="85" t="str">
        <f>IF(ISERROR(FIND('112'!$M$9,G916,1)),"",IF((AND(LEFT(G916,2)=LEFT('112'!$M$9,2),B916&lt;'112'!$K$9,$N916='112'!$I$6)),"x",""))</f>
        <v/>
      </c>
      <c r="V916" s="85" t="str">
        <f>IF(ISERROR(FIND('112'!$M$9,G916,1)),"",IF((AND(RIGHT(G916,2)=RIGHT('112'!$M$9,2),B916&lt;'112'!$K$9,$O916='112'!$I$6)),"x",""))</f>
        <v/>
      </c>
      <c r="W916" s="85" t="str">
        <f>IF(AND('341-CT'!$H$9=H916,OR(LEFT(N916,3)=$W$7,LEFT(O916,3)=$W$7)),"x","")</f>
        <v/>
      </c>
      <c r="X916" s="85" t="str">
        <f>IF(OR(TH!N916=TH!$X$7,O916=TH!$X$7),"x","")</f>
        <v/>
      </c>
      <c r="Y916" s="85" t="str">
        <f>IF(AND(OR(N916="131",O916="131"),H916='131-CT'!$H$9),"x","")</f>
        <v/>
      </c>
      <c r="Z916" s="85"/>
      <c r="AA916" s="85" t="str">
        <f>IF(AND(MONTH(E916)='IN-NX'!$J$5,'IN-NX'!$D$7=D916),"x","")</f>
        <v/>
      </c>
      <c r="AB916" s="85" t="str">
        <f>IF(AND(OR(LEFT(TH!N916,2)="15",LEFT(TH!O916,2)="15"),'152-CT'!$J$8=TH!F916),"x","")</f>
        <v/>
      </c>
      <c r="AC916" s="85" t="str">
        <f>IF(AND(OR(LEFT(TH!N916,2)="15",LEFT(TH!O916,2)="15"),TK!$E$7=TH!F916),"x","")</f>
        <v/>
      </c>
      <c r="AD916" s="85" t="str">
        <f>IF(AND(N916="1521",MONTH(C916)='BK-NL'!$M$11),"x","")</f>
        <v/>
      </c>
    </row>
    <row r="917" spans="1:30" ht="15.75" customHeight="1">
      <c r="A917" s="343" t="str">
        <f>IF(B917&lt;&gt;"",IF(AND(B917='IN-TC'!$S$4,OR(TH!N917="1111",TH!O917="1111")),TH!D917,""),"")</f>
        <v/>
      </c>
      <c r="B917" s="63" t="str">
        <f t="shared" si="83"/>
        <v/>
      </c>
      <c r="C917" s="64"/>
      <c r="D917" s="64"/>
      <c r="E917" s="64"/>
      <c r="F917" s="67"/>
      <c r="G917" s="996"/>
      <c r="H917" s="74"/>
      <c r="I917" s="447"/>
      <c r="J917" s="447"/>
      <c r="K917" s="438"/>
      <c r="L917" s="447"/>
      <c r="M917" s="65"/>
      <c r="N917" s="66"/>
      <c r="O917" s="66"/>
      <c r="P917" s="85" t="str">
        <f>IF(AND('331-CT'!$E$7=TH!H917,OR(N917="331",O917="331")),"x","")</f>
        <v/>
      </c>
      <c r="Q917" s="85" t="str">
        <f>IF(AND(B917='111'!$L$11,OR($N917=$Q$7,$O917=$Q$7)),"x","")</f>
        <v/>
      </c>
      <c r="R917" s="85" t="str">
        <f>IF(AND($N917=$Q$7,$B917&lt;'111'!$L$11),"x","")</f>
        <v/>
      </c>
      <c r="S917" s="85" t="str">
        <f>IF(AND($O917=$Q$7,$B917&lt;'111'!$L$11),"x","")</f>
        <v/>
      </c>
      <c r="T917" s="85" t="str">
        <f>IF(ISERROR(FIND('112'!$M$9,G917,1)),"",IF((AND(FIND('112'!$M$9,G917,1)&gt;=1,B917='112'!$K$9,OR($N917='112'!$I$6,$O917='112'!$I$6))),"x",""))</f>
        <v/>
      </c>
      <c r="U917" s="85" t="str">
        <f>IF(ISERROR(FIND('112'!$M$9,G917,1)),"",IF((AND(LEFT(G917,2)=LEFT('112'!$M$9,2),B917&lt;'112'!$K$9,$N917='112'!$I$6)),"x",""))</f>
        <v/>
      </c>
      <c r="V917" s="85" t="str">
        <f>IF(ISERROR(FIND('112'!$M$9,G917,1)),"",IF((AND(RIGHT(G917,2)=RIGHT('112'!$M$9,2),B917&lt;'112'!$K$9,$O917='112'!$I$6)),"x",""))</f>
        <v/>
      </c>
      <c r="W917" s="85" t="str">
        <f>IF(AND('341-CT'!$H$9=H917,OR(LEFT(N917,3)=$W$7,LEFT(O917,3)=$W$7)),"x","")</f>
        <v/>
      </c>
      <c r="X917" s="85" t="str">
        <f>IF(OR(TH!N917=TH!$X$7,O917=TH!$X$7),"x","")</f>
        <v/>
      </c>
      <c r="Y917" s="85" t="str">
        <f>IF(AND(OR(N917="131",O917="131"),H917='131-CT'!$H$9),"x","")</f>
        <v/>
      </c>
      <c r="Z917" s="85"/>
      <c r="AA917" s="85" t="str">
        <f>IF(AND(MONTH(E917)='IN-NX'!$J$5,'IN-NX'!$D$7=D917),"x","")</f>
        <v/>
      </c>
      <c r="AB917" s="85" t="str">
        <f>IF(AND(OR(LEFT(TH!N917,2)="15",LEFT(TH!O917,2)="15"),'152-CT'!$J$8=TH!F917),"x","")</f>
        <v/>
      </c>
      <c r="AC917" s="85" t="str">
        <f>IF(AND(OR(LEFT(TH!N917,2)="15",LEFT(TH!O917,2)="15"),TK!$E$7=TH!F917),"x","")</f>
        <v/>
      </c>
      <c r="AD917" s="85" t="str">
        <f>IF(AND(N917="1521",MONTH(C917)='BK-NL'!$M$11),"x","")</f>
        <v/>
      </c>
    </row>
    <row r="918" spans="1:30" ht="15.75" customHeight="1">
      <c r="A918" s="343" t="str">
        <f>IF(B918&lt;&gt;"",IF(AND(B918='IN-TC'!$S$4,OR(TH!N918="1111",TH!O918="1111")),TH!D918,""),"")</f>
        <v/>
      </c>
      <c r="B918" s="63" t="str">
        <f t="shared" si="83"/>
        <v/>
      </c>
      <c r="C918" s="64"/>
      <c r="D918" s="64"/>
      <c r="E918" s="320"/>
      <c r="F918" s="321"/>
      <c r="G918" s="67"/>
      <c r="H918" s="74"/>
      <c r="I918" s="447"/>
      <c r="J918" s="447"/>
      <c r="K918" s="438"/>
      <c r="L918" s="447"/>
      <c r="M918" s="65"/>
      <c r="N918" s="323"/>
      <c r="O918" s="323"/>
      <c r="P918" s="85" t="str">
        <f>IF(AND('331-CT'!$E$7=TH!H918,OR(N918="331",O918="331")),"x","")</f>
        <v/>
      </c>
      <c r="Q918" s="85" t="str">
        <f>IF(AND(B918='111'!$L$11,OR($N918=$Q$7,$O918=$Q$7)),"x","")</f>
        <v/>
      </c>
      <c r="R918" s="85" t="str">
        <f>IF(AND($N918=$Q$7,$B918&lt;'111'!$L$11),"x","")</f>
        <v/>
      </c>
      <c r="S918" s="85" t="str">
        <f>IF(AND($O918=$Q$7,$B918&lt;'111'!$L$11),"x","")</f>
        <v/>
      </c>
      <c r="T918" s="85" t="str">
        <f>IF(ISERROR(FIND('112'!$M$9,G918,1)),"",IF((AND(FIND('112'!$M$9,G918,1)&gt;=1,B918='112'!$K$9,OR($N918='112'!$I$6,$O918='112'!$I$6))),"x",""))</f>
        <v/>
      </c>
      <c r="U918" s="85" t="str">
        <f>IF(ISERROR(FIND('112'!$M$9,G918,1)),"",IF((AND(LEFT(G918,2)=LEFT('112'!$M$9,2),B918&lt;'112'!$K$9,$N918='112'!$I$6)),"x",""))</f>
        <v/>
      </c>
      <c r="V918" s="85" t="str">
        <f>IF(ISERROR(FIND('112'!$M$9,G918,1)),"",IF((AND(RIGHT(G918,2)=RIGHT('112'!$M$9,2),B918&lt;'112'!$K$9,$O918='112'!$I$6)),"x",""))</f>
        <v/>
      </c>
      <c r="W918" s="85" t="str">
        <f>IF(AND('341-CT'!$H$9=H918,OR(LEFT(N918,3)=$W$7,LEFT(O918,3)=$W$7)),"x","")</f>
        <v/>
      </c>
      <c r="X918" s="85" t="str">
        <f>IF(OR(TH!N918=TH!$X$7,O918=TH!$X$7),"x","")</f>
        <v/>
      </c>
      <c r="Y918" s="85" t="str">
        <f>IF(AND(OR(N918="131",O918="131"),H918='131-CT'!$H$9),"x","")</f>
        <v/>
      </c>
      <c r="Z918" s="85"/>
      <c r="AA918" s="85" t="str">
        <f>IF(AND(MONTH(E918)='IN-NX'!$J$5,'IN-NX'!$D$7=D918),"x","")</f>
        <v/>
      </c>
      <c r="AB918" s="85" t="str">
        <f>IF(AND(OR(LEFT(TH!N918,2)="15",LEFT(TH!O918,2)="15"),'152-CT'!$J$8=TH!F918),"x","")</f>
        <v/>
      </c>
      <c r="AC918" s="85" t="str">
        <f>IF(AND(OR(LEFT(TH!N918,2)="15",LEFT(TH!O918,2)="15"),TK!$E$7=TH!F918),"x","")</f>
        <v/>
      </c>
      <c r="AD918" s="85" t="str">
        <f>IF(AND(N918="1521",MONTH(C918)='BK-NL'!$M$11),"x","")</f>
        <v/>
      </c>
    </row>
    <row r="919" spans="1:30" ht="15.75" customHeight="1">
      <c r="A919" s="343" t="str">
        <f>IF(B919&lt;&gt;"",IF(AND(B919='IN-TC'!$S$4,OR(TH!N919="1111",TH!O919="1111")),TH!D919,""),"")</f>
        <v/>
      </c>
      <c r="B919" s="63" t="str">
        <f t="shared" si="83"/>
        <v/>
      </c>
      <c r="C919" s="64"/>
      <c r="D919" s="320"/>
      <c r="E919" s="320"/>
      <c r="F919" s="321"/>
      <c r="G919" s="321"/>
      <c r="H919" s="322"/>
      <c r="I919" s="447"/>
      <c r="J919" s="447"/>
      <c r="K919" s="438"/>
      <c r="L919" s="447"/>
      <c r="M919" s="65"/>
      <c r="N919" s="323"/>
      <c r="O919" s="323"/>
      <c r="P919" s="85" t="str">
        <f>IF(AND('331-CT'!$E$7=TH!H919,OR(N919="331",O919="331")),"x","")</f>
        <v/>
      </c>
      <c r="Q919" s="85" t="str">
        <f>IF(AND(B919='111'!$L$11,OR($N919=$Q$7,$O919=$Q$7)),"x","")</f>
        <v/>
      </c>
      <c r="R919" s="85" t="str">
        <f>IF(AND($N919=$Q$7,$B919&lt;'111'!$L$11),"x","")</f>
        <v/>
      </c>
      <c r="S919" s="85" t="str">
        <f>IF(AND($O919=$Q$7,$B919&lt;'111'!$L$11),"x","")</f>
        <v/>
      </c>
      <c r="T919" s="85" t="str">
        <f>IF(ISERROR(FIND('112'!$M$9,G919,1)),"",IF((AND(FIND('112'!$M$9,G919,1)&gt;=1,B919='112'!$K$9,OR($N919='112'!$I$6,$O919='112'!$I$6))),"x",""))</f>
        <v/>
      </c>
      <c r="U919" s="85" t="str">
        <f>IF(ISERROR(FIND('112'!$M$9,G919,1)),"",IF((AND(LEFT(G919,2)=LEFT('112'!$M$9,2),B919&lt;'112'!$K$9,$N919='112'!$I$6)),"x",""))</f>
        <v/>
      </c>
      <c r="V919" s="85" t="str">
        <f>IF(ISERROR(FIND('112'!$M$9,G919,1)),"",IF((AND(RIGHT(G919,2)=RIGHT('112'!$M$9,2),B919&lt;'112'!$K$9,$O919='112'!$I$6)),"x",""))</f>
        <v/>
      </c>
      <c r="W919" s="85" t="str">
        <f>IF(AND('341-CT'!$H$9=H919,OR(LEFT(N919,3)=$W$7,LEFT(O919,3)=$W$7)),"x","")</f>
        <v/>
      </c>
      <c r="X919" s="85" t="str">
        <f>IF(OR(TH!N919=TH!$X$7,O919=TH!$X$7),"x","")</f>
        <v/>
      </c>
      <c r="Y919" s="85" t="str">
        <f>IF(AND(OR(N919="131",O919="131"),H919='131-CT'!$H$9),"x","")</f>
        <v/>
      </c>
      <c r="Z919" s="85"/>
      <c r="AA919" s="85" t="str">
        <f>IF(AND(MONTH(E919)='IN-NX'!$J$5,'IN-NX'!$D$7=D919),"x","")</f>
        <v/>
      </c>
      <c r="AB919" s="85" t="str">
        <f>IF(AND(OR(LEFT(TH!N919,2)="15",LEFT(TH!O919,2)="15"),'152-CT'!$J$8=TH!F919),"x","")</f>
        <v/>
      </c>
      <c r="AC919" s="85" t="str">
        <f>IF(AND(OR(LEFT(TH!N919,2)="15",LEFT(TH!O919,2)="15"),TK!$E$7=TH!F919),"x","")</f>
        <v/>
      </c>
      <c r="AD919" s="85" t="str">
        <f>IF(AND(N919="1521",MONTH(C919)='BK-NL'!$M$11),"x","")</f>
        <v/>
      </c>
    </row>
    <row r="920" spans="1:30" ht="15.75" customHeight="1">
      <c r="A920" s="343" t="str">
        <f>IF(B920&lt;&gt;"",IF(AND(B920='IN-TC'!$S$4,OR(TH!N920="1111",TH!O920="1111")),TH!D920,""),"")</f>
        <v/>
      </c>
      <c r="B920" s="63" t="str">
        <f t="shared" ref="B920:B944" si="84">IF(C920&lt;&gt;"",MONTH(C920),"")</f>
        <v/>
      </c>
      <c r="C920" s="64"/>
      <c r="D920" s="320"/>
      <c r="E920" s="320"/>
      <c r="F920" s="321"/>
      <c r="G920" s="321"/>
      <c r="H920" s="322"/>
      <c r="I920" s="447"/>
      <c r="J920" s="447"/>
      <c r="K920" s="438"/>
      <c r="L920" s="447"/>
      <c r="M920" s="65"/>
      <c r="N920" s="323"/>
      <c r="O920" s="323"/>
      <c r="P920" s="85" t="str">
        <f>IF(AND('331-CT'!$E$7=TH!H920,OR(N920="331",O920="331")),"x","")</f>
        <v/>
      </c>
      <c r="Q920" s="85" t="str">
        <f>IF(AND(B920='111'!$L$11,OR($N920=$Q$7,$O920=$Q$7)),"x","")</f>
        <v/>
      </c>
      <c r="R920" s="85" t="str">
        <f>IF(AND($N920=$Q$7,$B920&lt;'111'!$L$11),"x","")</f>
        <v/>
      </c>
      <c r="S920" s="85" t="str">
        <f>IF(AND($O920=$Q$7,$B920&lt;'111'!$L$11),"x","")</f>
        <v/>
      </c>
      <c r="T920" s="85" t="str">
        <f>IF(ISERROR(FIND('112'!$M$9,G920,1)),"",IF((AND(FIND('112'!$M$9,G920,1)&gt;=1,B920='112'!$K$9,OR($N920='112'!$I$6,$O920='112'!$I$6))),"x",""))</f>
        <v/>
      </c>
      <c r="U920" s="85" t="str">
        <f>IF(ISERROR(FIND('112'!$M$9,G920,1)),"",IF((AND(LEFT(G920,2)=LEFT('112'!$M$9,2),B920&lt;'112'!$K$9,$N920='112'!$I$6)),"x",""))</f>
        <v/>
      </c>
      <c r="V920" s="85" t="str">
        <f>IF(ISERROR(FIND('112'!$M$9,G920,1)),"",IF((AND(RIGHT(G920,2)=RIGHT('112'!$M$9,2),B920&lt;'112'!$K$9,$O920='112'!$I$6)),"x",""))</f>
        <v/>
      </c>
      <c r="W920" s="85" t="str">
        <f>IF(AND('341-CT'!$H$9=H920,OR(LEFT(N920,3)=$W$7,LEFT(O920,3)=$W$7)),"x","")</f>
        <v/>
      </c>
      <c r="X920" s="85" t="str">
        <f>IF(OR(TH!N920=TH!$X$7,O920=TH!$X$7),"x","")</f>
        <v/>
      </c>
      <c r="Y920" s="85" t="str">
        <f>IF(AND(OR(N920="131",O920="131"),H920='131-CT'!$H$9),"x","")</f>
        <v/>
      </c>
      <c r="Z920" s="85"/>
      <c r="AA920" s="85" t="str">
        <f>IF(AND(MONTH(E920)='IN-NX'!$J$5,'IN-NX'!$D$7=D920),"x","")</f>
        <v/>
      </c>
      <c r="AB920" s="85" t="str">
        <f>IF(AND(OR(LEFT(TH!N920,2)="15",LEFT(TH!O920,2)="15"),'152-CT'!$J$8=TH!F920),"x","")</f>
        <v/>
      </c>
      <c r="AC920" s="85" t="str">
        <f>IF(AND(OR(LEFT(TH!N920,2)="15",LEFT(TH!O920,2)="15"),TK!$E$7=TH!F920),"x","")</f>
        <v/>
      </c>
      <c r="AD920" s="85" t="str">
        <f>IF(AND(N920="1521",MONTH(C920)='BK-NL'!$M$11),"x","")</f>
        <v/>
      </c>
    </row>
    <row r="921" spans="1:30" ht="15.75" customHeight="1">
      <c r="A921" s="343" t="str">
        <f>IF(B921&lt;&gt;"",IF(AND(B921='IN-TC'!$S$4,OR(TH!N921="1111",TH!O921="1111")),TH!D921,""),"")</f>
        <v/>
      </c>
      <c r="B921" s="63" t="str">
        <f t="shared" si="84"/>
        <v/>
      </c>
      <c r="C921" s="64"/>
      <c r="D921" s="320"/>
      <c r="E921" s="320"/>
      <c r="F921" s="321"/>
      <c r="G921" s="321"/>
      <c r="H921" s="322"/>
      <c r="I921" s="447"/>
      <c r="J921" s="447"/>
      <c r="K921" s="438"/>
      <c r="L921" s="447"/>
      <c r="M921" s="65"/>
      <c r="N921" s="323"/>
      <c r="O921" s="323"/>
      <c r="P921" s="85" t="str">
        <f>IF(AND('331-CT'!$E$7=TH!H921,OR(N921="331",O921="331")),"x","")</f>
        <v/>
      </c>
      <c r="Q921" s="85" t="str">
        <f>IF(AND(B921='111'!$L$11,OR($N921=$Q$7,$O921=$Q$7)),"x","")</f>
        <v/>
      </c>
      <c r="R921" s="85" t="str">
        <f>IF(AND($N921=$Q$7,$B921&lt;'111'!$L$11),"x","")</f>
        <v/>
      </c>
      <c r="S921" s="85" t="str">
        <f>IF(AND($O921=$Q$7,$B921&lt;'111'!$L$11),"x","")</f>
        <v/>
      </c>
      <c r="T921" s="85" t="str">
        <f>IF(ISERROR(FIND('112'!$M$9,G921,1)),"",IF((AND(FIND('112'!$M$9,G921,1)&gt;=1,B921='112'!$K$9,OR($N921='112'!$I$6,$O921='112'!$I$6))),"x",""))</f>
        <v/>
      </c>
      <c r="U921" s="85" t="str">
        <f>IF(ISERROR(FIND('112'!$M$9,G921,1)),"",IF((AND(LEFT(G921,2)=LEFT('112'!$M$9,2),B921&lt;'112'!$K$9,$N921='112'!$I$6)),"x",""))</f>
        <v/>
      </c>
      <c r="V921" s="85" t="str">
        <f>IF(ISERROR(FIND('112'!$M$9,G921,1)),"",IF((AND(RIGHT(G921,2)=RIGHT('112'!$M$9,2),B921&lt;'112'!$K$9,$O921='112'!$I$6)),"x",""))</f>
        <v/>
      </c>
      <c r="W921" s="85" t="str">
        <f>IF(AND('341-CT'!$H$9=H921,OR(LEFT(N921,3)=$W$7,LEFT(O921,3)=$W$7)),"x","")</f>
        <v/>
      </c>
      <c r="X921" s="85" t="str">
        <f>IF(OR(TH!N921=TH!$X$7,O921=TH!$X$7),"x","")</f>
        <v/>
      </c>
      <c r="Y921" s="85" t="str">
        <f>IF(AND(OR(N921="131",O921="131"),H921='131-CT'!$H$9),"x","")</f>
        <v/>
      </c>
      <c r="Z921" s="85"/>
      <c r="AA921" s="85" t="str">
        <f>IF(AND(MONTH(E921)='IN-NX'!$J$5,'IN-NX'!$D$7=D921),"x","")</f>
        <v/>
      </c>
      <c r="AB921" s="85" t="str">
        <f>IF(AND(OR(LEFT(TH!N921,2)="15",LEFT(TH!O921,2)="15"),'152-CT'!$J$8=TH!F921),"x","")</f>
        <v/>
      </c>
      <c r="AC921" s="85" t="str">
        <f>IF(AND(OR(LEFT(TH!N921,2)="15",LEFT(TH!O921,2)="15"),TK!$E$7=TH!F921),"x","")</f>
        <v/>
      </c>
      <c r="AD921" s="85" t="str">
        <f>IF(AND(N921="1521",MONTH(C921)='BK-NL'!$M$11),"x","")</f>
        <v/>
      </c>
    </row>
    <row r="922" spans="1:30" ht="15.75" customHeight="1">
      <c r="A922" s="343" t="str">
        <f>IF(B922&lt;&gt;"",IF(AND(B922='IN-TC'!$S$4,OR(TH!N922="1111",TH!O922="1111")),TH!D922,""),"")</f>
        <v/>
      </c>
      <c r="B922" s="63" t="str">
        <f t="shared" si="84"/>
        <v/>
      </c>
      <c r="C922" s="64"/>
      <c r="D922" s="320"/>
      <c r="E922" s="320"/>
      <c r="F922" s="321"/>
      <c r="G922" s="321"/>
      <c r="H922" s="322"/>
      <c r="I922" s="447"/>
      <c r="J922" s="447"/>
      <c r="K922" s="438"/>
      <c r="L922" s="447"/>
      <c r="M922" s="65"/>
      <c r="N922" s="323"/>
      <c r="O922" s="323"/>
      <c r="P922" s="85" t="str">
        <f>IF(AND('331-CT'!$E$7=TH!H922,OR(N922="331",O922="331")),"x","")</f>
        <v/>
      </c>
      <c r="Q922" s="85" t="str">
        <f>IF(AND(B922='111'!$L$11,OR($N922=$Q$7,$O922=$Q$7)),"x","")</f>
        <v/>
      </c>
      <c r="R922" s="85" t="str">
        <f>IF(AND($N922=$Q$7,$B922&lt;'111'!$L$11),"x","")</f>
        <v/>
      </c>
      <c r="S922" s="85" t="str">
        <f>IF(AND($O922=$Q$7,$B922&lt;'111'!$L$11),"x","")</f>
        <v/>
      </c>
      <c r="T922" s="85" t="str">
        <f>IF(ISERROR(FIND('112'!$M$9,G922,1)),"",IF((AND(FIND('112'!$M$9,G922,1)&gt;=1,B922='112'!$K$9,OR($N922='112'!$I$6,$O922='112'!$I$6))),"x",""))</f>
        <v/>
      </c>
      <c r="U922" s="85" t="str">
        <f>IF(ISERROR(FIND('112'!$M$9,G922,1)),"",IF((AND(LEFT(G922,2)=LEFT('112'!$M$9,2),B922&lt;'112'!$K$9,$N922='112'!$I$6)),"x",""))</f>
        <v/>
      </c>
      <c r="V922" s="85" t="str">
        <f>IF(ISERROR(FIND('112'!$M$9,G922,1)),"",IF((AND(RIGHT(G922,2)=RIGHT('112'!$M$9,2),B922&lt;'112'!$K$9,$O922='112'!$I$6)),"x",""))</f>
        <v/>
      </c>
      <c r="W922" s="85" t="str">
        <f>IF(AND('341-CT'!$H$9=H922,OR(LEFT(N922,3)=$W$7,LEFT(O922,3)=$W$7)),"x","")</f>
        <v/>
      </c>
      <c r="X922" s="85" t="str">
        <f>IF(OR(TH!N922=TH!$X$7,O922=TH!$X$7),"x","")</f>
        <v/>
      </c>
      <c r="Y922" s="85" t="str">
        <f>IF(AND(OR(N922="131",O922="131"),H922='131-CT'!$H$9),"x","")</f>
        <v/>
      </c>
      <c r="Z922" s="85"/>
      <c r="AA922" s="85" t="str">
        <f>IF(AND(MONTH(E922)='IN-NX'!$J$5,'IN-NX'!$D$7=D922),"x","")</f>
        <v/>
      </c>
      <c r="AB922" s="85" t="str">
        <f>IF(AND(OR(LEFT(TH!N922,2)="15",LEFT(TH!O922,2)="15"),'152-CT'!$J$8=TH!F922),"x","")</f>
        <v/>
      </c>
      <c r="AC922" s="85" t="str">
        <f>IF(AND(OR(LEFT(TH!N922,2)="15",LEFT(TH!O922,2)="15"),TK!$E$7=TH!F922),"x","")</f>
        <v/>
      </c>
      <c r="AD922" s="85" t="str">
        <f>IF(AND(N922="1521",MONTH(C922)='BK-NL'!$M$11),"x","")</f>
        <v/>
      </c>
    </row>
    <row r="923" spans="1:30" ht="15.75" customHeight="1">
      <c r="A923" s="343" t="str">
        <f>IF(B923&lt;&gt;"",IF(AND(B923='IN-TC'!$S$4,OR(TH!N923="1111",TH!O923="1111")),TH!D923,""),"")</f>
        <v/>
      </c>
      <c r="B923" s="63" t="str">
        <f t="shared" si="84"/>
        <v/>
      </c>
      <c r="C923" s="64"/>
      <c r="D923" s="320"/>
      <c r="E923" s="320"/>
      <c r="F923" s="321"/>
      <c r="G923" s="321"/>
      <c r="H923" s="322"/>
      <c r="I923" s="447"/>
      <c r="J923" s="447"/>
      <c r="K923" s="438"/>
      <c r="L923" s="447"/>
      <c r="M923" s="65"/>
      <c r="N923" s="323"/>
      <c r="O923" s="323"/>
      <c r="P923" s="85" t="str">
        <f>IF(AND('331-CT'!$E$7=TH!H923,OR(N923="331",O923="331")),"x","")</f>
        <v/>
      </c>
      <c r="Q923" s="85" t="str">
        <f>IF(AND(B923='111'!$L$11,OR($N923=$Q$7,$O923=$Q$7)),"x","")</f>
        <v/>
      </c>
      <c r="R923" s="85" t="str">
        <f>IF(AND($N923=$Q$7,$B923&lt;'111'!$L$11),"x","")</f>
        <v/>
      </c>
      <c r="S923" s="85" t="str">
        <f>IF(AND($O923=$Q$7,$B923&lt;'111'!$L$11),"x","")</f>
        <v/>
      </c>
      <c r="T923" s="85" t="str">
        <f>IF(ISERROR(FIND('112'!$M$9,G923,1)),"",IF((AND(FIND('112'!$M$9,G923,1)&gt;=1,B923='112'!$K$9,OR($N923='112'!$I$6,$O923='112'!$I$6))),"x",""))</f>
        <v/>
      </c>
      <c r="U923" s="85" t="str">
        <f>IF(ISERROR(FIND('112'!$M$9,G923,1)),"",IF((AND(LEFT(G923,2)=LEFT('112'!$M$9,2),B923&lt;'112'!$K$9,$N923='112'!$I$6)),"x",""))</f>
        <v/>
      </c>
      <c r="V923" s="85" t="str">
        <f>IF(ISERROR(FIND('112'!$M$9,G923,1)),"",IF((AND(RIGHT(G923,2)=RIGHT('112'!$M$9,2),B923&lt;'112'!$K$9,$O923='112'!$I$6)),"x",""))</f>
        <v/>
      </c>
      <c r="W923" s="85" t="str">
        <f>IF(AND('341-CT'!$H$9=H923,OR(LEFT(N923,3)=$W$7,LEFT(O923,3)=$W$7)),"x","")</f>
        <v/>
      </c>
      <c r="X923" s="85" t="str">
        <f>IF(OR(TH!N923=TH!$X$7,O923=TH!$X$7),"x","")</f>
        <v/>
      </c>
      <c r="Y923" s="85" t="str">
        <f>IF(AND(OR(N923="131",O923="131"),H923='131-CT'!$H$9),"x","")</f>
        <v/>
      </c>
      <c r="Z923" s="85"/>
      <c r="AA923" s="85" t="str">
        <f>IF(AND(MONTH(E923)='IN-NX'!$J$5,'IN-NX'!$D$7=D923),"x","")</f>
        <v/>
      </c>
      <c r="AB923" s="85" t="str">
        <f>IF(AND(OR(LEFT(TH!N923,2)="15",LEFT(TH!O923,2)="15"),'152-CT'!$J$8=TH!F923),"x","")</f>
        <v/>
      </c>
      <c r="AC923" s="85" t="str">
        <f>IF(AND(OR(LEFT(TH!N923,2)="15",LEFT(TH!O923,2)="15"),TK!$E$7=TH!F923),"x","")</f>
        <v/>
      </c>
      <c r="AD923" s="85" t="str">
        <f>IF(AND(N923="1521",MONTH(C923)='BK-NL'!$M$11),"x","")</f>
        <v/>
      </c>
    </row>
    <row r="924" spans="1:30" ht="15.75" customHeight="1">
      <c r="A924" s="343" t="str">
        <f>IF(B924&lt;&gt;"",IF(AND(B924='IN-TC'!$S$4,OR(TH!N924="1111",TH!O924="1111")),TH!D924,""),"")</f>
        <v/>
      </c>
      <c r="B924" s="63" t="str">
        <f t="shared" si="84"/>
        <v/>
      </c>
      <c r="C924" s="64"/>
      <c r="D924" s="320"/>
      <c r="E924" s="320"/>
      <c r="F924" s="321"/>
      <c r="G924" s="321"/>
      <c r="H924" s="322"/>
      <c r="I924" s="447"/>
      <c r="J924" s="447"/>
      <c r="K924" s="438"/>
      <c r="L924" s="447"/>
      <c r="M924" s="65"/>
      <c r="N924" s="323"/>
      <c r="O924" s="323"/>
      <c r="P924" s="85" t="str">
        <f>IF(AND('331-CT'!$E$7=TH!H924,OR(N924="331",O924="331")),"x","")</f>
        <v/>
      </c>
      <c r="Q924" s="85" t="str">
        <f>IF(AND(B924='111'!$L$11,OR($N924=$Q$7,$O924=$Q$7)),"x","")</f>
        <v/>
      </c>
      <c r="R924" s="85" t="str">
        <f>IF(AND($N924=$Q$7,$B924&lt;'111'!$L$11),"x","")</f>
        <v/>
      </c>
      <c r="S924" s="85" t="str">
        <f>IF(AND($O924=$Q$7,$B924&lt;'111'!$L$11),"x","")</f>
        <v/>
      </c>
      <c r="T924" s="85" t="str">
        <f>IF(ISERROR(FIND('112'!$M$9,G924,1)),"",IF((AND(FIND('112'!$M$9,G924,1)&gt;=1,B924='112'!$K$9,OR($N924='112'!$I$6,$O924='112'!$I$6))),"x",""))</f>
        <v/>
      </c>
      <c r="U924" s="85" t="str">
        <f>IF(ISERROR(FIND('112'!$M$9,G924,1)),"",IF((AND(LEFT(G924,2)=LEFT('112'!$M$9,2),B924&lt;'112'!$K$9,$N924='112'!$I$6)),"x",""))</f>
        <v/>
      </c>
      <c r="V924" s="85" t="str">
        <f>IF(ISERROR(FIND('112'!$M$9,G924,1)),"",IF((AND(RIGHT(G924,2)=RIGHT('112'!$M$9,2),B924&lt;'112'!$K$9,$O924='112'!$I$6)),"x",""))</f>
        <v/>
      </c>
      <c r="W924" s="85" t="str">
        <f>IF(AND('341-CT'!$H$9=H924,OR(LEFT(N924,3)=$W$7,LEFT(O924,3)=$W$7)),"x","")</f>
        <v/>
      </c>
      <c r="X924" s="85" t="str">
        <f>IF(OR(TH!N924=TH!$X$7,O924=TH!$X$7),"x","")</f>
        <v/>
      </c>
      <c r="Y924" s="85" t="str">
        <f>IF(AND(OR(N924="131",O924="131"),H924='131-CT'!$H$9),"x","")</f>
        <v/>
      </c>
      <c r="Z924" s="85"/>
      <c r="AA924" s="85" t="str">
        <f>IF(AND(MONTH(E924)='IN-NX'!$J$5,'IN-NX'!$D$7=D924),"x","")</f>
        <v/>
      </c>
      <c r="AB924" s="85" t="str">
        <f>IF(AND(OR(LEFT(TH!N924,2)="15",LEFT(TH!O924,2)="15"),'152-CT'!$J$8=TH!F924),"x","")</f>
        <v/>
      </c>
      <c r="AC924" s="85" t="str">
        <f>IF(AND(OR(LEFT(TH!N924,2)="15",LEFT(TH!O924,2)="15"),TK!$E$7=TH!F924),"x","")</f>
        <v/>
      </c>
      <c r="AD924" s="85" t="str">
        <f>IF(AND(N924="1521",MONTH(C924)='BK-NL'!$M$11),"x","")</f>
        <v/>
      </c>
    </row>
    <row r="925" spans="1:30" ht="15.75" customHeight="1">
      <c r="A925" s="343" t="str">
        <f>IF(B925&lt;&gt;"",IF(AND(B925='IN-TC'!$S$4,OR(TH!N925="1111",TH!O925="1111")),TH!D925,""),"")</f>
        <v/>
      </c>
      <c r="B925" s="63" t="str">
        <f t="shared" si="84"/>
        <v/>
      </c>
      <c r="C925" s="64"/>
      <c r="D925" s="320"/>
      <c r="E925" s="320"/>
      <c r="F925" s="321"/>
      <c r="G925" s="321"/>
      <c r="H925" s="322"/>
      <c r="I925" s="447"/>
      <c r="J925" s="447"/>
      <c r="K925" s="438"/>
      <c r="L925" s="447"/>
      <c r="M925" s="65"/>
      <c r="N925" s="323"/>
      <c r="O925" s="323"/>
      <c r="P925" s="85" t="str">
        <f>IF(AND('331-CT'!$E$7=TH!H925,OR(N925="331",O925="331")),"x","")</f>
        <v/>
      </c>
      <c r="Q925" s="85" t="str">
        <f>IF(AND(B925='111'!$L$11,OR($N925=$Q$7,$O925=$Q$7)),"x","")</f>
        <v/>
      </c>
      <c r="R925" s="85" t="str">
        <f>IF(AND($N925=$Q$7,$B925&lt;'111'!$L$11),"x","")</f>
        <v/>
      </c>
      <c r="S925" s="85" t="str">
        <f>IF(AND($O925=$Q$7,$B925&lt;'111'!$L$11),"x","")</f>
        <v/>
      </c>
      <c r="T925" s="85" t="str">
        <f>IF(ISERROR(FIND('112'!$M$9,G925,1)),"",IF((AND(FIND('112'!$M$9,G925,1)&gt;=1,B925='112'!$K$9,OR($N925='112'!$I$6,$O925='112'!$I$6))),"x",""))</f>
        <v/>
      </c>
      <c r="U925" s="85" t="str">
        <f>IF(ISERROR(FIND('112'!$M$9,G925,1)),"",IF((AND(LEFT(G925,2)=LEFT('112'!$M$9,2),B925&lt;'112'!$K$9,$N925='112'!$I$6)),"x",""))</f>
        <v/>
      </c>
      <c r="V925" s="85" t="str">
        <f>IF(ISERROR(FIND('112'!$M$9,G925,1)),"",IF((AND(RIGHT(G925,2)=RIGHT('112'!$M$9,2),B925&lt;'112'!$K$9,$O925='112'!$I$6)),"x",""))</f>
        <v/>
      </c>
      <c r="W925" s="85" t="str">
        <f>IF(AND('341-CT'!$H$9=H925,OR(LEFT(N925,3)=$W$7,LEFT(O925,3)=$W$7)),"x","")</f>
        <v/>
      </c>
      <c r="X925" s="85" t="str">
        <f>IF(OR(TH!N925=TH!$X$7,O925=TH!$X$7),"x","")</f>
        <v/>
      </c>
      <c r="Y925" s="85" t="str">
        <f>IF(AND(OR(N925="131",O925="131"),H925='131-CT'!$H$9),"x","")</f>
        <v/>
      </c>
      <c r="Z925" s="85"/>
      <c r="AA925" s="85" t="str">
        <f>IF(AND(MONTH(E925)='IN-NX'!$J$5,'IN-NX'!$D$7=D925),"x","")</f>
        <v/>
      </c>
      <c r="AB925" s="85" t="str">
        <f>IF(AND(OR(LEFT(TH!N925,2)="15",LEFT(TH!O925,2)="15"),'152-CT'!$J$8=TH!F925),"x","")</f>
        <v/>
      </c>
      <c r="AC925" s="85" t="str">
        <f>IF(AND(OR(LEFT(TH!N925,2)="15",LEFT(TH!O925,2)="15"),TK!$E$7=TH!F925),"x","")</f>
        <v/>
      </c>
      <c r="AD925" s="85" t="str">
        <f>IF(AND(N925="1521",MONTH(C925)='BK-NL'!$M$11),"x","")</f>
        <v/>
      </c>
    </row>
    <row r="926" spans="1:30" ht="15.75" customHeight="1">
      <c r="A926" s="343" t="str">
        <f>IF(B926&lt;&gt;"",IF(AND(B926='IN-TC'!$S$4,OR(TH!N926="1111",TH!O926="1111")),TH!D926,""),"")</f>
        <v/>
      </c>
      <c r="B926" s="63" t="str">
        <f t="shared" si="84"/>
        <v/>
      </c>
      <c r="C926" s="64"/>
      <c r="D926" s="64"/>
      <c r="E926" s="64"/>
      <c r="F926" s="67"/>
      <c r="G926" s="996"/>
      <c r="H926" s="74"/>
      <c r="I926" s="447"/>
      <c r="J926" s="447"/>
      <c r="K926" s="438"/>
      <c r="L926" s="447"/>
      <c r="M926" s="65"/>
      <c r="N926" s="323"/>
      <c r="O926" s="66"/>
      <c r="P926" s="85" t="str">
        <f>IF(AND('331-CT'!$E$7=TH!H926,OR(N926="331",O926="331")),"x","")</f>
        <v/>
      </c>
      <c r="Q926" s="85" t="str">
        <f>IF(AND(B926='111'!$L$11,OR($N926=$Q$7,$O926=$Q$7)),"x","")</f>
        <v/>
      </c>
      <c r="R926" s="85" t="str">
        <f>IF(AND($N926=$Q$7,$B926&lt;'111'!$L$11),"x","")</f>
        <v/>
      </c>
      <c r="S926" s="85" t="str">
        <f>IF(AND($O926=$Q$7,$B926&lt;'111'!$L$11),"x","")</f>
        <v/>
      </c>
      <c r="T926" s="85" t="str">
        <f>IF(ISERROR(FIND('112'!$M$9,G926,1)),"",IF((AND(FIND('112'!$M$9,G926,1)&gt;=1,B926='112'!$K$9,OR($N926='112'!$I$6,$O926='112'!$I$6))),"x",""))</f>
        <v/>
      </c>
      <c r="U926" s="85" t="str">
        <f>IF(ISERROR(FIND('112'!$M$9,G926,1)),"",IF((AND(LEFT(G926,2)=LEFT('112'!$M$9,2),B926&lt;'112'!$K$9,$N926='112'!$I$6)),"x",""))</f>
        <v/>
      </c>
      <c r="V926" s="85" t="str">
        <f>IF(ISERROR(FIND('112'!$M$9,G926,1)),"",IF((AND(RIGHT(G926,2)=RIGHT('112'!$M$9,2),B926&lt;'112'!$K$9,$O926='112'!$I$6)),"x",""))</f>
        <v/>
      </c>
      <c r="W926" s="85" t="str">
        <f>IF(AND('341-CT'!$H$9=H926,OR(LEFT(N926,3)=$W$7,LEFT(O926,3)=$W$7)),"x","")</f>
        <v/>
      </c>
      <c r="X926" s="85" t="str">
        <f>IF(OR(TH!N926=TH!$X$7,O926=TH!$X$7),"x","")</f>
        <v/>
      </c>
      <c r="Y926" s="85" t="str">
        <f>IF(AND(OR(N926="131",O926="131"),H926='131-CT'!$H$9),"x","")</f>
        <v/>
      </c>
      <c r="Z926" s="85"/>
      <c r="AA926" s="85" t="str">
        <f>IF(AND(MONTH(E926)='IN-NX'!$J$5,'IN-NX'!$D$7=D926),"x","")</f>
        <v/>
      </c>
      <c r="AB926" s="85" t="str">
        <f>IF(AND(OR(LEFT(TH!N926,2)="15",LEFT(TH!O926,2)="15"),'152-CT'!$J$8=TH!F926),"x","")</f>
        <v/>
      </c>
      <c r="AC926" s="85" t="str">
        <f>IF(AND(OR(LEFT(TH!N926,2)="15",LEFT(TH!O926,2)="15"),TK!$E$7=TH!F926),"x","")</f>
        <v/>
      </c>
      <c r="AD926" s="85" t="str">
        <f>IF(AND(N926="1521",MONTH(C926)='BK-NL'!$M$11),"x","")</f>
        <v/>
      </c>
    </row>
    <row r="927" spans="1:30" ht="15.75" customHeight="1">
      <c r="A927" s="343" t="str">
        <f>IF(B927&lt;&gt;"",IF(AND(B927='IN-TC'!$S$4,OR(TH!N927="1111",TH!O927="1111")),TH!D927,""),"")</f>
        <v/>
      </c>
      <c r="B927" s="63" t="str">
        <f t="shared" si="84"/>
        <v/>
      </c>
      <c r="C927" s="64"/>
      <c r="D927" s="64"/>
      <c r="E927" s="64"/>
      <c r="F927" s="67"/>
      <c r="G927" s="996"/>
      <c r="H927" s="74"/>
      <c r="I927" s="447"/>
      <c r="J927" s="447"/>
      <c r="K927" s="438"/>
      <c r="L927" s="447"/>
      <c r="M927" s="65"/>
      <c r="N927" s="323"/>
      <c r="O927" s="66"/>
      <c r="P927" s="85" t="str">
        <f>IF(AND('331-CT'!$E$7=TH!H927,OR(N927="331",O927="331")),"x","")</f>
        <v/>
      </c>
      <c r="Q927" s="85" t="str">
        <f>IF(AND(B927='111'!$L$11,OR($N927=$Q$7,$O927=$Q$7)),"x","")</f>
        <v/>
      </c>
      <c r="R927" s="85" t="str">
        <f>IF(AND($N927=$Q$7,$B927&lt;'111'!$L$11),"x","")</f>
        <v/>
      </c>
      <c r="S927" s="85" t="str">
        <f>IF(AND($O927=$Q$7,$B927&lt;'111'!$L$11),"x","")</f>
        <v/>
      </c>
      <c r="T927" s="85" t="str">
        <f>IF(ISERROR(FIND('112'!$M$9,G927,1)),"",IF((AND(FIND('112'!$M$9,G927,1)&gt;=1,B927='112'!$K$9,OR($N927='112'!$I$6,$O927='112'!$I$6))),"x",""))</f>
        <v/>
      </c>
      <c r="U927" s="85" t="str">
        <f>IF(ISERROR(FIND('112'!$M$9,G927,1)),"",IF((AND(LEFT(G927,2)=LEFT('112'!$M$9,2),B927&lt;'112'!$K$9,$N927='112'!$I$6)),"x",""))</f>
        <v/>
      </c>
      <c r="V927" s="85" t="str">
        <f>IF(ISERROR(FIND('112'!$M$9,G927,1)),"",IF((AND(RIGHT(G927,2)=RIGHT('112'!$M$9,2),B927&lt;'112'!$K$9,$O927='112'!$I$6)),"x",""))</f>
        <v/>
      </c>
      <c r="W927" s="85" t="str">
        <f>IF(AND('341-CT'!$H$9=H927,OR(LEFT(N927,3)=$W$7,LEFT(O927,3)=$W$7)),"x","")</f>
        <v/>
      </c>
      <c r="X927" s="85" t="str">
        <f>IF(OR(TH!N927=TH!$X$7,O927=TH!$X$7),"x","")</f>
        <v/>
      </c>
      <c r="Y927" s="85" t="str">
        <f>IF(AND(OR(N927="131",O927="131"),H927='131-CT'!$H$9),"x","")</f>
        <v/>
      </c>
      <c r="Z927" s="85"/>
      <c r="AA927" s="85" t="str">
        <f>IF(AND(MONTH(E927)='IN-NX'!$J$5,'IN-NX'!$D$7=D927),"x","")</f>
        <v/>
      </c>
      <c r="AB927" s="85" t="str">
        <f>IF(AND(OR(LEFT(TH!N927,2)="15",LEFT(TH!O927,2)="15"),'152-CT'!$J$8=TH!F927),"x","")</f>
        <v/>
      </c>
      <c r="AC927" s="85" t="str">
        <f>IF(AND(OR(LEFT(TH!N927,2)="15",LEFT(TH!O927,2)="15"),TK!$E$7=TH!F927),"x","")</f>
        <v/>
      </c>
      <c r="AD927" s="85" t="str">
        <f>IF(AND(N927="1521",MONTH(C927)='BK-NL'!$M$11),"x","")</f>
        <v/>
      </c>
    </row>
    <row r="928" spans="1:30" ht="15.75" customHeight="1">
      <c r="A928" s="343" t="str">
        <f>IF(B928&lt;&gt;"",IF(AND(B928='IN-TC'!$S$4,OR(TH!N928="1111",TH!O928="1111")),TH!D928,""),"")</f>
        <v/>
      </c>
      <c r="B928" s="63" t="str">
        <f t="shared" si="84"/>
        <v/>
      </c>
      <c r="C928" s="64"/>
      <c r="D928" s="320"/>
      <c r="E928" s="320"/>
      <c r="F928" s="67"/>
      <c r="G928" s="67"/>
      <c r="H928" s="74"/>
      <c r="I928" s="447"/>
      <c r="J928" s="447"/>
      <c r="K928" s="438"/>
      <c r="L928" s="447"/>
      <c r="M928" s="65"/>
      <c r="N928" s="66"/>
      <c r="O928" s="66"/>
      <c r="P928" s="85" t="str">
        <f>IF(AND('331-CT'!$E$7=TH!H928,OR(N928="331",O928="331")),"x","")</f>
        <v/>
      </c>
      <c r="Q928" s="85" t="str">
        <f>IF(AND(B928='111'!$L$11,OR($N928=$Q$7,$O928=$Q$7)),"x","")</f>
        <v/>
      </c>
      <c r="R928" s="85" t="str">
        <f>IF(AND($N928=$Q$7,$B928&lt;'111'!$L$11),"x","")</f>
        <v/>
      </c>
      <c r="S928" s="85" t="str">
        <f>IF(AND($O928=$Q$7,$B928&lt;'111'!$L$11),"x","")</f>
        <v/>
      </c>
      <c r="T928" s="85" t="str">
        <f>IF(ISERROR(FIND('112'!$M$9,G928,1)),"",IF((AND(FIND('112'!$M$9,G928,1)&gt;=1,B928='112'!$K$9,OR($N928='112'!$I$6,$O928='112'!$I$6))),"x",""))</f>
        <v/>
      </c>
      <c r="U928" s="85" t="str">
        <f>IF(ISERROR(FIND('112'!$M$9,G928,1)),"",IF((AND(LEFT(G928,2)=LEFT('112'!$M$9,2),B928&lt;'112'!$K$9,$N928='112'!$I$6)),"x",""))</f>
        <v/>
      </c>
      <c r="V928" s="85" t="str">
        <f>IF(ISERROR(FIND('112'!$M$9,G928,1)),"",IF((AND(RIGHT(G928,2)=RIGHT('112'!$M$9,2),B928&lt;'112'!$K$9,$O928='112'!$I$6)),"x",""))</f>
        <v/>
      </c>
      <c r="W928" s="85" t="str">
        <f>IF(AND('341-CT'!$H$9=H928,OR(LEFT(N928,3)=$W$7,LEFT(O928,3)=$W$7)),"x","")</f>
        <v/>
      </c>
      <c r="X928" s="85" t="str">
        <f>IF(OR(TH!N928=TH!$X$7,O928=TH!$X$7),"x","")</f>
        <v/>
      </c>
      <c r="Y928" s="85" t="str">
        <f>IF(AND(OR(N928="131",O928="131"),H928='131-CT'!$H$9),"x","")</f>
        <v/>
      </c>
      <c r="Z928" s="85"/>
      <c r="AA928" s="85" t="str">
        <f>IF(AND(MONTH(E928)='IN-NX'!$J$5,'IN-NX'!$D$7=D928),"x","")</f>
        <v/>
      </c>
      <c r="AB928" s="85" t="str">
        <f>IF(AND(OR(LEFT(TH!N928,2)="15",LEFT(TH!O928,2)="15"),'152-CT'!$J$8=TH!F928),"x","")</f>
        <v/>
      </c>
      <c r="AC928" s="85" t="str">
        <f>IF(AND(OR(LEFT(TH!N928,2)="15",LEFT(TH!O928,2)="15"),TK!$E$7=TH!F928),"x","")</f>
        <v/>
      </c>
      <c r="AD928" s="85" t="str">
        <f>IF(AND(N928="1521",MONTH(C928)='BK-NL'!$M$11),"x","")</f>
        <v/>
      </c>
    </row>
    <row r="929" spans="1:30" ht="15.75" customHeight="1">
      <c r="A929" s="343" t="str">
        <f>IF(B929&lt;&gt;"",IF(AND(B929='IN-TC'!$S$4,OR(TH!N929="1111",TH!O929="1111")),TH!D929,""),"")</f>
        <v/>
      </c>
      <c r="B929" s="63" t="str">
        <f t="shared" si="84"/>
        <v/>
      </c>
      <c r="C929" s="64"/>
      <c r="D929" s="64"/>
      <c r="E929" s="64"/>
      <c r="F929" s="67"/>
      <c r="G929" s="996"/>
      <c r="H929" s="74"/>
      <c r="I929" s="447"/>
      <c r="J929" s="447"/>
      <c r="K929" s="438"/>
      <c r="L929" s="447"/>
      <c r="M929" s="65"/>
      <c r="N929" s="66"/>
      <c r="O929" s="66"/>
      <c r="P929" s="85" t="str">
        <f>IF(AND('331-CT'!$E$7=TH!H929,OR(N929="331",O929="331")),"x","")</f>
        <v/>
      </c>
      <c r="Q929" s="85" t="str">
        <f>IF(AND(B929='111'!$L$11,OR($N929=$Q$7,$O929=$Q$7)),"x","")</f>
        <v/>
      </c>
      <c r="R929" s="85" t="str">
        <f>IF(AND($N929=$Q$7,$B929&lt;'111'!$L$11),"x","")</f>
        <v/>
      </c>
      <c r="S929" s="85" t="str">
        <f>IF(AND($O929=$Q$7,$B929&lt;'111'!$L$11),"x","")</f>
        <v/>
      </c>
      <c r="T929" s="85" t="str">
        <f>IF(ISERROR(FIND('112'!$M$9,G929,1)),"",IF((AND(FIND('112'!$M$9,G929,1)&gt;=1,B929='112'!$K$9,OR($N929='112'!$I$6,$O929='112'!$I$6))),"x",""))</f>
        <v/>
      </c>
      <c r="U929" s="85" t="str">
        <f>IF(ISERROR(FIND('112'!$M$9,G929,1)),"",IF((AND(LEFT(G929,2)=LEFT('112'!$M$9,2),B929&lt;'112'!$K$9,$N929='112'!$I$6)),"x",""))</f>
        <v/>
      </c>
      <c r="V929" s="85" t="str">
        <f>IF(ISERROR(FIND('112'!$M$9,G929,1)),"",IF((AND(RIGHT(G929,2)=RIGHT('112'!$M$9,2),B929&lt;'112'!$K$9,$O929='112'!$I$6)),"x",""))</f>
        <v/>
      </c>
      <c r="W929" s="85" t="str">
        <f>IF(AND('341-CT'!$H$9=H929,OR(LEFT(N929,3)=$W$7,LEFT(O929,3)=$W$7)),"x","")</f>
        <v/>
      </c>
      <c r="X929" s="85" t="str">
        <f>IF(OR(TH!N929=TH!$X$7,O929=TH!$X$7),"x","")</f>
        <v/>
      </c>
      <c r="Y929" s="85" t="str">
        <f>IF(AND(OR(N929="131",O929="131"),H929='131-CT'!$H$9),"x","")</f>
        <v/>
      </c>
      <c r="Z929" s="85"/>
      <c r="AA929" s="85" t="str">
        <f>IF(AND(MONTH(E929)='IN-NX'!$J$5,'IN-NX'!$D$7=D929),"x","")</f>
        <v/>
      </c>
      <c r="AB929" s="85" t="str">
        <f>IF(AND(OR(LEFT(TH!N929,2)="15",LEFT(TH!O929,2)="15"),'152-CT'!$J$8=TH!F929),"x","")</f>
        <v/>
      </c>
      <c r="AC929" s="85" t="str">
        <f>IF(AND(OR(LEFT(TH!N929,2)="15",LEFT(TH!O929,2)="15"),TK!$E$7=TH!F929),"x","")</f>
        <v/>
      </c>
      <c r="AD929" s="85" t="str">
        <f>IF(AND(N929="1521",MONTH(C929)='BK-NL'!$M$11),"x","")</f>
        <v/>
      </c>
    </row>
    <row r="930" spans="1:30" ht="15.75" customHeight="1">
      <c r="A930" s="343" t="str">
        <f>IF(B930&lt;&gt;"",IF(AND(B930='IN-TC'!$S$4,OR(TH!N930="1111",TH!O930="1111")),TH!D930,""),"")</f>
        <v/>
      </c>
      <c r="B930" s="63" t="str">
        <f t="shared" si="84"/>
        <v/>
      </c>
      <c r="C930" s="64"/>
      <c r="D930" s="64"/>
      <c r="E930" s="64"/>
      <c r="F930" s="67"/>
      <c r="G930" s="996"/>
      <c r="H930" s="74"/>
      <c r="I930" s="447"/>
      <c r="J930" s="447"/>
      <c r="K930" s="438"/>
      <c r="L930" s="447"/>
      <c r="M930" s="65"/>
      <c r="N930" s="66"/>
      <c r="O930" s="66"/>
      <c r="P930" s="85" t="str">
        <f>IF(AND('331-CT'!$E$7=TH!H930,OR(N930="331",O930="331")),"x","")</f>
        <v/>
      </c>
      <c r="Q930" s="85" t="str">
        <f>IF(AND(B930='111'!$L$11,OR($N930=$Q$7,$O930=$Q$7)),"x","")</f>
        <v/>
      </c>
      <c r="R930" s="85" t="str">
        <f>IF(AND($N930=$Q$7,$B930&lt;'111'!$L$11),"x","")</f>
        <v/>
      </c>
      <c r="S930" s="85" t="str">
        <f>IF(AND($O930=$Q$7,$B930&lt;'111'!$L$11),"x","")</f>
        <v/>
      </c>
      <c r="T930" s="85" t="str">
        <f>IF(ISERROR(FIND('112'!$M$9,G930,1)),"",IF((AND(FIND('112'!$M$9,G930,1)&gt;=1,B930='112'!$K$9,OR($N930='112'!$I$6,$O930='112'!$I$6))),"x",""))</f>
        <v/>
      </c>
      <c r="U930" s="85" t="str">
        <f>IF(ISERROR(FIND('112'!$M$9,G930,1)),"",IF((AND(LEFT(G930,2)=LEFT('112'!$M$9,2),B930&lt;'112'!$K$9,$N930='112'!$I$6)),"x",""))</f>
        <v/>
      </c>
      <c r="V930" s="85" t="str">
        <f>IF(ISERROR(FIND('112'!$M$9,G930,1)),"",IF((AND(RIGHT(G930,2)=RIGHT('112'!$M$9,2),B930&lt;'112'!$K$9,$O930='112'!$I$6)),"x",""))</f>
        <v/>
      </c>
      <c r="W930" s="85" t="str">
        <f>IF(AND('341-CT'!$H$9=H930,OR(LEFT(N930,3)=$W$7,LEFT(O930,3)=$W$7)),"x","")</f>
        <v/>
      </c>
      <c r="X930" s="85" t="str">
        <f>IF(OR(TH!N930=TH!$X$7,O930=TH!$X$7),"x","")</f>
        <v/>
      </c>
      <c r="Y930" s="85" t="str">
        <f>IF(AND(OR(N930="131",O930="131"),H930='131-CT'!$H$9),"x","")</f>
        <v/>
      </c>
      <c r="Z930" s="85"/>
      <c r="AA930" s="85" t="str">
        <f>IF(AND(MONTH(E930)='IN-NX'!$J$5,'IN-NX'!$D$7=D930),"x","")</f>
        <v/>
      </c>
      <c r="AB930" s="85" t="str">
        <f>IF(AND(OR(LEFT(TH!N930,2)="15",LEFT(TH!O930,2)="15"),'152-CT'!$J$8=TH!F930),"x","")</f>
        <v/>
      </c>
      <c r="AC930" s="85" t="str">
        <f>IF(AND(OR(LEFT(TH!N930,2)="15",LEFT(TH!O930,2)="15"),TK!$E$7=TH!F930),"x","")</f>
        <v/>
      </c>
      <c r="AD930" s="85" t="str">
        <f>IF(AND(N930="1521",MONTH(C930)='BK-NL'!$M$11),"x","")</f>
        <v/>
      </c>
    </row>
    <row r="931" spans="1:30" ht="15.75" customHeight="1">
      <c r="A931" s="343" t="str">
        <f>IF(B931&lt;&gt;"",IF(AND(B931='IN-TC'!$S$4,OR(TH!N931="1111",TH!O931="1111")),TH!D931,""),"")</f>
        <v/>
      </c>
      <c r="B931" s="63" t="str">
        <f t="shared" si="84"/>
        <v/>
      </c>
      <c r="C931" s="64"/>
      <c r="D931" s="64"/>
      <c r="E931" s="64"/>
      <c r="F931" s="67"/>
      <c r="G931" s="67"/>
      <c r="H931" s="74"/>
      <c r="I931" s="447"/>
      <c r="J931" s="447"/>
      <c r="K931" s="438"/>
      <c r="L931" s="447"/>
      <c r="M931" s="65"/>
      <c r="N931" s="66"/>
      <c r="O931" s="66"/>
      <c r="P931" s="85" t="str">
        <f>IF(AND('331-CT'!$E$7=TH!H931,OR(N931="331",O931="331")),"x","")</f>
        <v/>
      </c>
      <c r="Q931" s="85" t="str">
        <f>IF(AND(B931='111'!$L$11,OR($N931=$Q$7,$O931=$Q$7)),"x","")</f>
        <v/>
      </c>
      <c r="R931" s="85" t="str">
        <f>IF(AND($N931=$Q$7,$B931&lt;'111'!$L$11),"x","")</f>
        <v/>
      </c>
      <c r="S931" s="85" t="str">
        <f>IF(AND($O931=$Q$7,$B931&lt;'111'!$L$11),"x","")</f>
        <v/>
      </c>
      <c r="T931" s="85" t="str">
        <f>IF(ISERROR(FIND('112'!$M$9,G931,1)),"",IF((AND(FIND('112'!$M$9,G931,1)&gt;=1,B931='112'!$K$9,OR($N931='112'!$I$6,$O931='112'!$I$6))),"x",""))</f>
        <v/>
      </c>
      <c r="U931" s="85" t="str">
        <f>IF(ISERROR(FIND('112'!$M$9,G931,1)),"",IF((AND(LEFT(G931,2)=LEFT('112'!$M$9,2),B931&lt;'112'!$K$9,$N931='112'!$I$6)),"x",""))</f>
        <v/>
      </c>
      <c r="V931" s="85" t="str">
        <f>IF(ISERROR(FIND('112'!$M$9,G931,1)),"",IF((AND(RIGHT(G931,2)=RIGHT('112'!$M$9,2),B931&lt;'112'!$K$9,$O931='112'!$I$6)),"x",""))</f>
        <v/>
      </c>
      <c r="W931" s="85" t="str">
        <f>IF(AND('341-CT'!$H$9=H931,OR(LEFT(N931,3)=$W$7,LEFT(O931,3)=$W$7)),"x","")</f>
        <v/>
      </c>
      <c r="X931" s="85" t="str">
        <f>IF(OR(TH!N931=TH!$X$7,O931=TH!$X$7),"x","")</f>
        <v/>
      </c>
      <c r="Y931" s="85" t="str">
        <f>IF(AND(OR(N931="131",O931="131"),H931='131-CT'!$H$9),"x","")</f>
        <v/>
      </c>
      <c r="Z931" s="85"/>
      <c r="AA931" s="85" t="str">
        <f>IF(AND(MONTH(E931)='IN-NX'!$J$5,'IN-NX'!$D$7=D931),"x","")</f>
        <v/>
      </c>
      <c r="AB931" s="85" t="str">
        <f>IF(AND(OR(LEFT(TH!N931,2)="15",LEFT(TH!O931,2)="15"),'152-CT'!$J$8=TH!F931),"x","")</f>
        <v/>
      </c>
      <c r="AC931" s="85" t="str">
        <f>IF(AND(OR(LEFT(TH!N931,2)="15",LEFT(TH!O931,2)="15"),TK!$E$7=TH!F931),"x","")</f>
        <v/>
      </c>
      <c r="AD931" s="85" t="str">
        <f>IF(AND(N931="1521",MONTH(C931)='BK-NL'!$M$11),"x","")</f>
        <v/>
      </c>
    </row>
    <row r="932" spans="1:30" ht="15.75" customHeight="1">
      <c r="A932" s="343" t="str">
        <f>IF(B932&lt;&gt;"",IF(AND(B932='IN-TC'!$S$4,OR(TH!N932="1111",TH!O932="1111")),TH!D932,""),"")</f>
        <v/>
      </c>
      <c r="B932" s="63" t="str">
        <f t="shared" si="84"/>
        <v/>
      </c>
      <c r="C932" s="64"/>
      <c r="D932" s="64"/>
      <c r="E932" s="64"/>
      <c r="F932" s="67"/>
      <c r="G932" s="67"/>
      <c r="H932" s="74"/>
      <c r="I932" s="447"/>
      <c r="J932" s="447"/>
      <c r="K932" s="438"/>
      <c r="L932" s="447"/>
      <c r="M932" s="65"/>
      <c r="N932" s="66"/>
      <c r="O932" s="66"/>
      <c r="P932" s="85" t="str">
        <f>IF(AND('331-CT'!$E$7=TH!H932,OR(N932="331",O932="331")),"x","")</f>
        <v/>
      </c>
      <c r="Q932" s="85" t="str">
        <f>IF(AND(B932='111'!$L$11,OR($N932=$Q$7,$O932=$Q$7)),"x","")</f>
        <v/>
      </c>
      <c r="R932" s="85" t="str">
        <f>IF(AND($N932=$Q$7,$B932&lt;'111'!$L$11),"x","")</f>
        <v/>
      </c>
      <c r="S932" s="85" t="str">
        <f>IF(AND($O932=$Q$7,$B932&lt;'111'!$L$11),"x","")</f>
        <v/>
      </c>
      <c r="T932" s="85" t="str">
        <f>IF(ISERROR(FIND('112'!$M$9,G932,1)),"",IF((AND(FIND('112'!$M$9,G932,1)&gt;=1,B932='112'!$K$9,OR($N932='112'!$I$6,$O932='112'!$I$6))),"x",""))</f>
        <v/>
      </c>
      <c r="U932" s="85" t="str">
        <f>IF(ISERROR(FIND('112'!$M$9,G932,1)),"",IF((AND(LEFT(G932,2)=LEFT('112'!$M$9,2),B932&lt;'112'!$K$9,$N932='112'!$I$6)),"x",""))</f>
        <v/>
      </c>
      <c r="V932" s="85" t="str">
        <f>IF(ISERROR(FIND('112'!$M$9,G932,1)),"",IF((AND(RIGHT(G932,2)=RIGHT('112'!$M$9,2),B932&lt;'112'!$K$9,$O932='112'!$I$6)),"x",""))</f>
        <v/>
      </c>
      <c r="W932" s="85" t="str">
        <f>IF(AND('341-CT'!$H$9=H932,OR(LEFT(N932,3)=$W$7,LEFT(O932,3)=$W$7)),"x","")</f>
        <v/>
      </c>
      <c r="X932" s="85" t="str">
        <f>IF(OR(TH!N932=TH!$X$7,O932=TH!$X$7),"x","")</f>
        <v/>
      </c>
      <c r="Y932" s="85" t="str">
        <f>IF(AND(OR(N932="131",O932="131"),H932='131-CT'!$H$9),"x","")</f>
        <v/>
      </c>
      <c r="Z932" s="85"/>
      <c r="AA932" s="85" t="str">
        <f>IF(AND(MONTH(E932)='IN-NX'!$J$5,'IN-NX'!$D$7=D932),"x","")</f>
        <v/>
      </c>
      <c r="AB932" s="85" t="str">
        <f>IF(AND(OR(LEFT(TH!N932,2)="15",LEFT(TH!O932,2)="15"),'152-CT'!$J$8=TH!F932),"x","")</f>
        <v/>
      </c>
      <c r="AC932" s="85" t="str">
        <f>IF(AND(OR(LEFT(TH!N932,2)="15",LEFT(TH!O932,2)="15"),TK!$E$7=TH!F932),"x","")</f>
        <v/>
      </c>
      <c r="AD932" s="85" t="str">
        <f>IF(AND(N932="1521",MONTH(C932)='BK-NL'!$M$11),"x","")</f>
        <v/>
      </c>
    </row>
    <row r="933" spans="1:30" ht="15.75" customHeight="1">
      <c r="A933" s="343" t="str">
        <f>IF(B933&lt;&gt;"",IF(AND(B933='IN-TC'!$S$4,OR(TH!N933="1111",TH!O933="1111")),TH!D933,""),"")</f>
        <v/>
      </c>
      <c r="B933" s="63" t="str">
        <f t="shared" si="84"/>
        <v/>
      </c>
      <c r="C933" s="64"/>
      <c r="D933" s="64"/>
      <c r="E933" s="64"/>
      <c r="F933" s="67"/>
      <c r="G933" s="67"/>
      <c r="H933" s="74"/>
      <c r="I933" s="447"/>
      <c r="J933" s="447"/>
      <c r="K933" s="438"/>
      <c r="L933" s="447"/>
      <c r="M933" s="65"/>
      <c r="N933" s="66"/>
      <c r="O933" s="66"/>
      <c r="P933" s="85" t="str">
        <f>IF(AND('331-CT'!$E$7=TH!H933,OR(N933="331",O933="331")),"x","")</f>
        <v/>
      </c>
      <c r="Q933" s="85" t="str">
        <f>IF(AND(B933='111'!$L$11,OR($N933=$Q$7,$O933=$Q$7)),"x","")</f>
        <v/>
      </c>
      <c r="R933" s="85" t="str">
        <f>IF(AND($N933=$Q$7,$B933&lt;'111'!$L$11),"x","")</f>
        <v/>
      </c>
      <c r="S933" s="85" t="str">
        <f>IF(AND($O933=$Q$7,$B933&lt;'111'!$L$11),"x","")</f>
        <v/>
      </c>
      <c r="T933" s="85" t="str">
        <f>IF(ISERROR(FIND('112'!$M$9,G933,1)),"",IF((AND(FIND('112'!$M$9,G933,1)&gt;=1,B933='112'!$K$9,OR($N933='112'!$I$6,$O933='112'!$I$6))),"x",""))</f>
        <v/>
      </c>
      <c r="U933" s="85" t="str">
        <f>IF(ISERROR(FIND('112'!$M$9,G933,1)),"",IF((AND(LEFT(G933,2)=LEFT('112'!$M$9,2),B933&lt;'112'!$K$9,$N933='112'!$I$6)),"x",""))</f>
        <v/>
      </c>
      <c r="V933" s="85" t="str">
        <f>IF(ISERROR(FIND('112'!$M$9,G933,1)),"",IF((AND(RIGHT(G933,2)=RIGHT('112'!$M$9,2),B933&lt;'112'!$K$9,$O933='112'!$I$6)),"x",""))</f>
        <v/>
      </c>
      <c r="W933" s="85" t="str">
        <f>IF(AND('341-CT'!$H$9=H933,OR(LEFT(N933,3)=$W$7,LEFT(O933,3)=$W$7)),"x","")</f>
        <v/>
      </c>
      <c r="X933" s="85" t="str">
        <f>IF(OR(TH!N933=TH!$X$7,O933=TH!$X$7),"x","")</f>
        <v/>
      </c>
      <c r="Y933" s="85" t="str">
        <f>IF(AND(OR(N933="131",O933="131"),H933='131-CT'!$H$9),"x","")</f>
        <v/>
      </c>
      <c r="Z933" s="85"/>
      <c r="AA933" s="85" t="str">
        <f>IF(AND(MONTH(E933)='IN-NX'!$J$5,'IN-NX'!$D$7=D933),"x","")</f>
        <v/>
      </c>
      <c r="AB933" s="85" t="str">
        <f>IF(AND(OR(LEFT(TH!N933,2)="15",LEFT(TH!O933,2)="15"),'152-CT'!$J$8=TH!F933),"x","")</f>
        <v/>
      </c>
      <c r="AC933" s="85" t="str">
        <f>IF(AND(OR(LEFT(TH!N933,2)="15",LEFT(TH!O933,2)="15"),TK!$E$7=TH!F933),"x","")</f>
        <v/>
      </c>
      <c r="AD933" s="85" t="str">
        <f>IF(AND(N933="1521",MONTH(C933)='BK-NL'!$M$11),"x","")</f>
        <v/>
      </c>
    </row>
    <row r="934" spans="1:30" ht="15.75" customHeight="1">
      <c r="A934" s="343" t="str">
        <f>IF(B934&lt;&gt;"",IF(AND(B934='IN-TC'!$S$4,OR(TH!N934="1111",TH!O934="1111")),TH!D934,""),"")</f>
        <v/>
      </c>
      <c r="B934" s="63" t="str">
        <f t="shared" si="84"/>
        <v/>
      </c>
      <c r="C934" s="64"/>
      <c r="D934" s="64"/>
      <c r="E934" s="64"/>
      <c r="F934" s="67"/>
      <c r="G934" s="67"/>
      <c r="H934" s="74"/>
      <c r="I934" s="447"/>
      <c r="J934" s="447"/>
      <c r="K934" s="438"/>
      <c r="L934" s="447"/>
      <c r="M934" s="65"/>
      <c r="N934" s="66"/>
      <c r="O934" s="66"/>
      <c r="P934" s="85" t="str">
        <f>IF(AND('331-CT'!$E$7=TH!H934,OR(N934="331",O934="331")),"x","")</f>
        <v/>
      </c>
      <c r="Q934" s="85" t="str">
        <f>IF(AND(B934='111'!$L$11,OR($N934=$Q$7,$O934=$Q$7)),"x","")</f>
        <v/>
      </c>
      <c r="R934" s="85" t="str">
        <f>IF(AND($N934=$Q$7,$B934&lt;'111'!$L$11),"x","")</f>
        <v/>
      </c>
      <c r="S934" s="85" t="str">
        <f>IF(AND($O934=$Q$7,$B934&lt;'111'!$L$11),"x","")</f>
        <v/>
      </c>
      <c r="T934" s="85" t="str">
        <f>IF(ISERROR(FIND('112'!$M$9,G934,1)),"",IF((AND(FIND('112'!$M$9,G934,1)&gt;=1,B934='112'!$K$9,OR($N934='112'!$I$6,$O934='112'!$I$6))),"x",""))</f>
        <v/>
      </c>
      <c r="U934" s="85" t="str">
        <f>IF(ISERROR(FIND('112'!$M$9,G934,1)),"",IF((AND(LEFT(G934,2)=LEFT('112'!$M$9,2),B934&lt;'112'!$K$9,$N934='112'!$I$6)),"x",""))</f>
        <v/>
      </c>
      <c r="V934" s="85" t="str">
        <f>IF(ISERROR(FIND('112'!$M$9,G934,1)),"",IF((AND(RIGHT(G934,2)=RIGHT('112'!$M$9,2),B934&lt;'112'!$K$9,$O934='112'!$I$6)),"x",""))</f>
        <v/>
      </c>
      <c r="W934" s="85" t="str">
        <f>IF(AND('341-CT'!$H$9=H934,OR(LEFT(N934,3)=$W$7,LEFT(O934,3)=$W$7)),"x","")</f>
        <v/>
      </c>
      <c r="X934" s="85" t="str">
        <f>IF(OR(TH!N934=TH!$X$7,O934=TH!$X$7),"x","")</f>
        <v/>
      </c>
      <c r="Y934" s="85" t="str">
        <f>IF(AND(OR(N934="131",O934="131"),H934='131-CT'!$H$9),"x","")</f>
        <v/>
      </c>
      <c r="Z934" s="85"/>
      <c r="AA934" s="85" t="str">
        <f>IF(AND(MONTH(E934)='IN-NX'!$J$5,'IN-NX'!$D$7=D934),"x","")</f>
        <v/>
      </c>
      <c r="AB934" s="85" t="str">
        <f>IF(AND(OR(LEFT(TH!N934,2)="15",LEFT(TH!O934,2)="15"),'152-CT'!$J$8=TH!F934),"x","")</f>
        <v/>
      </c>
      <c r="AC934" s="85" t="str">
        <f>IF(AND(OR(LEFT(TH!N934,2)="15",LEFT(TH!O934,2)="15"),TK!$E$7=TH!F934),"x","")</f>
        <v/>
      </c>
      <c r="AD934" s="85" t="str">
        <f>IF(AND(N934="1521",MONTH(C934)='BK-NL'!$M$11),"x","")</f>
        <v/>
      </c>
    </row>
    <row r="935" spans="1:30" ht="15.75" customHeight="1">
      <c r="A935" s="343" t="str">
        <f>IF(B935&lt;&gt;"",IF(AND(B935='IN-TC'!$S$4,OR(TH!N935="1111",TH!O935="1111")),TH!D935,""),"")</f>
        <v/>
      </c>
      <c r="B935" s="63" t="str">
        <f t="shared" si="84"/>
        <v/>
      </c>
      <c r="C935" s="64"/>
      <c r="D935" s="64"/>
      <c r="E935" s="64"/>
      <c r="F935" s="67"/>
      <c r="G935" s="67"/>
      <c r="H935" s="74"/>
      <c r="I935" s="447"/>
      <c r="J935" s="447"/>
      <c r="K935" s="438"/>
      <c r="L935" s="447"/>
      <c r="M935" s="65"/>
      <c r="N935" s="66"/>
      <c r="O935" s="66"/>
      <c r="P935" s="85" t="str">
        <f>IF(AND('331-CT'!$E$7=TH!H935,OR(N935="331",O935="331")),"x","")</f>
        <v/>
      </c>
      <c r="Q935" s="85" t="str">
        <f>IF(AND(B935='111'!$L$11,OR($N935=$Q$7,$O935=$Q$7)),"x","")</f>
        <v/>
      </c>
      <c r="R935" s="85" t="str">
        <f>IF(AND($N935=$Q$7,$B935&lt;'111'!$L$11),"x","")</f>
        <v/>
      </c>
      <c r="S935" s="85" t="str">
        <f>IF(AND($O935=$Q$7,$B935&lt;'111'!$L$11),"x","")</f>
        <v/>
      </c>
      <c r="T935" s="85" t="str">
        <f>IF(ISERROR(FIND('112'!$M$9,G935,1)),"",IF((AND(FIND('112'!$M$9,G935,1)&gt;=1,B935='112'!$K$9,OR($N935='112'!$I$6,$O935='112'!$I$6))),"x",""))</f>
        <v/>
      </c>
      <c r="U935" s="85" t="str">
        <f>IF(ISERROR(FIND('112'!$M$9,G935,1)),"",IF((AND(LEFT(G935,2)=LEFT('112'!$M$9,2),B935&lt;'112'!$K$9,$N935='112'!$I$6)),"x",""))</f>
        <v/>
      </c>
      <c r="V935" s="85" t="str">
        <f>IF(ISERROR(FIND('112'!$M$9,G935,1)),"",IF((AND(RIGHT(G935,2)=RIGHT('112'!$M$9,2),B935&lt;'112'!$K$9,$O935='112'!$I$6)),"x",""))</f>
        <v/>
      </c>
      <c r="W935" s="85" t="str">
        <f>IF(AND('341-CT'!$H$9=H935,OR(LEFT(N935,3)=$W$7,LEFT(O935,3)=$W$7)),"x","")</f>
        <v/>
      </c>
      <c r="X935" s="85" t="str">
        <f>IF(OR(TH!N935=TH!$X$7,O935=TH!$X$7),"x","")</f>
        <v/>
      </c>
      <c r="Y935" s="85" t="str">
        <f>IF(AND(OR(N935="131",O935="131"),H935='131-CT'!$H$9),"x","")</f>
        <v/>
      </c>
      <c r="Z935" s="85"/>
      <c r="AA935" s="85" t="str">
        <f>IF(AND(MONTH(E935)='IN-NX'!$J$5,'IN-NX'!$D$7=D935),"x","")</f>
        <v/>
      </c>
      <c r="AB935" s="85" t="str">
        <f>IF(AND(OR(LEFT(TH!N935,2)="15",LEFT(TH!O935,2)="15"),'152-CT'!$J$8=TH!F935),"x","")</f>
        <v/>
      </c>
      <c r="AC935" s="85" t="str">
        <f>IF(AND(OR(LEFT(TH!N935,2)="15",LEFT(TH!O935,2)="15"),TK!$E$7=TH!F935),"x","")</f>
        <v/>
      </c>
      <c r="AD935" s="85" t="str">
        <f>IF(AND(N935="1521",MONTH(C935)='BK-NL'!$M$11),"x","")</f>
        <v/>
      </c>
    </row>
    <row r="936" spans="1:30" ht="15.75" customHeight="1">
      <c r="A936" s="343" t="str">
        <f>IF(B936&lt;&gt;"",IF(AND(B936='IN-TC'!$S$4,OR(TH!N936="1111",TH!O936="1111")),TH!D936,""),"")</f>
        <v/>
      </c>
      <c r="B936" s="63" t="str">
        <f t="shared" si="84"/>
        <v/>
      </c>
      <c r="C936" s="64"/>
      <c r="D936" s="64"/>
      <c r="E936" s="64"/>
      <c r="F936" s="67"/>
      <c r="G936" s="67"/>
      <c r="H936" s="74"/>
      <c r="I936" s="447"/>
      <c r="J936" s="447"/>
      <c r="K936" s="438"/>
      <c r="L936" s="447"/>
      <c r="M936" s="65"/>
      <c r="N936" s="66"/>
      <c r="O936" s="66"/>
      <c r="P936" s="85" t="str">
        <f>IF(AND('331-CT'!$E$7=TH!H936,OR(N936="331",O936="331")),"x","")</f>
        <v/>
      </c>
      <c r="Q936" s="85" t="str">
        <f>IF(AND(B936='111'!$L$11,OR($N936=$Q$7,$O936=$Q$7)),"x","")</f>
        <v/>
      </c>
      <c r="R936" s="85" t="str">
        <f>IF(AND($N936=$Q$7,$B936&lt;'111'!$L$11),"x","")</f>
        <v/>
      </c>
      <c r="S936" s="85" t="str">
        <f>IF(AND($O936=$Q$7,$B936&lt;'111'!$L$11),"x","")</f>
        <v/>
      </c>
      <c r="T936" s="85" t="str">
        <f>IF(ISERROR(FIND('112'!$M$9,G936,1)),"",IF((AND(FIND('112'!$M$9,G936,1)&gt;=1,B936='112'!$K$9,OR($N936='112'!$I$6,$O936='112'!$I$6))),"x",""))</f>
        <v/>
      </c>
      <c r="U936" s="85" t="str">
        <f>IF(ISERROR(FIND('112'!$M$9,G936,1)),"",IF((AND(LEFT(G936,2)=LEFT('112'!$M$9,2),B936&lt;'112'!$K$9,$N936='112'!$I$6)),"x",""))</f>
        <v/>
      </c>
      <c r="V936" s="85" t="str">
        <f>IF(ISERROR(FIND('112'!$M$9,G936,1)),"",IF((AND(RIGHT(G936,2)=RIGHT('112'!$M$9,2),B936&lt;'112'!$K$9,$O936='112'!$I$6)),"x",""))</f>
        <v/>
      </c>
      <c r="W936" s="85" t="str">
        <f>IF(AND('341-CT'!$H$9=H936,OR(LEFT(N936,3)=$W$7,LEFT(O936,3)=$W$7)),"x","")</f>
        <v/>
      </c>
      <c r="X936" s="85" t="str">
        <f>IF(OR(TH!N936=TH!$X$7,O936=TH!$X$7),"x","")</f>
        <v/>
      </c>
      <c r="Y936" s="85" t="str">
        <f>IF(AND(OR(N936="131",O936="131"),H936='131-CT'!$H$9),"x","")</f>
        <v/>
      </c>
      <c r="Z936" s="85"/>
      <c r="AA936" s="85" t="str">
        <f>IF(AND(MONTH(E936)='IN-NX'!$J$5,'IN-NX'!$D$7=D936),"x","")</f>
        <v/>
      </c>
      <c r="AB936" s="85" t="str">
        <f>IF(AND(OR(LEFT(TH!N936,2)="15",LEFT(TH!O936,2)="15"),'152-CT'!$J$8=TH!F936),"x","")</f>
        <v/>
      </c>
      <c r="AC936" s="85" t="str">
        <f>IF(AND(OR(LEFT(TH!N936,2)="15",LEFT(TH!O936,2)="15"),TK!$E$7=TH!F936),"x","")</f>
        <v/>
      </c>
      <c r="AD936" s="85" t="str">
        <f>IF(AND(N936="1521",MONTH(C936)='BK-NL'!$M$11),"x","")</f>
        <v/>
      </c>
    </row>
    <row r="937" spans="1:30" ht="15.75" customHeight="1">
      <c r="A937" s="343" t="str">
        <f>IF(B937&lt;&gt;"",IF(AND(B937='IN-TC'!$S$4,OR(TH!N937="1111",TH!O937="1111")),TH!D937,""),"")</f>
        <v/>
      </c>
      <c r="B937" s="63" t="str">
        <f t="shared" si="84"/>
        <v/>
      </c>
      <c r="C937" s="64"/>
      <c r="D937" s="64"/>
      <c r="E937" s="64"/>
      <c r="F937" s="67"/>
      <c r="G937" s="67"/>
      <c r="H937" s="74"/>
      <c r="I937" s="447"/>
      <c r="J937" s="447"/>
      <c r="K937" s="438"/>
      <c r="L937" s="447"/>
      <c r="M937" s="65"/>
      <c r="N937" s="66"/>
      <c r="O937" s="66"/>
      <c r="P937" s="85" t="str">
        <f>IF(AND('331-CT'!$E$7=TH!H937,OR(N937="331",O937="331")),"x","")</f>
        <v/>
      </c>
      <c r="Q937" s="85" t="str">
        <f>IF(AND(B937='111'!$L$11,OR($N937=$Q$7,$O937=$Q$7)),"x","")</f>
        <v/>
      </c>
      <c r="R937" s="85" t="str">
        <f>IF(AND($N937=$Q$7,$B937&lt;'111'!$L$11),"x","")</f>
        <v/>
      </c>
      <c r="S937" s="85" t="str">
        <f>IF(AND($O937=$Q$7,$B937&lt;'111'!$L$11),"x","")</f>
        <v/>
      </c>
      <c r="T937" s="85" t="str">
        <f>IF(ISERROR(FIND('112'!$M$9,G937,1)),"",IF((AND(FIND('112'!$M$9,G937,1)&gt;=1,B937='112'!$K$9,OR($N937='112'!$I$6,$O937='112'!$I$6))),"x",""))</f>
        <v/>
      </c>
      <c r="U937" s="85" t="str">
        <f>IF(ISERROR(FIND('112'!$M$9,G937,1)),"",IF((AND(LEFT(G937,2)=LEFT('112'!$M$9,2),B937&lt;'112'!$K$9,$N937='112'!$I$6)),"x",""))</f>
        <v/>
      </c>
      <c r="V937" s="85" t="str">
        <f>IF(ISERROR(FIND('112'!$M$9,G937,1)),"",IF((AND(RIGHT(G937,2)=RIGHT('112'!$M$9,2),B937&lt;'112'!$K$9,$O937='112'!$I$6)),"x",""))</f>
        <v/>
      </c>
      <c r="W937" s="85" t="str">
        <f>IF(AND('341-CT'!$H$9=H937,OR(LEFT(N937,3)=$W$7,LEFT(O937,3)=$W$7)),"x","")</f>
        <v/>
      </c>
      <c r="X937" s="85" t="str">
        <f>IF(OR(TH!N937=TH!$X$7,O937=TH!$X$7),"x","")</f>
        <v/>
      </c>
      <c r="Y937" s="85" t="str">
        <f>IF(AND(OR(N937="131",O937="131"),H937='131-CT'!$H$9),"x","")</f>
        <v/>
      </c>
      <c r="Z937" s="85"/>
      <c r="AA937" s="85" t="str">
        <f>IF(AND(MONTH(E937)='IN-NX'!$J$5,'IN-NX'!$D$7=D937),"x","")</f>
        <v/>
      </c>
      <c r="AB937" s="85" t="str">
        <f>IF(AND(OR(LEFT(TH!N937,2)="15",LEFT(TH!O937,2)="15"),'152-CT'!$J$8=TH!F937),"x","")</f>
        <v/>
      </c>
      <c r="AC937" s="85" t="str">
        <f>IF(AND(OR(LEFT(TH!N937,2)="15",LEFT(TH!O937,2)="15"),TK!$E$7=TH!F937),"x","")</f>
        <v/>
      </c>
      <c r="AD937" s="85" t="str">
        <f>IF(AND(N937="1521",MONTH(C937)='BK-NL'!$M$11),"x","")</f>
        <v/>
      </c>
    </row>
    <row r="938" spans="1:30" ht="15.75" customHeight="1">
      <c r="A938" s="343" t="str">
        <f>IF(B938&lt;&gt;"",IF(AND(B938='IN-TC'!$S$4,OR(TH!N938="1111",TH!O938="1111")),TH!D938,""),"")</f>
        <v/>
      </c>
      <c r="B938" s="63" t="str">
        <f t="shared" si="84"/>
        <v/>
      </c>
      <c r="C938" s="64"/>
      <c r="D938" s="64"/>
      <c r="E938" s="64"/>
      <c r="F938" s="67"/>
      <c r="G938" s="67"/>
      <c r="H938" s="74"/>
      <c r="I938" s="447"/>
      <c r="J938" s="447"/>
      <c r="K938" s="438"/>
      <c r="L938" s="447"/>
      <c r="M938" s="65"/>
      <c r="N938" s="66"/>
      <c r="O938" s="66"/>
      <c r="P938" s="85" t="str">
        <f>IF(AND('331-CT'!$E$7=TH!H938,OR(N938="331",O938="331")),"x","")</f>
        <v/>
      </c>
      <c r="Q938" s="85" t="str">
        <f>IF(AND(B938='111'!$L$11,OR($N938=$Q$7,$O938=$Q$7)),"x","")</f>
        <v/>
      </c>
      <c r="R938" s="85" t="str">
        <f>IF(AND($N938=$Q$7,$B938&lt;'111'!$L$11),"x","")</f>
        <v/>
      </c>
      <c r="S938" s="85" t="str">
        <f>IF(AND($O938=$Q$7,$B938&lt;'111'!$L$11),"x","")</f>
        <v/>
      </c>
      <c r="T938" s="85" t="str">
        <f>IF(ISERROR(FIND('112'!$M$9,G938,1)),"",IF((AND(FIND('112'!$M$9,G938,1)&gt;=1,B938='112'!$K$9,OR($N938='112'!$I$6,$O938='112'!$I$6))),"x",""))</f>
        <v/>
      </c>
      <c r="U938" s="85" t="str">
        <f>IF(ISERROR(FIND('112'!$M$9,G938,1)),"",IF((AND(LEFT(G938,2)=LEFT('112'!$M$9,2),B938&lt;'112'!$K$9,$N938='112'!$I$6)),"x",""))</f>
        <v/>
      </c>
      <c r="V938" s="85" t="str">
        <f>IF(ISERROR(FIND('112'!$M$9,G938,1)),"",IF((AND(RIGHT(G938,2)=RIGHT('112'!$M$9,2),B938&lt;'112'!$K$9,$O938='112'!$I$6)),"x",""))</f>
        <v/>
      </c>
      <c r="W938" s="85" t="str">
        <f>IF(AND('341-CT'!$H$9=H938,OR(LEFT(N938,3)=$W$7,LEFT(O938,3)=$W$7)),"x","")</f>
        <v/>
      </c>
      <c r="X938" s="85" t="str">
        <f>IF(OR(TH!N938=TH!$X$7,O938=TH!$X$7),"x","")</f>
        <v/>
      </c>
      <c r="Y938" s="85" t="str">
        <f>IF(AND(OR(N938="131",O938="131"),H938='131-CT'!$H$9),"x","")</f>
        <v/>
      </c>
      <c r="Z938" s="85"/>
      <c r="AA938" s="85" t="str">
        <f>IF(AND(MONTH(E938)='IN-NX'!$J$5,'IN-NX'!$D$7=D938),"x","")</f>
        <v/>
      </c>
      <c r="AB938" s="85" t="str">
        <f>IF(AND(OR(LEFT(TH!N938,2)="15",LEFT(TH!O938,2)="15"),'152-CT'!$J$8=TH!F938),"x","")</f>
        <v/>
      </c>
      <c r="AC938" s="85" t="str">
        <f>IF(AND(OR(LEFT(TH!N938,2)="15",LEFT(TH!O938,2)="15"),TK!$E$7=TH!F938),"x","")</f>
        <v/>
      </c>
      <c r="AD938" s="85" t="str">
        <f>IF(AND(N938="1521",MONTH(C938)='BK-NL'!$M$11),"x","")</f>
        <v/>
      </c>
    </row>
    <row r="939" spans="1:30" ht="15.75" customHeight="1">
      <c r="A939" s="343" t="str">
        <f>IF(B939&lt;&gt;"",IF(AND(B939='IN-TC'!$S$4,OR(TH!N939="1111",TH!O939="1111")),TH!D939,""),"")</f>
        <v/>
      </c>
      <c r="B939" s="63" t="str">
        <f t="shared" si="84"/>
        <v/>
      </c>
      <c r="C939" s="64"/>
      <c r="D939" s="64"/>
      <c r="E939" s="64"/>
      <c r="F939" s="67"/>
      <c r="G939" s="67"/>
      <c r="H939" s="74"/>
      <c r="I939" s="447"/>
      <c r="J939" s="447"/>
      <c r="K939" s="438"/>
      <c r="L939" s="447"/>
      <c r="M939" s="65"/>
      <c r="N939" s="66"/>
      <c r="O939" s="66"/>
      <c r="P939" s="85" t="str">
        <f>IF(AND('331-CT'!$E$7=TH!H939,OR(N939="331",O939="331")),"x","")</f>
        <v/>
      </c>
      <c r="Q939" s="85" t="str">
        <f>IF(AND(B939='111'!$L$11,OR($N939=$Q$7,$O939=$Q$7)),"x","")</f>
        <v/>
      </c>
      <c r="R939" s="85" t="str">
        <f>IF(AND($N939=$Q$7,$B939&lt;'111'!$L$11),"x","")</f>
        <v/>
      </c>
      <c r="S939" s="85" t="str">
        <f>IF(AND($O939=$Q$7,$B939&lt;'111'!$L$11),"x","")</f>
        <v/>
      </c>
      <c r="T939" s="85" t="str">
        <f>IF(ISERROR(FIND('112'!$M$9,G939,1)),"",IF((AND(FIND('112'!$M$9,G939,1)&gt;=1,B939='112'!$K$9,OR($N939='112'!$I$6,$O939='112'!$I$6))),"x",""))</f>
        <v/>
      </c>
      <c r="U939" s="85" t="str">
        <f>IF(ISERROR(FIND('112'!$M$9,G939,1)),"",IF((AND(LEFT(G939,2)=LEFT('112'!$M$9,2),B939&lt;'112'!$K$9,$N939='112'!$I$6)),"x",""))</f>
        <v/>
      </c>
      <c r="V939" s="85" t="str">
        <f>IF(ISERROR(FIND('112'!$M$9,G939,1)),"",IF((AND(RIGHT(G939,2)=RIGHT('112'!$M$9,2),B939&lt;'112'!$K$9,$O939='112'!$I$6)),"x",""))</f>
        <v/>
      </c>
      <c r="W939" s="85" t="str">
        <f>IF(AND('341-CT'!$H$9=H939,OR(LEFT(N939,3)=$W$7,LEFT(O939,3)=$W$7)),"x","")</f>
        <v/>
      </c>
      <c r="X939" s="85" t="str">
        <f>IF(OR(TH!N939=TH!$X$7,O939=TH!$X$7),"x","")</f>
        <v/>
      </c>
      <c r="Y939" s="85" t="str">
        <f>IF(AND(OR(N939="131",O939="131"),H939='131-CT'!$H$9),"x","")</f>
        <v/>
      </c>
      <c r="Z939" s="85"/>
      <c r="AA939" s="85" t="str">
        <f>IF(AND(MONTH(E939)='IN-NX'!$J$5,'IN-NX'!$D$7=D939),"x","")</f>
        <v/>
      </c>
      <c r="AB939" s="85" t="str">
        <f>IF(AND(OR(LEFT(TH!N939,2)="15",LEFT(TH!O939,2)="15"),'152-CT'!$J$8=TH!F939),"x","")</f>
        <v/>
      </c>
      <c r="AC939" s="85" t="str">
        <f>IF(AND(OR(LEFT(TH!N939,2)="15",LEFT(TH!O939,2)="15"),TK!$E$7=TH!F939),"x","")</f>
        <v/>
      </c>
      <c r="AD939" s="85" t="str">
        <f>IF(AND(N939="1521",MONTH(C939)='BK-NL'!$M$11),"x","")</f>
        <v/>
      </c>
    </row>
    <row r="940" spans="1:30" ht="15.75" customHeight="1">
      <c r="A940" s="343" t="str">
        <f>IF(B940&lt;&gt;"",IF(AND(B940='IN-TC'!$S$4,OR(TH!N940="1111",TH!O940="1111")),TH!D940,""),"")</f>
        <v/>
      </c>
      <c r="B940" s="63" t="str">
        <f t="shared" si="84"/>
        <v/>
      </c>
      <c r="C940" s="64"/>
      <c r="D940" s="64"/>
      <c r="E940" s="64"/>
      <c r="F940" s="67"/>
      <c r="G940" s="67"/>
      <c r="H940" s="74"/>
      <c r="I940" s="447"/>
      <c r="J940" s="447"/>
      <c r="K940" s="438"/>
      <c r="L940" s="447"/>
      <c r="M940" s="65"/>
      <c r="N940" s="66"/>
      <c r="O940" s="66"/>
      <c r="P940" s="85" t="str">
        <f>IF(AND('331-CT'!$E$7=TH!H940,OR(N940="331",O940="331")),"x","")</f>
        <v/>
      </c>
      <c r="Q940" s="85" t="str">
        <f>IF(AND(B940='111'!$L$11,OR($N940=$Q$7,$O940=$Q$7)),"x","")</f>
        <v/>
      </c>
      <c r="R940" s="85" t="str">
        <f>IF(AND($N940=$Q$7,$B940&lt;'111'!$L$11),"x","")</f>
        <v/>
      </c>
      <c r="S940" s="85" t="str">
        <f>IF(AND($O940=$Q$7,$B940&lt;'111'!$L$11),"x","")</f>
        <v/>
      </c>
      <c r="T940" s="85" t="str">
        <f>IF(ISERROR(FIND('112'!$M$9,G940,1)),"",IF((AND(FIND('112'!$M$9,G940,1)&gt;=1,B940='112'!$K$9,OR($N940='112'!$I$6,$O940='112'!$I$6))),"x",""))</f>
        <v/>
      </c>
      <c r="U940" s="85" t="str">
        <f>IF(ISERROR(FIND('112'!$M$9,G940,1)),"",IF((AND(LEFT(G940,2)=LEFT('112'!$M$9,2),B940&lt;'112'!$K$9,$N940='112'!$I$6)),"x",""))</f>
        <v/>
      </c>
      <c r="V940" s="85" t="str">
        <f>IF(ISERROR(FIND('112'!$M$9,G940,1)),"",IF((AND(RIGHT(G940,2)=RIGHT('112'!$M$9,2),B940&lt;'112'!$K$9,$O940='112'!$I$6)),"x",""))</f>
        <v/>
      </c>
      <c r="W940" s="85" t="str">
        <f>IF(AND('341-CT'!$H$9=H940,OR(LEFT(N940,3)=$W$7,LEFT(O940,3)=$W$7)),"x","")</f>
        <v/>
      </c>
      <c r="X940" s="85" t="str">
        <f>IF(OR(TH!N940=TH!$X$7,O940=TH!$X$7),"x","")</f>
        <v/>
      </c>
      <c r="Y940" s="85" t="str">
        <f>IF(AND(OR(N940="131",O940="131"),H940='131-CT'!$H$9),"x","")</f>
        <v/>
      </c>
      <c r="Z940" s="85"/>
      <c r="AA940" s="85" t="str">
        <f>IF(AND(MONTH(E940)='IN-NX'!$J$5,'IN-NX'!$D$7=D940),"x","")</f>
        <v/>
      </c>
      <c r="AB940" s="85" t="str">
        <f>IF(AND(OR(LEFT(TH!N940,2)="15",LEFT(TH!O940,2)="15"),'152-CT'!$J$8=TH!F940),"x","")</f>
        <v/>
      </c>
      <c r="AC940" s="85" t="str">
        <f>IF(AND(OR(LEFT(TH!N940,2)="15",LEFT(TH!O940,2)="15"),TK!$E$7=TH!F940),"x","")</f>
        <v/>
      </c>
      <c r="AD940" s="85" t="str">
        <f>IF(AND(N940="1521",MONTH(C940)='BK-NL'!$M$11),"x","")</f>
        <v/>
      </c>
    </row>
    <row r="941" spans="1:30" ht="15.75" customHeight="1">
      <c r="A941" s="343" t="str">
        <f>IF(B941&lt;&gt;"",IF(AND(B941='IN-TC'!$S$4,OR(TH!N941="1111",TH!O941="1111")),TH!D941,""),"")</f>
        <v/>
      </c>
      <c r="B941" s="63" t="str">
        <f t="shared" si="84"/>
        <v/>
      </c>
      <c r="C941" s="64"/>
      <c r="D941" s="64"/>
      <c r="E941" s="64"/>
      <c r="F941" s="67"/>
      <c r="G941" s="67"/>
      <c r="H941" s="74"/>
      <c r="I941" s="447"/>
      <c r="J941" s="447"/>
      <c r="K941" s="438"/>
      <c r="L941" s="447"/>
      <c r="M941" s="65"/>
      <c r="N941" s="66"/>
      <c r="O941" s="66"/>
      <c r="P941" s="85" t="str">
        <f>IF(AND('331-CT'!$E$7=TH!H941,OR(N941="331",O941="331")),"x","")</f>
        <v/>
      </c>
      <c r="Q941" s="85" t="str">
        <f>IF(AND(B941='111'!$L$11,OR($N941=$Q$7,$O941=$Q$7)),"x","")</f>
        <v/>
      </c>
      <c r="R941" s="85" t="str">
        <f>IF(AND($N941=$Q$7,$B941&lt;'111'!$L$11),"x","")</f>
        <v/>
      </c>
      <c r="S941" s="85" t="str">
        <f>IF(AND($O941=$Q$7,$B941&lt;'111'!$L$11),"x","")</f>
        <v/>
      </c>
      <c r="T941" s="85" t="str">
        <f>IF(ISERROR(FIND('112'!$M$9,G941,1)),"",IF((AND(FIND('112'!$M$9,G941,1)&gt;=1,B941='112'!$K$9,OR($N941='112'!$I$6,$O941='112'!$I$6))),"x",""))</f>
        <v/>
      </c>
      <c r="U941" s="85" t="str">
        <f>IF(ISERROR(FIND('112'!$M$9,G941,1)),"",IF((AND(LEFT(G941,2)=LEFT('112'!$M$9,2),B941&lt;'112'!$K$9,$N941='112'!$I$6)),"x",""))</f>
        <v/>
      </c>
      <c r="V941" s="85" t="str">
        <f>IF(ISERROR(FIND('112'!$M$9,G941,1)),"",IF((AND(RIGHT(G941,2)=RIGHT('112'!$M$9,2),B941&lt;'112'!$K$9,$O941='112'!$I$6)),"x",""))</f>
        <v/>
      </c>
      <c r="W941" s="85" t="str">
        <f>IF(AND('341-CT'!$H$9=H941,OR(LEFT(N941,3)=$W$7,LEFT(O941,3)=$W$7)),"x","")</f>
        <v/>
      </c>
      <c r="X941" s="85" t="str">
        <f>IF(OR(TH!N941=TH!$X$7,O941=TH!$X$7),"x","")</f>
        <v/>
      </c>
      <c r="Y941" s="85" t="str">
        <f>IF(AND(OR(N941="131",O941="131"),H941='131-CT'!$H$9),"x","")</f>
        <v/>
      </c>
      <c r="Z941" s="85"/>
      <c r="AA941" s="85" t="str">
        <f>IF(AND(MONTH(E941)='IN-NX'!$J$5,'IN-NX'!$D$7=D941),"x","")</f>
        <v/>
      </c>
      <c r="AB941" s="85" t="str">
        <f>IF(AND(OR(LEFT(TH!N941,2)="15",LEFT(TH!O941,2)="15"),'152-CT'!$J$8=TH!F941),"x","")</f>
        <v/>
      </c>
      <c r="AC941" s="85" t="str">
        <f>IF(AND(OR(LEFT(TH!N941,2)="15",LEFT(TH!O941,2)="15"),TK!$E$7=TH!F941),"x","")</f>
        <v/>
      </c>
      <c r="AD941" s="85" t="str">
        <f>IF(AND(N941="1521",MONTH(C941)='BK-NL'!$M$11),"x","")</f>
        <v/>
      </c>
    </row>
    <row r="942" spans="1:30" ht="15.75" customHeight="1">
      <c r="A942" s="343" t="str">
        <f>IF(B942&lt;&gt;"",IF(AND(B942='IN-TC'!$S$4,OR(TH!N942="1111",TH!O942="1111")),TH!D942,""),"")</f>
        <v/>
      </c>
      <c r="B942" s="63" t="str">
        <f t="shared" si="84"/>
        <v/>
      </c>
      <c r="C942" s="64"/>
      <c r="D942" s="64"/>
      <c r="E942" s="64"/>
      <c r="F942" s="67"/>
      <c r="G942" s="67"/>
      <c r="H942" s="74"/>
      <c r="I942" s="447"/>
      <c r="J942" s="447"/>
      <c r="K942" s="438"/>
      <c r="L942" s="447"/>
      <c r="M942" s="65"/>
      <c r="N942" s="66"/>
      <c r="O942" s="66"/>
      <c r="P942" s="85" t="str">
        <f>IF(AND('331-CT'!$E$7=TH!H942,OR(N942="331",O942="331")),"x","")</f>
        <v/>
      </c>
      <c r="Q942" s="85" t="str">
        <f>IF(AND(B942='111'!$L$11,OR($N942=$Q$7,$O942=$Q$7)),"x","")</f>
        <v/>
      </c>
      <c r="R942" s="85" t="str">
        <f>IF(AND($N942=$Q$7,$B942&lt;'111'!$L$11),"x","")</f>
        <v/>
      </c>
      <c r="S942" s="85" t="str">
        <f>IF(AND($O942=$Q$7,$B942&lt;'111'!$L$11),"x","")</f>
        <v/>
      </c>
      <c r="T942" s="85" t="str">
        <f>IF(ISERROR(FIND('112'!$M$9,G942,1)),"",IF((AND(FIND('112'!$M$9,G942,1)&gt;=1,B942='112'!$K$9,OR($N942='112'!$I$6,$O942='112'!$I$6))),"x",""))</f>
        <v/>
      </c>
      <c r="U942" s="85" t="str">
        <f>IF(ISERROR(FIND('112'!$M$9,G942,1)),"",IF((AND(LEFT(G942,2)=LEFT('112'!$M$9,2),B942&lt;'112'!$K$9,$N942='112'!$I$6)),"x",""))</f>
        <v/>
      </c>
      <c r="V942" s="85" t="str">
        <f>IF(ISERROR(FIND('112'!$M$9,G942,1)),"",IF((AND(RIGHT(G942,2)=RIGHT('112'!$M$9,2),B942&lt;'112'!$K$9,$O942='112'!$I$6)),"x",""))</f>
        <v/>
      </c>
      <c r="W942" s="85" t="str">
        <f>IF(AND('341-CT'!$H$9=H942,OR(LEFT(N942,3)=$W$7,LEFT(O942,3)=$W$7)),"x","")</f>
        <v/>
      </c>
      <c r="X942" s="85" t="str">
        <f>IF(OR(TH!N942=TH!$X$7,O942=TH!$X$7),"x","")</f>
        <v/>
      </c>
      <c r="Y942" s="85" t="str">
        <f>IF(AND(OR(N942="131",O942="131"),H942='131-CT'!$H$9),"x","")</f>
        <v/>
      </c>
      <c r="Z942" s="85"/>
      <c r="AA942" s="85" t="str">
        <f>IF(AND(MONTH(E942)='IN-NX'!$J$5,'IN-NX'!$D$7=D942),"x","")</f>
        <v/>
      </c>
      <c r="AB942" s="85" t="str">
        <f>IF(AND(OR(LEFT(TH!N942,2)="15",LEFT(TH!O942,2)="15"),'152-CT'!$J$8=TH!F942),"x","")</f>
        <v/>
      </c>
      <c r="AC942" s="85" t="str">
        <f>IF(AND(OR(LEFT(TH!N942,2)="15",LEFT(TH!O942,2)="15"),TK!$E$7=TH!F942),"x","")</f>
        <v/>
      </c>
      <c r="AD942" s="85" t="str">
        <f>IF(AND(N942="1521",MONTH(C942)='BK-NL'!$M$11),"x","")</f>
        <v/>
      </c>
    </row>
    <row r="943" spans="1:30" ht="15.75" customHeight="1">
      <c r="A943" s="343" t="str">
        <f>IF(B943&lt;&gt;"",IF(AND(B943='IN-TC'!$S$4,OR(TH!N943="1111",TH!O943="1111")),TH!D943,""),"")</f>
        <v/>
      </c>
      <c r="B943" s="63" t="str">
        <f t="shared" si="84"/>
        <v/>
      </c>
      <c r="C943" s="64"/>
      <c r="D943" s="64"/>
      <c r="E943" s="64"/>
      <c r="F943" s="67"/>
      <c r="G943" s="67"/>
      <c r="H943" s="74"/>
      <c r="I943" s="447"/>
      <c r="J943" s="447"/>
      <c r="K943" s="438"/>
      <c r="L943" s="447"/>
      <c r="M943" s="65"/>
      <c r="N943" s="66"/>
      <c r="O943" s="66"/>
      <c r="P943" s="85" t="str">
        <f>IF(AND('331-CT'!$E$7=TH!H943,OR(N943="331",O943="331")),"x","")</f>
        <v/>
      </c>
      <c r="Q943" s="85" t="str">
        <f>IF(AND(B943='111'!$L$11,OR($N943=$Q$7,$O943=$Q$7)),"x","")</f>
        <v/>
      </c>
      <c r="R943" s="85" t="str">
        <f>IF(AND($N943=$Q$7,$B943&lt;'111'!$L$11),"x","")</f>
        <v/>
      </c>
      <c r="S943" s="85" t="str">
        <f>IF(AND($O943=$Q$7,$B943&lt;'111'!$L$11),"x","")</f>
        <v/>
      </c>
      <c r="T943" s="85" t="str">
        <f>IF(ISERROR(FIND('112'!$M$9,G943,1)),"",IF((AND(FIND('112'!$M$9,G943,1)&gt;=1,B943='112'!$K$9,OR($N943='112'!$I$6,$O943='112'!$I$6))),"x",""))</f>
        <v/>
      </c>
      <c r="U943" s="85" t="str">
        <f>IF(ISERROR(FIND('112'!$M$9,G943,1)),"",IF((AND(LEFT(G943,2)=LEFT('112'!$M$9,2),B943&lt;'112'!$K$9,$N943='112'!$I$6)),"x",""))</f>
        <v/>
      </c>
      <c r="V943" s="85" t="str">
        <f>IF(ISERROR(FIND('112'!$M$9,G943,1)),"",IF((AND(RIGHT(G943,2)=RIGHT('112'!$M$9,2),B943&lt;'112'!$K$9,$O943='112'!$I$6)),"x",""))</f>
        <v/>
      </c>
      <c r="W943" s="85" t="str">
        <f>IF(AND('341-CT'!$H$9=H943,OR(LEFT(N943,3)=$W$7,LEFT(O943,3)=$W$7)),"x","")</f>
        <v/>
      </c>
      <c r="X943" s="85" t="str">
        <f>IF(OR(TH!N943=TH!$X$7,O943=TH!$X$7),"x","")</f>
        <v/>
      </c>
      <c r="Y943" s="85" t="str">
        <f>IF(AND(OR(N943="131",O943="131"),H943='131-CT'!$H$9),"x","")</f>
        <v/>
      </c>
      <c r="Z943" s="85"/>
      <c r="AA943" s="85" t="str">
        <f>IF(AND(MONTH(E943)='IN-NX'!$J$5,'IN-NX'!$D$7=D943),"x","")</f>
        <v/>
      </c>
      <c r="AB943" s="85" t="str">
        <f>IF(AND(OR(LEFT(TH!N943,2)="15",LEFT(TH!O943,2)="15"),'152-CT'!$J$8=TH!F943),"x","")</f>
        <v/>
      </c>
      <c r="AC943" s="85" t="str">
        <f>IF(AND(OR(LEFT(TH!N943,2)="15",LEFT(TH!O943,2)="15"),TK!$E$7=TH!F943),"x","")</f>
        <v/>
      </c>
      <c r="AD943" s="85" t="str">
        <f>IF(AND(N943="1521",MONTH(C943)='BK-NL'!$M$11),"x","")</f>
        <v/>
      </c>
    </row>
    <row r="944" spans="1:30" ht="15.75" customHeight="1">
      <c r="A944" s="343" t="str">
        <f>IF(B944&lt;&gt;"",IF(AND(B944='IN-TC'!$S$4,OR(TH!N944="1111",TH!O944="1111")),TH!D944,""),"")</f>
        <v/>
      </c>
      <c r="B944" s="63" t="str">
        <f t="shared" si="84"/>
        <v/>
      </c>
      <c r="C944" s="64"/>
      <c r="D944" s="64"/>
      <c r="E944" s="64"/>
      <c r="F944" s="67"/>
      <c r="G944" s="67"/>
      <c r="H944" s="74"/>
      <c r="I944" s="447"/>
      <c r="J944" s="447"/>
      <c r="K944" s="438"/>
      <c r="L944" s="447"/>
      <c r="M944" s="65"/>
      <c r="N944" s="66"/>
      <c r="O944" s="66"/>
      <c r="P944" s="85" t="str">
        <f>IF(AND('331-CT'!$E$7=TH!H944,OR(N944="331",O944="331")),"x","")</f>
        <v/>
      </c>
      <c r="Q944" s="85" t="str">
        <f>IF(AND(B944='111'!$L$11,OR($N944=$Q$7,$O944=$Q$7)),"x","")</f>
        <v/>
      </c>
      <c r="R944" s="85" t="str">
        <f>IF(AND($N944=$Q$7,$B944&lt;'111'!$L$11),"x","")</f>
        <v/>
      </c>
      <c r="S944" s="85" t="str">
        <f>IF(AND($O944=$Q$7,$B944&lt;'111'!$L$11),"x","")</f>
        <v/>
      </c>
      <c r="T944" s="85" t="str">
        <f>IF(ISERROR(FIND('112'!$M$9,G944,1)),"",IF((AND(FIND('112'!$M$9,G944,1)&gt;=1,B944='112'!$K$9,OR($N944='112'!$I$6,$O944='112'!$I$6))),"x",""))</f>
        <v/>
      </c>
      <c r="U944" s="85" t="str">
        <f>IF(ISERROR(FIND('112'!$M$9,G944,1)),"",IF((AND(LEFT(G944,2)=LEFT('112'!$M$9,2),B944&lt;'112'!$K$9,$N944='112'!$I$6)),"x",""))</f>
        <v/>
      </c>
      <c r="V944" s="85" t="str">
        <f>IF(ISERROR(FIND('112'!$M$9,G944,1)),"",IF((AND(RIGHT(G944,2)=RIGHT('112'!$M$9,2),B944&lt;'112'!$K$9,$O944='112'!$I$6)),"x",""))</f>
        <v/>
      </c>
      <c r="W944" s="85" t="str">
        <f>IF(AND('341-CT'!$H$9=H944,OR(LEFT(N944,3)=$W$7,LEFT(O944,3)=$W$7)),"x","")</f>
        <v/>
      </c>
      <c r="X944" s="85" t="str">
        <f>IF(OR(TH!N944=TH!$X$7,O944=TH!$X$7),"x","")</f>
        <v/>
      </c>
      <c r="Y944" s="85" t="str">
        <f>IF(AND(OR(N944="131",O944="131"),H944='131-CT'!$H$9),"x","")</f>
        <v/>
      </c>
      <c r="Z944" s="85"/>
      <c r="AA944" s="85" t="str">
        <f>IF(AND(MONTH(E944)='IN-NX'!$J$5,'IN-NX'!$D$7=D944),"x","")</f>
        <v/>
      </c>
      <c r="AB944" s="85" t="str">
        <f>IF(AND(OR(LEFT(TH!N944,2)="15",LEFT(TH!O944,2)="15"),'152-CT'!$J$8=TH!F944),"x","")</f>
        <v/>
      </c>
      <c r="AC944" s="85" t="str">
        <f>IF(AND(OR(LEFT(TH!N944,2)="15",LEFT(TH!O944,2)="15"),TK!$E$7=TH!F944),"x","")</f>
        <v/>
      </c>
      <c r="AD944" s="85" t="str">
        <f>IF(AND(N944="1521",MONTH(C944)='BK-NL'!$M$11),"x","")</f>
        <v/>
      </c>
    </row>
    <row r="955" spans="13:13">
      <c r="M955" s="981">
        <f>SUBTOTAL(9,M10:M944)</f>
        <v>129545708750.39999</v>
      </c>
    </row>
  </sheetData>
  <autoFilter ref="A9:AA944"/>
  <sortState ref="A273:AE732">
    <sortCondition ref="C273:C732"/>
  </sortState>
  <mergeCells count="21">
    <mergeCell ref="A7:A8"/>
    <mergeCell ref="B7:B8"/>
    <mergeCell ref="H7:H8"/>
    <mergeCell ref="K7:L7"/>
    <mergeCell ref="Z7:Z8"/>
    <mergeCell ref="X7:X8"/>
    <mergeCell ref="W7:W8"/>
    <mergeCell ref="Q7:S8"/>
    <mergeCell ref="P7:P8"/>
    <mergeCell ref="I7:J7"/>
    <mergeCell ref="AA7:AD8"/>
    <mergeCell ref="C4:O4"/>
    <mergeCell ref="C5:O5"/>
    <mergeCell ref="C7:C8"/>
    <mergeCell ref="D7:E7"/>
    <mergeCell ref="F7:F8"/>
    <mergeCell ref="M7:M8"/>
    <mergeCell ref="N7:O7"/>
    <mergeCell ref="G7:G8"/>
    <mergeCell ref="Y7:Y8"/>
    <mergeCell ref="T7:V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2"/>
  <sheetViews>
    <sheetView topLeftCell="A7" workbookViewId="0">
      <pane xSplit="8" ySplit="5" topLeftCell="I27"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5703125" style="257" customWidth="1"/>
    <col min="3" max="3" width="7.42578125" style="257" customWidth="1"/>
    <col min="4" max="4" width="9" style="257" customWidth="1"/>
    <col min="5" max="5" width="40" style="257" customWidth="1"/>
    <col min="6" max="6" width="14.140625" style="257" customWidth="1"/>
    <col min="7" max="8" width="5.85546875" style="258" customWidth="1"/>
    <col min="9" max="9" width="4.85546875" style="257" customWidth="1"/>
    <col min="10" max="10" width="13" style="257" customWidth="1"/>
    <col min="11" max="11" width="12" style="257" customWidth="1"/>
    <col min="12" max="12" width="13.28515625" style="257" customWidth="1"/>
    <col min="13" max="13" width="13.5703125" style="257" customWidth="1"/>
    <col min="14" max="14" width="13.28515625" style="257" customWidth="1"/>
    <col min="15" max="15" width="13.5703125" style="257" customWidth="1"/>
    <col min="16" max="16" width="11.7109375" style="257" customWidth="1"/>
    <col min="17" max="17" width="6.140625" style="257" customWidth="1"/>
    <col min="18" max="18" width="8.140625" style="257" customWidth="1"/>
    <col min="19" max="19" width="7.28515625" style="257" customWidth="1"/>
    <col min="20" max="20" width="12.7109375" style="257" customWidth="1"/>
    <col min="21" max="21" width="7.140625" style="257" customWidth="1"/>
    <col min="22" max="22" width="13.85546875" style="257" customWidth="1"/>
    <col min="23" max="23" width="5.85546875" style="257" customWidth="1"/>
    <col min="24" max="24" width="7.140625" style="257" customWidth="1"/>
    <col min="25" max="25" width="6" style="257" customWidth="1"/>
    <col min="26" max="26" width="11.28515625" style="257" customWidth="1"/>
    <col min="27" max="28" width="11.5703125" style="257" customWidth="1"/>
    <col min="29" max="29" width="12" style="257" customWidth="1"/>
    <col min="30" max="30" width="6.5703125" style="257" customWidth="1"/>
    <col min="31" max="31" width="15.7109375" style="257" customWidth="1"/>
    <col min="32" max="32" width="13" style="257" customWidth="1"/>
    <col min="33" max="33" width="6.42578125" style="257" customWidth="1"/>
    <col min="34" max="34" width="6.28515625" style="257" customWidth="1"/>
    <col min="35" max="36" width="12.5703125" style="257" customWidth="1"/>
    <col min="37" max="37" width="6.28515625" style="257" customWidth="1"/>
    <col min="38" max="38" width="14.42578125" style="257" customWidth="1"/>
    <col min="39" max="39" width="7" style="257" customWidth="1"/>
    <col min="40" max="40" width="12.5703125" style="257" customWidth="1"/>
    <col min="41" max="41" width="6.140625" style="257" customWidth="1"/>
    <col min="42" max="42" width="5.28515625" style="257" customWidth="1"/>
    <col min="43" max="43" width="12.5703125" style="257" customWidth="1"/>
    <col min="44" max="44" width="4.85546875" style="257" customWidth="1"/>
    <col min="45" max="45" width="12.5703125" style="257" customWidth="1"/>
    <col min="46" max="46" width="10.140625" style="257" customWidth="1"/>
    <col min="47" max="47" width="11.85546875" style="257" customWidth="1"/>
    <col min="48" max="48" width="9.140625" style="257" customWidth="1"/>
    <col min="49" max="49" width="10.7109375" style="257" customWidth="1"/>
    <col min="50" max="53" width="7.28515625" style="257" customWidth="1"/>
    <col min="54" max="71" width="9.140625" style="257"/>
    <col min="72" max="72" width="5.5703125" style="257" customWidth="1"/>
    <col min="73" max="73" width="12.5703125" style="257" customWidth="1"/>
    <col min="74" max="74" width="5.5703125" style="257" customWidth="1"/>
    <col min="75" max="75" width="12.5703125" style="257" customWidth="1"/>
    <col min="76" max="76" width="6.42578125" style="257" customWidth="1"/>
    <col min="77" max="77" width="13" style="257" customWidth="1"/>
    <col min="78" max="103" width="9.140625" style="257"/>
    <col min="104" max="105" width="12.85546875" style="257" customWidth="1"/>
    <col min="106" max="16384" width="9.140625" style="257"/>
  </cols>
  <sheetData>
    <row r="1" spans="1:105" ht="12.75" customHeight="1">
      <c r="A1" s="253"/>
      <c r="B1" s="254" t="s">
        <v>121</v>
      </c>
      <c r="C1" s="255"/>
      <c r="D1" s="255"/>
      <c r="E1" s="256"/>
      <c r="I1" s="255"/>
      <c r="M1" s="1215" t="s">
        <v>191</v>
      </c>
      <c r="N1" s="1215"/>
      <c r="O1" s="1215"/>
      <c r="P1" s="1215"/>
      <c r="Q1" s="1215"/>
      <c r="R1" s="1215"/>
      <c r="S1" s="1215"/>
      <c r="X1" s="255"/>
      <c r="Y1" s="255"/>
      <c r="Z1" s="256"/>
      <c r="AA1" s="256"/>
      <c r="AB1" s="256"/>
      <c r="AC1" s="256"/>
      <c r="AD1" s="256"/>
      <c r="AE1" s="256"/>
      <c r="AF1" s="256"/>
      <c r="AG1" s="256"/>
      <c r="AH1" s="256"/>
      <c r="AI1" s="256"/>
      <c r="AJ1" s="256"/>
      <c r="AK1" s="256"/>
      <c r="AL1" s="256"/>
      <c r="AM1" s="256"/>
      <c r="AN1" s="256"/>
      <c r="AO1" s="256"/>
      <c r="AP1" s="256"/>
      <c r="AQ1" s="256"/>
      <c r="AR1" s="256"/>
      <c r="AS1" s="256"/>
      <c r="AT1" s="255"/>
      <c r="AU1" s="255"/>
      <c r="AV1" s="255"/>
      <c r="AW1" s="255"/>
      <c r="AX1" s="255"/>
      <c r="AY1" s="255"/>
      <c r="AZ1" s="255"/>
      <c r="BA1" s="255"/>
    </row>
    <row r="2" spans="1:105" ht="12.75" customHeight="1">
      <c r="A2" s="253"/>
      <c r="B2" s="254" t="s">
        <v>180</v>
      </c>
      <c r="C2" s="255"/>
      <c r="D2" s="255"/>
      <c r="E2" s="255"/>
      <c r="I2" s="259"/>
      <c r="M2" s="1216" t="s">
        <v>144</v>
      </c>
      <c r="N2" s="1216"/>
      <c r="O2" s="1216"/>
      <c r="P2" s="1216"/>
      <c r="Q2" s="1216"/>
      <c r="R2" s="1216"/>
      <c r="S2" s="1216"/>
      <c r="X2" s="259"/>
      <c r="Y2" s="259"/>
      <c r="Z2" s="260"/>
      <c r="AA2" s="260"/>
      <c r="AB2" s="260"/>
      <c r="AC2" s="260"/>
      <c r="AD2" s="260"/>
      <c r="AE2" s="260"/>
      <c r="AF2" s="260"/>
      <c r="AG2" s="260"/>
      <c r="AH2" s="260"/>
      <c r="AI2" s="260"/>
      <c r="AJ2" s="260"/>
      <c r="AK2" s="260"/>
      <c r="AL2" s="260"/>
      <c r="AM2" s="260"/>
      <c r="AN2" s="260"/>
      <c r="AO2" s="260"/>
      <c r="AP2" s="260"/>
      <c r="AQ2" s="260"/>
      <c r="AR2" s="260"/>
      <c r="AS2" s="260"/>
      <c r="AT2" s="259"/>
      <c r="AU2" s="259"/>
      <c r="AV2" s="259"/>
      <c r="AW2" s="259"/>
      <c r="AX2" s="259"/>
      <c r="AY2" s="259"/>
      <c r="AZ2" s="259"/>
      <c r="BA2" s="259"/>
    </row>
    <row r="3" spans="1:105" ht="10.5" customHeight="1">
      <c r="A3" s="255"/>
      <c r="B3" s="255"/>
      <c r="C3" s="255"/>
      <c r="D3" s="255"/>
      <c r="E3" s="255"/>
      <c r="F3" s="259"/>
      <c r="G3" s="261"/>
      <c r="H3" s="261"/>
      <c r="I3" s="259"/>
      <c r="M3" s="1216"/>
      <c r="N3" s="1216"/>
      <c r="O3" s="1216"/>
      <c r="P3" s="1216"/>
      <c r="Q3" s="1216"/>
      <c r="R3" s="1216"/>
      <c r="S3" s="1216"/>
      <c r="X3" s="259"/>
      <c r="Y3" s="259"/>
      <c r="Z3" s="260"/>
      <c r="AA3" s="260"/>
      <c r="AB3" s="260"/>
      <c r="AC3" s="260"/>
      <c r="AD3" s="260"/>
      <c r="AE3" s="260"/>
      <c r="AF3" s="260"/>
      <c r="AG3" s="260"/>
      <c r="AH3" s="260"/>
      <c r="AI3" s="260"/>
      <c r="AJ3" s="260"/>
      <c r="AK3" s="260"/>
      <c r="AL3" s="260"/>
      <c r="AM3" s="260"/>
      <c r="AN3" s="260"/>
      <c r="AO3" s="260"/>
      <c r="AP3" s="260"/>
      <c r="AQ3" s="260"/>
      <c r="AR3" s="260"/>
      <c r="AS3" s="260"/>
      <c r="AT3" s="259"/>
      <c r="AU3" s="259"/>
      <c r="AV3" s="259"/>
      <c r="AW3" s="259"/>
      <c r="AX3" s="259"/>
      <c r="AY3" s="259"/>
      <c r="AZ3" s="259"/>
      <c r="BA3" s="259"/>
    </row>
    <row r="4" spans="1:105" ht="19.5" customHeight="1">
      <c r="B4" s="1217" t="s">
        <v>112</v>
      </c>
      <c r="C4" s="1217"/>
      <c r="D4" s="1217"/>
      <c r="E4" s="1217"/>
      <c r="F4" s="1217"/>
      <c r="G4" s="1217"/>
      <c r="H4" s="1217"/>
      <c r="I4" s="1217"/>
      <c r="J4" s="1217"/>
      <c r="K4" s="1217"/>
      <c r="L4" s="1217"/>
      <c r="M4" s="1217"/>
      <c r="N4" s="1217"/>
      <c r="O4" s="1217"/>
      <c r="P4" s="1217"/>
      <c r="Q4" s="1217"/>
      <c r="R4" s="1217"/>
      <c r="S4" s="262"/>
      <c r="T4" s="262"/>
      <c r="U4" s="262"/>
      <c r="V4" s="262"/>
      <c r="W4" s="262"/>
      <c r="X4" s="263"/>
      <c r="Y4" s="263"/>
      <c r="Z4" s="262"/>
      <c r="AA4" s="262"/>
      <c r="AB4" s="262"/>
      <c r="AC4" s="262"/>
      <c r="AD4" s="262"/>
      <c r="AE4" s="262"/>
      <c r="AF4" s="262"/>
      <c r="AG4" s="262"/>
      <c r="AH4" s="262"/>
      <c r="AI4" s="262"/>
      <c r="AJ4" s="262"/>
      <c r="AK4" s="262"/>
      <c r="AL4" s="262"/>
      <c r="AM4" s="262"/>
      <c r="AN4" s="262"/>
      <c r="AO4" s="262"/>
      <c r="AP4" s="262"/>
      <c r="AQ4" s="262"/>
      <c r="AR4" s="262"/>
      <c r="AS4" s="262"/>
      <c r="AT4" s="264"/>
      <c r="AU4" s="264"/>
      <c r="AV4" s="264"/>
      <c r="AW4" s="264"/>
      <c r="AX4" s="264"/>
      <c r="AY4" s="264"/>
      <c r="AZ4" s="264"/>
      <c r="BA4" s="264"/>
    </row>
    <row r="5" spans="1:105" ht="15">
      <c r="B5" s="1218" t="s">
        <v>192</v>
      </c>
      <c r="C5" s="1218"/>
      <c r="D5" s="1218"/>
      <c r="E5" s="1218"/>
      <c r="F5" s="1218"/>
      <c r="G5" s="1218"/>
      <c r="H5" s="1218"/>
      <c r="I5" s="1218"/>
      <c r="J5" s="1218"/>
      <c r="K5" s="1218"/>
      <c r="L5" s="1218"/>
      <c r="M5" s="1218"/>
      <c r="N5" s="1218"/>
      <c r="O5" s="1218"/>
      <c r="P5" s="1218"/>
      <c r="Q5" s="1218"/>
      <c r="R5" s="1218"/>
      <c r="S5" s="265"/>
      <c r="T5" s="265"/>
      <c r="U5" s="265"/>
      <c r="V5" s="265"/>
      <c r="W5" s="265"/>
      <c r="X5" s="266"/>
      <c r="Y5" s="266"/>
      <c r="Z5" s="265"/>
      <c r="AA5" s="265"/>
      <c r="AB5" s="265"/>
      <c r="AC5" s="265"/>
      <c r="AD5" s="265"/>
      <c r="AE5" s="265"/>
      <c r="AF5" s="265"/>
      <c r="AG5" s="265"/>
      <c r="AH5" s="265"/>
      <c r="AI5" s="265"/>
      <c r="AJ5" s="265"/>
      <c r="AK5" s="265"/>
      <c r="AL5" s="265"/>
      <c r="AM5" s="265"/>
      <c r="AN5" s="265"/>
      <c r="AO5" s="265"/>
      <c r="AP5" s="265"/>
      <c r="AQ5" s="265"/>
      <c r="AR5" s="265"/>
      <c r="AS5" s="265"/>
    </row>
    <row r="6" spans="1:105">
      <c r="P6" s="257" t="s">
        <v>148</v>
      </c>
    </row>
    <row r="7" spans="1:105" ht="13.5" customHeight="1">
      <c r="A7" s="1219" t="s">
        <v>37</v>
      </c>
      <c r="B7" s="1213" t="s">
        <v>22</v>
      </c>
      <c r="C7" s="1221" t="s">
        <v>1</v>
      </c>
      <c r="D7" s="1222"/>
      <c r="E7" s="1213" t="s">
        <v>0</v>
      </c>
      <c r="F7" s="1213" t="s">
        <v>113</v>
      </c>
      <c r="G7" s="1223" t="s">
        <v>114</v>
      </c>
      <c r="H7" s="1223"/>
      <c r="I7" s="1214" t="s">
        <v>37</v>
      </c>
      <c r="J7" s="1213" t="s">
        <v>193</v>
      </c>
      <c r="K7" s="1213"/>
      <c r="L7" s="1213" t="s">
        <v>194</v>
      </c>
      <c r="M7" s="1213"/>
      <c r="N7" s="1213" t="s">
        <v>269</v>
      </c>
      <c r="O7" s="1213"/>
      <c r="P7" s="1213" t="s">
        <v>981</v>
      </c>
      <c r="Q7" s="1213"/>
      <c r="R7" s="1213" t="s">
        <v>195</v>
      </c>
      <c r="S7" s="1213"/>
      <c r="T7" s="1213" t="s">
        <v>196</v>
      </c>
      <c r="U7" s="1213"/>
      <c r="V7" s="1213" t="s">
        <v>982</v>
      </c>
      <c r="W7" s="1213"/>
      <c r="X7" s="1213" t="s">
        <v>983</v>
      </c>
      <c r="Y7" s="1213"/>
      <c r="Z7" s="1213" t="s">
        <v>984</v>
      </c>
      <c r="AA7" s="1213"/>
      <c r="AB7" s="1213" t="s">
        <v>985</v>
      </c>
      <c r="AC7" s="1213"/>
      <c r="AD7" s="1213" t="s">
        <v>986</v>
      </c>
      <c r="AE7" s="1213"/>
      <c r="AF7" s="1213" t="s">
        <v>987</v>
      </c>
      <c r="AG7" s="1213"/>
      <c r="AH7" s="1213" t="s">
        <v>988</v>
      </c>
      <c r="AI7" s="1213"/>
      <c r="AJ7" s="1213" t="s">
        <v>989</v>
      </c>
      <c r="AK7" s="1213"/>
      <c r="AL7" s="1213" t="s">
        <v>990</v>
      </c>
      <c r="AM7" s="1213"/>
      <c r="AN7" s="1213" t="s">
        <v>991</v>
      </c>
      <c r="AO7" s="1213"/>
      <c r="AP7" s="1213" t="s">
        <v>992</v>
      </c>
      <c r="AQ7" s="1213"/>
      <c r="AR7" s="1213" t="s">
        <v>993</v>
      </c>
      <c r="AS7" s="1213"/>
      <c r="AT7" s="1213" t="s">
        <v>197</v>
      </c>
      <c r="AU7" s="1213"/>
      <c r="AV7" s="1213" t="s">
        <v>198</v>
      </c>
      <c r="AW7" s="1213"/>
      <c r="AX7" s="1213" t="s">
        <v>994</v>
      </c>
      <c r="AY7" s="1213"/>
      <c r="AZ7" s="1213" t="s">
        <v>995</v>
      </c>
      <c r="BA7" s="1213"/>
      <c r="BB7" s="1213" t="s">
        <v>996</v>
      </c>
      <c r="BC7" s="1213"/>
      <c r="BD7" s="1213" t="s">
        <v>199</v>
      </c>
      <c r="BE7" s="1213"/>
      <c r="BF7" s="1213" t="s">
        <v>997</v>
      </c>
      <c r="BG7" s="1213"/>
      <c r="BH7" s="1213" t="s">
        <v>200</v>
      </c>
      <c r="BI7" s="1213"/>
      <c r="BJ7" s="1213" t="s">
        <v>998</v>
      </c>
      <c r="BK7" s="1213"/>
      <c r="BL7" s="1213" t="s">
        <v>999</v>
      </c>
      <c r="BM7" s="1213"/>
      <c r="BN7" s="1213" t="s">
        <v>1000</v>
      </c>
      <c r="BO7" s="1213"/>
      <c r="BP7" s="1213" t="s">
        <v>1001</v>
      </c>
      <c r="BQ7" s="1213"/>
      <c r="BR7" s="1213" t="s">
        <v>201</v>
      </c>
      <c r="BS7" s="1213"/>
      <c r="BT7" s="1213" t="s">
        <v>202</v>
      </c>
      <c r="BU7" s="1213"/>
      <c r="BV7" s="1213" t="s">
        <v>264</v>
      </c>
      <c r="BW7" s="1213"/>
      <c r="BX7" s="1213" t="s">
        <v>203</v>
      </c>
      <c r="BY7" s="1213"/>
      <c r="BZ7" s="1213" t="s">
        <v>204</v>
      </c>
      <c r="CA7" s="1213"/>
      <c r="CB7" s="1213" t="s">
        <v>205</v>
      </c>
      <c r="CC7" s="1213"/>
      <c r="CD7" s="1213" t="s">
        <v>1002</v>
      </c>
      <c r="CE7" s="1213"/>
      <c r="CF7" s="1213" t="s">
        <v>1003</v>
      </c>
      <c r="CG7" s="1213"/>
      <c r="CH7" s="1213" t="s">
        <v>206</v>
      </c>
      <c r="CI7" s="1213"/>
      <c r="CJ7" s="1213" t="s">
        <v>1004</v>
      </c>
      <c r="CK7" s="1213"/>
      <c r="CL7" s="1213" t="s">
        <v>1005</v>
      </c>
      <c r="CM7" s="1213"/>
      <c r="CN7" s="1213" t="s">
        <v>207</v>
      </c>
      <c r="CO7" s="1213"/>
      <c r="CP7" s="1213" t="s">
        <v>1006</v>
      </c>
      <c r="CQ7" s="1213"/>
      <c r="CR7" s="1213" t="s">
        <v>208</v>
      </c>
      <c r="CS7" s="1213"/>
      <c r="CT7" s="1213" t="s">
        <v>209</v>
      </c>
      <c r="CU7" s="1213"/>
      <c r="CV7" s="1213" t="s">
        <v>210</v>
      </c>
      <c r="CW7" s="1213"/>
      <c r="CX7" s="1213" t="s">
        <v>211</v>
      </c>
      <c r="CY7" s="1213"/>
      <c r="CZ7" s="1213" t="s">
        <v>212</v>
      </c>
      <c r="DA7" s="1213"/>
    </row>
    <row r="8" spans="1:105" ht="22.5" customHeight="1">
      <c r="A8" s="1220"/>
      <c r="B8" s="1213"/>
      <c r="C8" s="964" t="s">
        <v>17</v>
      </c>
      <c r="D8" s="963" t="s">
        <v>34</v>
      </c>
      <c r="E8" s="1213"/>
      <c r="F8" s="1213"/>
      <c r="G8" s="965" t="s">
        <v>24</v>
      </c>
      <c r="H8" s="965" t="s">
        <v>25</v>
      </c>
      <c r="I8" s="1214"/>
      <c r="J8" s="963" t="s">
        <v>24</v>
      </c>
      <c r="K8" s="963" t="s">
        <v>25</v>
      </c>
      <c r="L8" s="963" t="s">
        <v>24</v>
      </c>
      <c r="M8" s="963" t="s">
        <v>25</v>
      </c>
      <c r="N8" s="963" t="s">
        <v>24</v>
      </c>
      <c r="O8" s="963" t="s">
        <v>25</v>
      </c>
      <c r="P8" s="963" t="s">
        <v>24</v>
      </c>
      <c r="Q8" s="963" t="s">
        <v>25</v>
      </c>
      <c r="R8" s="963" t="s">
        <v>24</v>
      </c>
      <c r="S8" s="963" t="s">
        <v>25</v>
      </c>
      <c r="T8" s="963" t="s">
        <v>24</v>
      </c>
      <c r="U8" s="963" t="s">
        <v>25</v>
      </c>
      <c r="V8" s="963" t="s">
        <v>24</v>
      </c>
      <c r="W8" s="963" t="s">
        <v>25</v>
      </c>
      <c r="X8" s="963" t="s">
        <v>24</v>
      </c>
      <c r="Y8" s="963" t="s">
        <v>25</v>
      </c>
      <c r="Z8" s="963" t="s">
        <v>24</v>
      </c>
      <c r="AA8" s="963" t="s">
        <v>25</v>
      </c>
      <c r="AB8" s="963" t="s">
        <v>24</v>
      </c>
      <c r="AC8" s="963" t="s">
        <v>25</v>
      </c>
      <c r="AD8" s="963" t="s">
        <v>24</v>
      </c>
      <c r="AE8" s="963" t="s">
        <v>25</v>
      </c>
      <c r="AF8" s="963" t="s">
        <v>24</v>
      </c>
      <c r="AG8" s="963" t="s">
        <v>25</v>
      </c>
      <c r="AH8" s="963" t="s">
        <v>24</v>
      </c>
      <c r="AI8" s="963" t="s">
        <v>25</v>
      </c>
      <c r="AJ8" s="963" t="s">
        <v>24</v>
      </c>
      <c r="AK8" s="963" t="s">
        <v>25</v>
      </c>
      <c r="AL8" s="963" t="s">
        <v>24</v>
      </c>
      <c r="AM8" s="963" t="s">
        <v>25</v>
      </c>
      <c r="AN8" s="963" t="s">
        <v>24</v>
      </c>
      <c r="AO8" s="963" t="s">
        <v>25</v>
      </c>
      <c r="AP8" s="963" t="s">
        <v>24</v>
      </c>
      <c r="AQ8" s="963" t="s">
        <v>25</v>
      </c>
      <c r="AR8" s="963" t="s">
        <v>24</v>
      </c>
      <c r="AS8" s="963" t="s">
        <v>25</v>
      </c>
      <c r="AT8" s="963" t="s">
        <v>24</v>
      </c>
      <c r="AU8" s="963" t="s">
        <v>25</v>
      </c>
      <c r="AV8" s="963" t="s">
        <v>24</v>
      </c>
      <c r="AW8" s="963" t="s">
        <v>25</v>
      </c>
      <c r="AX8" s="963" t="s">
        <v>24</v>
      </c>
      <c r="AY8" s="963" t="s">
        <v>25</v>
      </c>
      <c r="AZ8" s="963" t="s">
        <v>24</v>
      </c>
      <c r="BA8" s="963" t="s">
        <v>25</v>
      </c>
      <c r="BB8" s="963" t="s">
        <v>24</v>
      </c>
      <c r="BC8" s="963" t="s">
        <v>25</v>
      </c>
      <c r="BD8" s="963" t="s">
        <v>24</v>
      </c>
      <c r="BE8" s="963" t="s">
        <v>25</v>
      </c>
      <c r="BF8" s="963" t="s">
        <v>24</v>
      </c>
      <c r="BG8" s="963" t="s">
        <v>25</v>
      </c>
      <c r="BH8" s="963" t="s">
        <v>24</v>
      </c>
      <c r="BI8" s="963" t="s">
        <v>25</v>
      </c>
      <c r="BJ8" s="963" t="s">
        <v>24</v>
      </c>
      <c r="BK8" s="963" t="s">
        <v>25</v>
      </c>
      <c r="BL8" s="963" t="s">
        <v>24</v>
      </c>
      <c r="BM8" s="963" t="s">
        <v>25</v>
      </c>
      <c r="BN8" s="963" t="s">
        <v>24</v>
      </c>
      <c r="BO8" s="963" t="s">
        <v>25</v>
      </c>
      <c r="BP8" s="963" t="s">
        <v>24</v>
      </c>
      <c r="BQ8" s="963" t="s">
        <v>25</v>
      </c>
      <c r="BR8" s="963" t="s">
        <v>24</v>
      </c>
      <c r="BS8" s="963" t="s">
        <v>25</v>
      </c>
      <c r="BT8" s="963" t="s">
        <v>24</v>
      </c>
      <c r="BU8" s="963" t="s">
        <v>25</v>
      </c>
      <c r="BV8" s="963" t="s">
        <v>24</v>
      </c>
      <c r="BW8" s="963" t="s">
        <v>25</v>
      </c>
      <c r="BX8" s="963" t="s">
        <v>24</v>
      </c>
      <c r="BY8" s="963" t="s">
        <v>25</v>
      </c>
      <c r="BZ8" s="963" t="s">
        <v>24</v>
      </c>
      <c r="CA8" s="963" t="s">
        <v>25</v>
      </c>
      <c r="CB8" s="963" t="s">
        <v>24</v>
      </c>
      <c r="CC8" s="963" t="s">
        <v>25</v>
      </c>
      <c r="CD8" s="963" t="s">
        <v>24</v>
      </c>
      <c r="CE8" s="963" t="s">
        <v>25</v>
      </c>
      <c r="CF8" s="963" t="s">
        <v>24</v>
      </c>
      <c r="CG8" s="963" t="s">
        <v>25</v>
      </c>
      <c r="CH8" s="963" t="s">
        <v>24</v>
      </c>
      <c r="CI8" s="963" t="s">
        <v>25</v>
      </c>
      <c r="CJ8" s="963" t="s">
        <v>24</v>
      </c>
      <c r="CK8" s="963" t="s">
        <v>25</v>
      </c>
      <c r="CL8" s="963" t="s">
        <v>24</v>
      </c>
      <c r="CM8" s="963" t="s">
        <v>25</v>
      </c>
      <c r="CN8" s="963" t="s">
        <v>24</v>
      </c>
      <c r="CO8" s="963" t="s">
        <v>25</v>
      </c>
      <c r="CP8" s="963" t="s">
        <v>24</v>
      </c>
      <c r="CQ8" s="963" t="s">
        <v>25</v>
      </c>
      <c r="CR8" s="963" t="s">
        <v>24</v>
      </c>
      <c r="CS8" s="963" t="s">
        <v>25</v>
      </c>
      <c r="CT8" s="963" t="s">
        <v>24</v>
      </c>
      <c r="CU8" s="963" t="s">
        <v>25</v>
      </c>
      <c r="CV8" s="963" t="s">
        <v>24</v>
      </c>
      <c r="CW8" s="963" t="s">
        <v>25</v>
      </c>
      <c r="CX8" s="963" t="s">
        <v>24</v>
      </c>
      <c r="CY8" s="963" t="s">
        <v>25</v>
      </c>
      <c r="CZ8" s="963" t="s">
        <v>24</v>
      </c>
      <c r="DA8" s="963"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CDPS!C10</f>
        <v>3705039095</v>
      </c>
      <c r="K10" s="275">
        <f>CDPS!D10</f>
        <v>0</v>
      </c>
      <c r="L10" s="275">
        <f>CDPS!C12</f>
        <v>19829295</v>
      </c>
      <c r="M10" s="275">
        <f>CDPS!D12</f>
        <v>0</v>
      </c>
      <c r="N10" s="275">
        <f>CDPS!C13</f>
        <v>2236796790</v>
      </c>
      <c r="O10" s="275">
        <f>CDPS!D13</f>
        <v>0</v>
      </c>
      <c r="P10" s="275">
        <f>CDPS!C15</f>
        <v>3343381600</v>
      </c>
      <c r="Q10" s="275">
        <f>CDPS!D15</f>
        <v>0</v>
      </c>
      <c r="R10" s="275">
        <f>CDPS!C16</f>
        <v>162420936</v>
      </c>
      <c r="S10" s="275">
        <f>CDPS!D16</f>
        <v>0</v>
      </c>
      <c r="T10" s="275">
        <f>CDPS!C18</f>
        <v>1500000000</v>
      </c>
      <c r="U10" s="275">
        <f>CDPS!D18</f>
        <v>0</v>
      </c>
      <c r="V10" s="275">
        <f>CDPS!C20</f>
        <v>0</v>
      </c>
      <c r="W10" s="275">
        <f>CDPS!D20</f>
        <v>0</v>
      </c>
      <c r="X10" s="275">
        <f>CDPS!C21</f>
        <v>2772400000</v>
      </c>
      <c r="Y10" s="275">
        <f>CDPS!D21</f>
        <v>0</v>
      </c>
      <c r="Z10" s="275">
        <f>CDPS!C22</f>
        <v>526519887</v>
      </c>
      <c r="AA10" s="275">
        <f>CDPS!D22</f>
        <v>0</v>
      </c>
      <c r="AB10" s="275">
        <f>CDPS!C24</f>
        <v>0</v>
      </c>
      <c r="AC10" s="275">
        <f>CDPS!D24</f>
        <v>0</v>
      </c>
      <c r="AD10" s="275">
        <f>CDPS!C25</f>
        <v>0</v>
      </c>
      <c r="AE10" s="275">
        <f>CDPS!D25</f>
        <v>0</v>
      </c>
      <c r="AF10" s="275">
        <f>CDPS!C26</f>
        <v>9386323824</v>
      </c>
      <c r="AG10" s="275">
        <f>CDPS!D26</f>
        <v>0</v>
      </c>
      <c r="AH10" s="275">
        <f>CDPS!C27</f>
        <v>7490743648</v>
      </c>
      <c r="AI10" s="275">
        <f>CDPS!D27</f>
        <v>0</v>
      </c>
      <c r="AJ10" s="275">
        <f>CDPS!C28</f>
        <v>3807898863</v>
      </c>
      <c r="AK10" s="275">
        <f>CDPS!D28</f>
        <v>0</v>
      </c>
      <c r="AL10" s="275">
        <f>CDPS!C29</f>
        <v>3790918485</v>
      </c>
      <c r="AM10" s="275">
        <f>CDPS!D29</f>
        <v>0</v>
      </c>
      <c r="AN10" s="275">
        <f>CDPS!C31</f>
        <v>5405781300</v>
      </c>
      <c r="AO10" s="275">
        <f>CDPS!D31</f>
        <v>0</v>
      </c>
      <c r="AP10" s="275">
        <f>CDPS!C33</f>
        <v>0</v>
      </c>
      <c r="AQ10" s="275">
        <f>CDPS!D33</f>
        <v>9132359256</v>
      </c>
      <c r="AR10" s="275">
        <f>CDPS!C34</f>
        <v>0</v>
      </c>
      <c r="AS10" s="275">
        <f>CDPS!D34</f>
        <v>600642360</v>
      </c>
      <c r="AT10" s="275">
        <f>CDPS!C36</f>
        <v>0</v>
      </c>
      <c r="AU10" s="275">
        <f>CDPS!D36</f>
        <v>0</v>
      </c>
      <c r="AV10" s="275">
        <f>CDPS!C38</f>
        <v>0</v>
      </c>
      <c r="AW10" s="275">
        <f>CDPS!D38</f>
        <v>476953252</v>
      </c>
      <c r="AX10" s="275"/>
      <c r="AY10" s="275"/>
      <c r="AZ10" s="275"/>
      <c r="BA10" s="275"/>
      <c r="BB10" s="275"/>
      <c r="BC10" s="275"/>
      <c r="BD10" s="275">
        <f>CDPS!C39</f>
        <v>0</v>
      </c>
      <c r="BE10" s="275">
        <f>CDPS!D39</f>
        <v>3313435</v>
      </c>
      <c r="BF10" s="275">
        <f>CDPS!C40</f>
        <v>3389804</v>
      </c>
      <c r="BG10" s="275">
        <f>CDPS!D40</f>
        <v>0</v>
      </c>
      <c r="BH10" s="275">
        <f>CDPS!C41</f>
        <v>0</v>
      </c>
      <c r="BI10" s="275">
        <f>CDPS!D41</f>
        <v>0</v>
      </c>
      <c r="BJ10" s="275">
        <f>CDPS!C44</f>
        <v>0</v>
      </c>
      <c r="BK10" s="275">
        <f>CDPS!D44</f>
        <v>0</v>
      </c>
      <c r="BL10" s="275">
        <f>CDPS!C46</f>
        <v>0</v>
      </c>
      <c r="BM10" s="275">
        <f>CDPS!D46</f>
        <v>40272309</v>
      </c>
      <c r="BN10" s="275">
        <f>CDPS!C47</f>
        <v>0</v>
      </c>
      <c r="BO10" s="275">
        <f>CDPS!D47</f>
        <v>6403142</v>
      </c>
      <c r="BP10" s="275">
        <f>CDPS!C48</f>
        <v>0</v>
      </c>
      <c r="BQ10" s="275">
        <f>CDPS!D48</f>
        <v>2761373</v>
      </c>
      <c r="BR10" s="275">
        <f>CDPS!C49</f>
        <v>0</v>
      </c>
      <c r="BS10" s="275">
        <f>CDPS!D49</f>
        <v>0</v>
      </c>
      <c r="BT10" s="275">
        <f>CDPS!C51</f>
        <v>0</v>
      </c>
      <c r="BU10" s="275">
        <f>CDPS!D51</f>
        <v>2169121879</v>
      </c>
      <c r="BV10" s="275">
        <f>CDPS!C52</f>
        <v>0</v>
      </c>
      <c r="BW10" s="275">
        <f>CDPS!D52</f>
        <v>21202920500</v>
      </c>
      <c r="BX10" s="275">
        <f>CDPS!C54</f>
        <v>0</v>
      </c>
      <c r="BY10" s="275">
        <f>CDPS!D54</f>
        <v>10000000000</v>
      </c>
      <c r="BZ10" s="275">
        <f>CDPS!C56</f>
        <v>0</v>
      </c>
      <c r="CA10" s="275">
        <f>CDPS!D56</f>
        <v>486535137</v>
      </c>
      <c r="CB10" s="275">
        <f>CDPS!C57</f>
        <v>0</v>
      </c>
      <c r="CC10" s="275">
        <f>CDPS!D57</f>
        <v>30160884.000000477</v>
      </c>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row>
    <row r="11" spans="1:105" s="276" customFormat="1" ht="12.75" customHeight="1">
      <c r="A11" s="63">
        <f t="array" aca="1" ref="A11" ca="1">IF(C11&lt;&gt;0,SUM(($C$11:C11&lt;&gt;0)*1),"")</f>
        <v>1</v>
      </c>
      <c r="B11" s="277" t="str">
        <f ca="1">IF(ROWS($1:1)&gt;COUNT(Dong6),"",OFFSET(TH!C$1,SMALL(Dong6,ROWS($1:1)),))</f>
        <v/>
      </c>
      <c r="C11" s="277" t="str">
        <f ca="1">IF(ROWS($1:1)&gt;COUNT(Dong6),"",OFFSET(TH!D$1,SMALL(Dong6,ROWS($1:1)),))</f>
        <v/>
      </c>
      <c r="D11" s="277" t="str">
        <f ca="1">IF(ROWS($1:1)&gt;COUNT(Dong6),"",OFFSET(TH!E$1,SMALL(Dong6,ROWS($1:1)),))</f>
        <v/>
      </c>
      <c r="E11" s="327" t="str">
        <f ca="1">IF(ROWS($1:1)&gt;COUNT(Dong6),"",OFFSET(TH!F$1,SMALL(Dong6,ROWS($1:1)),))</f>
        <v/>
      </c>
      <c r="F11" s="328" t="str">
        <f ca="1">IF(ROWS($1:1)&gt;COUNT(Dong6),"",OFFSET(TH!M$1,SMALL(Dong6,ROWS($1:1)),))</f>
        <v/>
      </c>
      <c r="G11" s="329" t="str">
        <f ca="1">IF(ROWS($1:1)&gt;COUNT(Dong6),"",OFFSET(TH!N$1,SMALL(Dong6,ROWS($1:1)),))</f>
        <v/>
      </c>
      <c r="H11" s="329" t="str">
        <f ca="1">IF(ROWS($1:1)&gt;COUNT(Dong6),"",OFFSET(TH!O$1,SMALL(Dong6,ROWS($1:1)),))</f>
        <v/>
      </c>
      <c r="I11" s="63">
        <f t="shared" ref="I11:I34" ca="1" si="0">A11</f>
        <v>1</v>
      </c>
      <c r="J11" s="279">
        <f ca="1">IF($G11="1111",$F11,0)</f>
        <v>0</v>
      </c>
      <c r="K11" s="279">
        <f ca="1">IF($H11="1111",$F11,0)</f>
        <v>0</v>
      </c>
      <c r="L11" s="279">
        <f t="shared" ref="L11:L51" ca="1" si="1">IF($G11="1121",$F11,0)</f>
        <v>0</v>
      </c>
      <c r="M11" s="279">
        <f t="shared" ref="M11:M51" ca="1" si="2">IF($H11="1121",$F11,0)</f>
        <v>0</v>
      </c>
      <c r="N11" s="279">
        <f t="shared" ref="N11:N51" ca="1" si="3">IF($G11="1122",$F11,0)</f>
        <v>0</v>
      </c>
      <c r="O11" s="279">
        <f t="shared" ref="O11:O51" ca="1" si="4">IF($H11="1122",$F11,0)</f>
        <v>0</v>
      </c>
      <c r="P11" s="279">
        <f t="shared" ref="P11:P51" ca="1" si="5">IF($G11="131",$F11,0)</f>
        <v>0</v>
      </c>
      <c r="Q11" s="279">
        <f t="shared" ref="Q11:Q51" ca="1" si="6">IF($H11="131",$F11,0)</f>
        <v>0</v>
      </c>
      <c r="R11" s="279">
        <f t="shared" ref="R11:R51" ca="1" si="7">IF($G11="1331",$F11,0)</f>
        <v>0</v>
      </c>
      <c r="S11" s="279">
        <f t="shared" ref="S11:S51" ca="1" si="8">IF($H11="1331",$F11,0)</f>
        <v>0</v>
      </c>
      <c r="T11" s="279">
        <f t="shared" ref="T11:T51" ca="1" si="9">IF($G11="1388",$F11,0)</f>
        <v>0</v>
      </c>
      <c r="U11" s="279">
        <f t="shared" ref="U11:U51" ca="1" si="10">IF($H11="1388",$F11,0)</f>
        <v>0</v>
      </c>
      <c r="V11" s="279">
        <f t="shared" ref="V11:V51" ca="1" si="11">IF($G11="141",$F11,0)</f>
        <v>0</v>
      </c>
      <c r="W11" s="279">
        <f t="shared" ref="W11:W51" ca="1" si="12">IF($H11="141",$F11,0)</f>
        <v>0</v>
      </c>
      <c r="X11" s="279">
        <f t="shared" ref="X11:X51" ca="1" si="13">IF($G11="1521",$F11,0)</f>
        <v>0</v>
      </c>
      <c r="Y11" s="279">
        <f t="shared" ref="Y11:Y51" ca="1" si="14">IF($H11="1521",$F11,0)</f>
        <v>0</v>
      </c>
      <c r="Z11" s="279">
        <f t="shared" ref="Z11:Z51" ca="1" si="15">IF($G11="1522",$F11,0)</f>
        <v>0</v>
      </c>
      <c r="AA11" s="279">
        <f t="shared" ref="AA11:AA51" ca="1" si="16">IF($H11="1522",$F11,0)</f>
        <v>0</v>
      </c>
      <c r="AB11" s="279">
        <f ca="1">IF($G11="153",$F11,0)</f>
        <v>0</v>
      </c>
      <c r="AC11" s="279">
        <f ca="1">IF($H11="153",$F11,0)</f>
        <v>0</v>
      </c>
      <c r="AD11" s="279">
        <f t="shared" ref="AD11:AD51" ca="1" si="17">IF($G11="154",$F11,0)</f>
        <v>0</v>
      </c>
      <c r="AE11" s="279">
        <f t="shared" ref="AE11:AE51" ca="1" si="18">IF($H11="154",$F11,0)</f>
        <v>0</v>
      </c>
      <c r="AF11" s="279">
        <f t="shared" ref="AF11:AF51" ca="1" si="19">IF($G11="155",$F11,0)</f>
        <v>0</v>
      </c>
      <c r="AG11" s="279">
        <f t="shared" ref="AG11:AG51"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1" ca="1" si="21">IF($G11="2141",$F11,0)</f>
        <v>0</v>
      </c>
      <c r="AQ11" s="279">
        <f t="shared" ref="AQ11:AQ51" ca="1" si="22">IF($H11="2141",$F11,0)</f>
        <v>0</v>
      </c>
      <c r="AR11" s="279">
        <f t="shared" ref="AR11:AR51" ca="1" si="23">IF($G11="2143",$F11,0)</f>
        <v>0</v>
      </c>
      <c r="AS11" s="279">
        <f t="shared" ref="AS11:AS51" ca="1" si="24">IF($H11="2143",$F11,0)</f>
        <v>0</v>
      </c>
      <c r="AT11" s="279">
        <f ca="1">IF($G11="2412",$F11,0)</f>
        <v>0</v>
      </c>
      <c r="AU11" s="279">
        <f ca="1">IF($H11="2412",$F11,0)</f>
        <v>0</v>
      </c>
      <c r="AV11" s="279">
        <f t="shared" ref="AV11:AV51" ca="1" si="25">IF($G11="331",$F11,0)</f>
        <v>0</v>
      </c>
      <c r="AW11" s="279">
        <f t="shared" ref="AW11:AW51" ca="1" si="26">IF($H11="331",$F11,0)</f>
        <v>0</v>
      </c>
      <c r="AX11" s="279">
        <f t="shared" ref="AX11:AX51" ca="1" si="27">IF($G11="33311",$F11,0)</f>
        <v>0</v>
      </c>
      <c r="AY11" s="279">
        <f t="shared" ref="AY11:AY51" ca="1" si="28">IF($H11="33311",$F11,0)</f>
        <v>0</v>
      </c>
      <c r="AZ11" s="279">
        <f t="shared" ref="AZ11:AZ51" ca="1" si="29">IF($G11="33312",$F11,0)</f>
        <v>0</v>
      </c>
      <c r="BA11" s="279">
        <f t="shared" ref="BA11:BA51" ca="1" si="30">IF($H11="33312",$F11,0)</f>
        <v>0</v>
      </c>
      <c r="BB11" s="279">
        <f t="shared" ref="BB11:BB51" ca="1" si="31">IF($G11="3333",$F11,0)</f>
        <v>0</v>
      </c>
      <c r="BC11" s="279">
        <f t="shared" ref="BC11:BC51" ca="1" si="32">IF($H11="3333",$F11,0)</f>
        <v>0</v>
      </c>
      <c r="BD11" s="279">
        <f t="shared" ref="BD11:BD51" ca="1" si="33">IF($G11="3334",$F11,0)</f>
        <v>0</v>
      </c>
      <c r="BE11" s="279">
        <f t="shared" ref="BE11:BE51" ca="1" si="34">IF($H11="3334",$F11,0)</f>
        <v>0</v>
      </c>
      <c r="BF11" s="279">
        <f t="shared" ref="BF11:BF51" ca="1" si="35">IF($G11="3335",$F11,0)</f>
        <v>0</v>
      </c>
      <c r="BG11" s="279">
        <f t="shared" ref="BG11:BG51" ca="1" si="36">IF($H11="3335",$F11,0)</f>
        <v>0</v>
      </c>
      <c r="BH11" s="279">
        <f ca="1">IF($G11="33382",$F11,0)</f>
        <v>0</v>
      </c>
      <c r="BI11" s="279">
        <f ca="1">IF($H11="33382",$F11,0)</f>
        <v>0</v>
      </c>
      <c r="BJ11" s="279">
        <f t="shared" ref="BJ11:BJ51" ca="1" si="37">IF($G11="3341",$F11,0)</f>
        <v>0</v>
      </c>
      <c r="BK11" s="279">
        <f t="shared" ref="BK11:BK51" ca="1" si="38">IF($H11="3341",$F11,0)</f>
        <v>0</v>
      </c>
      <c r="BL11" s="279">
        <f t="shared" ref="BL11:BL51" ca="1" si="39">IF($G11="3383",$F11,0)</f>
        <v>0</v>
      </c>
      <c r="BM11" s="279">
        <f t="shared" ref="BM11:BM51" ca="1" si="40">IF($H11="3383",$F11,0)</f>
        <v>0</v>
      </c>
      <c r="BN11" s="279">
        <f t="shared" ref="BN11:BN51" ca="1" si="41">IF($G11="3384",$F11,0)</f>
        <v>0</v>
      </c>
      <c r="BO11" s="279">
        <f t="shared" ref="BO11:BO51" ca="1" si="42">IF($H11="3384",$F11,0)</f>
        <v>0</v>
      </c>
      <c r="BP11" s="279">
        <f ca="1">IF($G11="3386",$F11,0)</f>
        <v>0</v>
      </c>
      <c r="BQ11" s="279">
        <f ca="1">IF($H11="3386",$F11,0)</f>
        <v>0</v>
      </c>
      <c r="BR11" s="279">
        <f t="shared" ref="BR11:BR51" ca="1" si="43">IF($G11="3388",$F11,0)</f>
        <v>0</v>
      </c>
      <c r="BS11" s="279">
        <f t="shared" ref="BS11:BS51" ca="1" si="44">IF($H11="3388",$F11,0)</f>
        <v>0</v>
      </c>
      <c r="BT11" s="279">
        <f ca="1">IF($G11="3411",$F11,0)</f>
        <v>0</v>
      </c>
      <c r="BU11" s="279">
        <f ca="1">IF($H11="3411",$F11,0)</f>
        <v>0</v>
      </c>
      <c r="BV11" s="279">
        <f ca="1">IF($G11="3412",$F11,0)</f>
        <v>0</v>
      </c>
      <c r="BW11" s="279">
        <f ca="1">IF($H11="3412",$F11,0)</f>
        <v>0</v>
      </c>
      <c r="BX11" s="279">
        <f t="shared" ref="BX11:BX51" ca="1" si="45">IF($G11="4111",$F11,0)</f>
        <v>0</v>
      </c>
      <c r="BY11" s="279">
        <f t="shared" ref="BY11:BY51" ca="1" si="46">IF($H11="4111",$F11,0)</f>
        <v>0</v>
      </c>
      <c r="BZ11" s="279">
        <f t="shared" ref="BZ11:BZ51" ca="1" si="47">IF($G11="4211",$F11,0)</f>
        <v>0</v>
      </c>
      <c r="CA11" s="279">
        <f t="shared" ref="CA11:CA51" ca="1" si="48">IF($H11="4211",$F11,0)</f>
        <v>0</v>
      </c>
      <c r="CB11" s="279">
        <f t="shared" ref="CB11:CB51" ca="1" si="49">IF($G11="4212",$F11,0)</f>
        <v>0</v>
      </c>
      <c r="CC11" s="279">
        <f t="shared" ref="CC11:CC51" ca="1" si="50">IF($H11="4212",$F11,0)</f>
        <v>0</v>
      </c>
      <c r="CD11" s="279">
        <f ca="1">IF($G11="5112N",$F11,0)</f>
        <v>0</v>
      </c>
      <c r="CE11" s="279">
        <f ca="1">IF($H11="5112N",$F11,0)</f>
        <v>0</v>
      </c>
      <c r="CF11" s="279">
        <f ca="1">IF($G11="5112X",$F11,0)</f>
        <v>0</v>
      </c>
      <c r="CG11" s="279">
        <f ca="1">IF($H11="5112X",$F11,0)</f>
        <v>0</v>
      </c>
      <c r="CH11" s="279">
        <f t="shared" ref="CH11:CH51" ca="1" si="51">IF($G11="515",$F11,0)</f>
        <v>0</v>
      </c>
      <c r="CI11" s="279">
        <f t="shared" ref="CI11:CI51" ca="1" si="52">IF($H11="515",$F11,0)</f>
        <v>0</v>
      </c>
      <c r="CJ11" s="279">
        <f ca="1">IF($G11="5213",$F11,0)</f>
        <v>0</v>
      </c>
      <c r="CK11" s="279">
        <f ca="1">IF($H11="5213",$F11,0)</f>
        <v>0</v>
      </c>
      <c r="CL11" s="279">
        <f t="shared" ref="CL11:CL51" ca="1" si="53">IF($G11="632",$F11,0)</f>
        <v>0</v>
      </c>
      <c r="CM11" s="279">
        <f t="shared" ref="CM11:CM51" ca="1" si="54">IF($H11="632",$F11,0)</f>
        <v>0</v>
      </c>
      <c r="CN11" s="279">
        <f t="shared" ref="CN11:CN51" ca="1" si="55">IF($G11="635",$F11,0)</f>
        <v>0</v>
      </c>
      <c r="CO11" s="279">
        <f t="shared" ref="CO11:CO51" ca="1" si="56">IF($H11="635",$F11,0)</f>
        <v>0</v>
      </c>
      <c r="CP11" s="279">
        <f ca="1">IF($G11="641",$F11,0)</f>
        <v>0</v>
      </c>
      <c r="CQ11" s="279">
        <f ca="1">IF($H11="641",$F11,0)</f>
        <v>0</v>
      </c>
      <c r="CR11" s="279">
        <f ca="1">IF($G11="642",$F11,0)</f>
        <v>0</v>
      </c>
      <c r="CS11" s="279">
        <f ca="1">IF($H11="642",$F11,0)</f>
        <v>0</v>
      </c>
      <c r="CT11" s="279">
        <f t="shared" ref="CT11:CT51" ca="1" si="57">IF($G11="711",$F11,0)</f>
        <v>0</v>
      </c>
      <c r="CU11" s="279">
        <f t="shared" ref="CU11:CU51" ca="1" si="58">IF($H11="711",$F11,0)</f>
        <v>0</v>
      </c>
      <c r="CV11" s="279">
        <f t="shared" ref="CV11:CV51" ca="1" si="59">IF($G11="811",$F11,0)</f>
        <v>0</v>
      </c>
      <c r="CW11" s="279">
        <f t="shared" ref="CW11:CW51" ca="1" si="60">IF($H11="811",$F11,0)</f>
        <v>0</v>
      </c>
      <c r="CX11" s="279">
        <f ca="1">IF($G11="821",$F11,0)</f>
        <v>0</v>
      </c>
      <c r="CY11" s="279">
        <f ca="1">IF($H11="821",$F11,0)</f>
        <v>0</v>
      </c>
      <c r="CZ11" s="279">
        <f ca="1">IF($G11="911",$F11,0)</f>
        <v>0</v>
      </c>
      <c r="DA11" s="279">
        <f ca="1">IF($H11="911",$F11,0)</f>
        <v>0</v>
      </c>
    </row>
    <row r="12" spans="1:105" s="276" customFormat="1" ht="15" customHeight="1">
      <c r="A12" s="63">
        <f t="array" aca="1" ref="A12" ca="1">IF(C12&lt;&gt;0,SUM(($C$11:C12&lt;&gt;0)*1),"")</f>
        <v>2</v>
      </c>
      <c r="B12" s="277" t="str">
        <f ca="1">IF(ROWS($1:2)&gt;COUNT(Dong6),"",OFFSET(TH!C$1,SMALL(Dong6,ROWS($1:2)),))</f>
        <v/>
      </c>
      <c r="C12" s="277" t="str">
        <f ca="1">IF(ROWS($1:2)&gt;COUNT(Dong6),"",OFFSET(TH!D$1,SMALL(Dong6,ROWS($1:2)),))</f>
        <v/>
      </c>
      <c r="D12" s="277" t="str">
        <f ca="1">IF(ROWS($1:2)&gt;COUNT(Dong6),"",OFFSET(TH!E$1,SMALL(Dong6,ROWS($1:2)),))</f>
        <v/>
      </c>
      <c r="E12" s="327" t="str">
        <f ca="1">IF(ROWS($1:2)&gt;COUNT(Dong6),"",OFFSET(TH!F$1,SMALL(Dong6,ROWS($1:2)),))</f>
        <v/>
      </c>
      <c r="F12" s="328" t="str">
        <f ca="1">IF(ROWS($1:2)&gt;COUNT(Dong6),"",OFFSET(TH!M$1,SMALL(Dong6,ROWS($1:2)),))</f>
        <v/>
      </c>
      <c r="G12" s="329" t="str">
        <f ca="1">IF(ROWS($1:2)&gt;COUNT(Dong6),"",OFFSET(TH!N$1,SMALL(Dong6,ROWS($1:2)),))</f>
        <v/>
      </c>
      <c r="H12" s="329" t="str">
        <f ca="1">IF(ROWS($1:2)&gt;COUNT(Dong6),"",OFFSET(TH!O$1,SMALL(Dong6,ROWS($1:2)),))</f>
        <v/>
      </c>
      <c r="I12" s="63">
        <f t="shared" ca="1" si="0"/>
        <v>2</v>
      </c>
      <c r="J12" s="279">
        <f t="shared" ref="J12:J51" ca="1" si="61">IF($G12="1111",$F12,0)</f>
        <v>0</v>
      </c>
      <c r="K12" s="279">
        <f t="shared" ref="K12:K51" ca="1" si="62">IF($H12="1111",$F12,0)</f>
        <v>0</v>
      </c>
      <c r="L12" s="279">
        <f t="shared" ca="1" si="1"/>
        <v>0</v>
      </c>
      <c r="M12" s="279">
        <f t="shared" ca="1" si="2"/>
        <v>0</v>
      </c>
      <c r="N12" s="279">
        <f t="shared" ca="1" si="3"/>
        <v>0</v>
      </c>
      <c r="O12" s="279">
        <f t="shared" ca="1" si="4"/>
        <v>0</v>
      </c>
      <c r="P12" s="279">
        <f t="shared" ca="1" si="5"/>
        <v>0</v>
      </c>
      <c r="Q12" s="279">
        <f t="shared" ca="1" si="6"/>
        <v>0</v>
      </c>
      <c r="R12" s="279">
        <f t="shared" ca="1" si="7"/>
        <v>0</v>
      </c>
      <c r="S12" s="279">
        <f t="shared" ca="1" si="8"/>
        <v>0</v>
      </c>
      <c r="T12" s="279">
        <f t="shared" ca="1" si="9"/>
        <v>0</v>
      </c>
      <c r="U12" s="279">
        <f t="shared" ca="1" si="10"/>
        <v>0</v>
      </c>
      <c r="V12" s="279">
        <f t="shared" ca="1" si="11"/>
        <v>0</v>
      </c>
      <c r="W12" s="279">
        <f t="shared" ca="1" si="12"/>
        <v>0</v>
      </c>
      <c r="X12" s="279">
        <f t="shared" ca="1" si="13"/>
        <v>0</v>
      </c>
      <c r="Y12" s="279">
        <f t="shared" ca="1" si="14"/>
        <v>0</v>
      </c>
      <c r="Z12" s="279">
        <f t="shared" ca="1" si="15"/>
        <v>0</v>
      </c>
      <c r="AA12" s="279">
        <f t="shared" ca="1" si="16"/>
        <v>0</v>
      </c>
      <c r="AB12" s="279">
        <f t="shared" ref="AB12:AB51" ca="1" si="63">IF($G12="153",$F12,0)</f>
        <v>0</v>
      </c>
      <c r="AC12" s="279">
        <f t="shared" ref="AC12:AC51" ca="1" si="64">IF($H12="153",$F12,0)</f>
        <v>0</v>
      </c>
      <c r="AD12" s="279">
        <f t="shared" ca="1" si="17"/>
        <v>0</v>
      </c>
      <c r="AE12" s="279">
        <f t="shared" ca="1" si="18"/>
        <v>0</v>
      </c>
      <c r="AF12" s="279">
        <f t="shared" ca="1" si="19"/>
        <v>0</v>
      </c>
      <c r="AG12" s="279">
        <f t="shared" ca="1" si="20"/>
        <v>0</v>
      </c>
      <c r="AH12" s="279">
        <f t="shared" ref="AH12:AH51" ca="1" si="65">IF($G12="2111",$F12,0)</f>
        <v>0</v>
      </c>
      <c r="AI12" s="279">
        <f t="shared" ref="AI12:AI51" ca="1" si="66">IF($H12="2111",$F12,0)</f>
        <v>0</v>
      </c>
      <c r="AJ12" s="279">
        <f t="shared" ref="AJ12:AJ51" ca="1" si="67">IF($G12="2112",$F12,0)</f>
        <v>0</v>
      </c>
      <c r="AK12" s="279">
        <f t="shared" ref="AK12:AK51" ca="1" si="68">IF($H12="2112",$F12,0)</f>
        <v>0</v>
      </c>
      <c r="AL12" s="279">
        <f t="shared" ref="AL12:AL51" ca="1" si="69">IF($G12="2113",$F12,0)</f>
        <v>0</v>
      </c>
      <c r="AM12" s="279">
        <f t="shared" ref="AM12:AM51" ca="1" si="70">IF($H12="2113",$F12,0)</f>
        <v>0</v>
      </c>
      <c r="AN12" s="279">
        <f t="shared" ref="AN12:AN51" ca="1" si="71">IF($G12="2131",$F12,0)</f>
        <v>0</v>
      </c>
      <c r="AO12" s="279">
        <f t="shared" ref="AO12:AO51" ca="1" si="72">IF($H12="2131",$F12,0)</f>
        <v>0</v>
      </c>
      <c r="AP12" s="279">
        <f t="shared" ca="1" si="21"/>
        <v>0</v>
      </c>
      <c r="AQ12" s="279">
        <f t="shared" ca="1" si="22"/>
        <v>0</v>
      </c>
      <c r="AR12" s="279">
        <f t="shared" ca="1" si="23"/>
        <v>0</v>
      </c>
      <c r="AS12" s="279">
        <f t="shared" ca="1" si="24"/>
        <v>0</v>
      </c>
      <c r="AT12" s="279">
        <f t="shared" ref="AT12:AT38" ca="1" si="73">IF($G12="2412",$F12,0)</f>
        <v>0</v>
      </c>
      <c r="AU12" s="279">
        <f t="shared" ref="AU12:AU38" ca="1" si="74">IF($H12="2412",$F12,0)</f>
        <v>0</v>
      </c>
      <c r="AV12" s="279">
        <f t="shared" ca="1" si="25"/>
        <v>0</v>
      </c>
      <c r="AW12" s="279">
        <f t="shared" ca="1" si="26"/>
        <v>0</v>
      </c>
      <c r="AX12" s="279">
        <f t="shared" ca="1" si="27"/>
        <v>0</v>
      </c>
      <c r="AY12" s="279">
        <f t="shared" ca="1" si="28"/>
        <v>0</v>
      </c>
      <c r="AZ12" s="279">
        <f t="shared" ca="1" si="29"/>
        <v>0</v>
      </c>
      <c r="BA12" s="279">
        <f t="shared" ca="1" si="30"/>
        <v>0</v>
      </c>
      <c r="BB12" s="279">
        <f t="shared" ca="1" si="31"/>
        <v>0</v>
      </c>
      <c r="BC12" s="279">
        <f t="shared" ca="1" si="32"/>
        <v>0</v>
      </c>
      <c r="BD12" s="279">
        <f t="shared" ca="1" si="33"/>
        <v>0</v>
      </c>
      <c r="BE12" s="279">
        <f t="shared" ca="1" si="34"/>
        <v>0</v>
      </c>
      <c r="BF12" s="279">
        <f t="shared" ca="1" si="35"/>
        <v>0</v>
      </c>
      <c r="BG12" s="279">
        <f t="shared" ca="1" si="36"/>
        <v>0</v>
      </c>
      <c r="BH12" s="279">
        <f t="shared" ref="BH12:BH51" ca="1" si="75">IF($G12="33382",$F12,0)</f>
        <v>0</v>
      </c>
      <c r="BI12" s="279">
        <f t="shared" ref="BI12:BI51" ca="1" si="76">IF($H12="33382",$F12,0)</f>
        <v>0</v>
      </c>
      <c r="BJ12" s="279">
        <f t="shared" ca="1" si="37"/>
        <v>0</v>
      </c>
      <c r="BK12" s="279">
        <f t="shared" ca="1" si="38"/>
        <v>0</v>
      </c>
      <c r="BL12" s="279">
        <f t="shared" ca="1" si="39"/>
        <v>0</v>
      </c>
      <c r="BM12" s="279">
        <f t="shared" ca="1" si="40"/>
        <v>0</v>
      </c>
      <c r="BN12" s="279">
        <f t="shared" ca="1" si="41"/>
        <v>0</v>
      </c>
      <c r="BO12" s="279">
        <f t="shared" ca="1" si="42"/>
        <v>0</v>
      </c>
      <c r="BP12" s="279">
        <f t="shared" ref="BP12:BP51" ca="1" si="77">IF($G12="3386",$F12,0)</f>
        <v>0</v>
      </c>
      <c r="BQ12" s="279">
        <f t="shared" ref="BQ12:BQ51" ca="1" si="78">IF($H12="3386",$F12,0)</f>
        <v>0</v>
      </c>
      <c r="BR12" s="279">
        <f t="shared" ca="1" si="43"/>
        <v>0</v>
      </c>
      <c r="BS12" s="279">
        <f t="shared" ca="1" si="44"/>
        <v>0</v>
      </c>
      <c r="BT12" s="279">
        <f t="shared" ref="BT12:BT51" ca="1" si="79">IF($G12="3411",$F12,0)</f>
        <v>0</v>
      </c>
      <c r="BU12" s="279">
        <f t="shared" ref="BU12:BU51" ca="1" si="80">IF($H12="3411",$F12,0)</f>
        <v>0</v>
      </c>
      <c r="BV12" s="279">
        <f t="shared" ref="BV12:BV38" ca="1" si="81">IF($G12="3412",$F12,0)</f>
        <v>0</v>
      </c>
      <c r="BW12" s="279">
        <f t="shared" ref="BW12:BW38" ca="1" si="82">IF($H12="3412",$F12,0)</f>
        <v>0</v>
      </c>
      <c r="BX12" s="279">
        <f t="shared" ca="1" si="45"/>
        <v>0</v>
      </c>
      <c r="BY12" s="279">
        <f t="shared" ca="1" si="46"/>
        <v>0</v>
      </c>
      <c r="BZ12" s="279">
        <f t="shared" ca="1" si="47"/>
        <v>0</v>
      </c>
      <c r="CA12" s="279">
        <f t="shared" ca="1" si="48"/>
        <v>0</v>
      </c>
      <c r="CB12" s="279">
        <f t="shared" ca="1" si="49"/>
        <v>0</v>
      </c>
      <c r="CC12" s="279">
        <f t="shared" ca="1" si="50"/>
        <v>0</v>
      </c>
      <c r="CD12" s="279">
        <f t="shared" ref="CD12:CD51" ca="1" si="83">IF($G12="5112N",$F12,0)</f>
        <v>0</v>
      </c>
      <c r="CE12" s="279">
        <f t="shared" ref="CE12:CE51" ca="1" si="84">IF($H12="5112N",$F12,0)</f>
        <v>0</v>
      </c>
      <c r="CF12" s="279">
        <f t="shared" ref="CF12:CF51" ca="1" si="85">IF($G12="5112X",$F12,0)</f>
        <v>0</v>
      </c>
      <c r="CG12" s="279">
        <f t="shared" ref="CG12:CG51" ca="1" si="86">IF($H12="5112X",$F12,0)</f>
        <v>0</v>
      </c>
      <c r="CH12" s="279">
        <f t="shared" ca="1" si="51"/>
        <v>0</v>
      </c>
      <c r="CI12" s="279">
        <f t="shared" ca="1" si="52"/>
        <v>0</v>
      </c>
      <c r="CJ12" s="279">
        <f t="shared" ref="CJ12:CJ51" ca="1" si="87">IF($G12="5213",$F12,0)</f>
        <v>0</v>
      </c>
      <c r="CK12" s="279">
        <f t="shared" ref="CK12:CK51" ca="1" si="88">IF($H12="5213",$F12,0)</f>
        <v>0</v>
      </c>
      <c r="CL12" s="279">
        <f t="shared" ca="1" si="53"/>
        <v>0</v>
      </c>
      <c r="CM12" s="279">
        <f t="shared" ca="1" si="54"/>
        <v>0</v>
      </c>
      <c r="CN12" s="279">
        <f t="shared" ca="1" si="55"/>
        <v>0</v>
      </c>
      <c r="CO12" s="279">
        <f t="shared" ca="1" si="56"/>
        <v>0</v>
      </c>
      <c r="CP12" s="279">
        <f t="shared" ref="CP12:CP51" ca="1" si="89">IF($G12="641",$F12,0)</f>
        <v>0</v>
      </c>
      <c r="CQ12" s="279">
        <f t="shared" ref="CQ12:CQ51" ca="1" si="90">IF($H12="641",$F12,0)</f>
        <v>0</v>
      </c>
      <c r="CR12" s="279">
        <f t="shared" ref="CR12:CR51" ca="1" si="91">IF($G12="642",$F12,0)</f>
        <v>0</v>
      </c>
      <c r="CS12" s="279">
        <f t="shared" ref="CS12:CS51" ca="1" si="92">IF($H12="642",$F12,0)</f>
        <v>0</v>
      </c>
      <c r="CT12" s="279">
        <f t="shared" ca="1" si="57"/>
        <v>0</v>
      </c>
      <c r="CU12" s="279">
        <f t="shared" ca="1" si="58"/>
        <v>0</v>
      </c>
      <c r="CV12" s="279">
        <f t="shared" ca="1" si="59"/>
        <v>0</v>
      </c>
      <c r="CW12" s="279">
        <f t="shared" ca="1" si="60"/>
        <v>0</v>
      </c>
      <c r="CX12" s="279">
        <f t="shared" ref="CX12:CX51" ca="1" si="93">IF($G12="821",$F12,0)</f>
        <v>0</v>
      </c>
      <c r="CY12" s="279">
        <f t="shared" ref="CY12:CY51" ca="1" si="94">IF($H12="821",$F12,0)</f>
        <v>0</v>
      </c>
      <c r="CZ12" s="279">
        <f t="shared" ref="CZ12:CZ51" ca="1" si="95">IF($G12="911",$F12,0)</f>
        <v>0</v>
      </c>
      <c r="DA12" s="279">
        <f t="shared" ref="DA12:DA51" ca="1" si="96">IF($H12="911",$F12,0)</f>
        <v>0</v>
      </c>
    </row>
    <row r="13" spans="1:105" s="276" customFormat="1" ht="15" customHeight="1">
      <c r="A13" s="63">
        <f t="array" aca="1" ref="A13" ca="1">IF(C13&lt;&gt;0,SUM(($C$11:C13&lt;&gt;0)*1),"")</f>
        <v>3</v>
      </c>
      <c r="B13" s="277" t="str">
        <f ca="1">IF(ROWS($1:3)&gt;COUNT(Dong6),"",OFFSET(TH!C$1,SMALL(Dong6,ROWS($1:3)),))</f>
        <v/>
      </c>
      <c r="C13" s="277" t="str">
        <f ca="1">IF(ROWS($1:3)&gt;COUNT(Dong6),"",OFFSET(TH!D$1,SMALL(Dong6,ROWS($1:3)),))</f>
        <v/>
      </c>
      <c r="D13" s="277" t="str">
        <f ca="1">IF(ROWS($1:3)&gt;COUNT(Dong6),"",OFFSET(TH!E$1,SMALL(Dong6,ROWS($1:3)),))</f>
        <v/>
      </c>
      <c r="E13" s="327" t="str">
        <f ca="1">IF(ROWS($1:3)&gt;COUNT(Dong6),"",OFFSET(TH!F$1,SMALL(Dong6,ROWS($1:3)),))</f>
        <v/>
      </c>
      <c r="F13" s="328" t="str">
        <f ca="1">IF(ROWS($1:3)&gt;COUNT(Dong6),"",OFFSET(TH!M$1,SMALL(Dong6,ROWS($1:3)),))</f>
        <v/>
      </c>
      <c r="G13" s="329" t="str">
        <f ca="1">IF(ROWS($1:3)&gt;COUNT(Dong6),"",OFFSET(TH!N$1,SMALL(Dong6,ROWS($1:3)),))</f>
        <v/>
      </c>
      <c r="H13" s="329" t="str">
        <f ca="1">IF(ROWS($1:3)&gt;COUNT(Dong6),"",OFFSET(TH!O$1,SMALL(Dong6,ROWS($1:3)),))</f>
        <v/>
      </c>
      <c r="I13" s="63">
        <f t="shared" ca="1" si="0"/>
        <v>3</v>
      </c>
      <c r="J13" s="279">
        <f t="shared" ca="1" si="61"/>
        <v>0</v>
      </c>
      <c r="K13" s="279">
        <f t="shared" ca="1" si="62"/>
        <v>0</v>
      </c>
      <c r="L13" s="279">
        <f t="shared" ca="1" si="1"/>
        <v>0</v>
      </c>
      <c r="M13" s="279">
        <f t="shared" ca="1" si="2"/>
        <v>0</v>
      </c>
      <c r="N13" s="279">
        <f t="shared" ca="1" si="3"/>
        <v>0</v>
      </c>
      <c r="O13" s="279">
        <f t="shared" ca="1" si="4"/>
        <v>0</v>
      </c>
      <c r="P13" s="279">
        <f t="shared" ca="1" si="5"/>
        <v>0</v>
      </c>
      <c r="Q13" s="279">
        <f t="shared" ca="1" si="6"/>
        <v>0</v>
      </c>
      <c r="R13" s="279">
        <f t="shared" ca="1" si="7"/>
        <v>0</v>
      </c>
      <c r="S13" s="279">
        <f t="shared" ca="1" si="8"/>
        <v>0</v>
      </c>
      <c r="T13" s="279">
        <f t="shared" ca="1" si="9"/>
        <v>0</v>
      </c>
      <c r="U13" s="279">
        <f t="shared" ca="1" si="10"/>
        <v>0</v>
      </c>
      <c r="V13" s="279">
        <f t="shared" ca="1" si="11"/>
        <v>0</v>
      </c>
      <c r="W13" s="279">
        <f t="shared" ca="1" si="12"/>
        <v>0</v>
      </c>
      <c r="X13" s="279">
        <f t="shared" ca="1" si="13"/>
        <v>0</v>
      </c>
      <c r="Y13" s="279">
        <f t="shared" ca="1" si="14"/>
        <v>0</v>
      </c>
      <c r="Z13" s="279">
        <f t="shared" ca="1" si="15"/>
        <v>0</v>
      </c>
      <c r="AA13" s="279">
        <f t="shared" ca="1" si="16"/>
        <v>0</v>
      </c>
      <c r="AB13" s="279">
        <f t="shared" ca="1" si="63"/>
        <v>0</v>
      </c>
      <c r="AC13" s="279">
        <f t="shared" ca="1" si="64"/>
        <v>0</v>
      </c>
      <c r="AD13" s="279">
        <f t="shared" ca="1" si="17"/>
        <v>0</v>
      </c>
      <c r="AE13" s="279">
        <f t="shared" ca="1" si="18"/>
        <v>0</v>
      </c>
      <c r="AF13" s="279">
        <f t="shared" ca="1" si="19"/>
        <v>0</v>
      </c>
      <c r="AG13" s="279">
        <f t="shared" ca="1" si="20"/>
        <v>0</v>
      </c>
      <c r="AH13" s="279">
        <f t="shared" ca="1" si="65"/>
        <v>0</v>
      </c>
      <c r="AI13" s="279">
        <f t="shared" ca="1" si="66"/>
        <v>0</v>
      </c>
      <c r="AJ13" s="279">
        <f t="shared" ca="1" si="67"/>
        <v>0</v>
      </c>
      <c r="AK13" s="279">
        <f t="shared" ca="1" si="68"/>
        <v>0</v>
      </c>
      <c r="AL13" s="279">
        <f t="shared" ca="1" si="69"/>
        <v>0</v>
      </c>
      <c r="AM13" s="279">
        <f t="shared" ca="1" si="70"/>
        <v>0</v>
      </c>
      <c r="AN13" s="279">
        <f t="shared" ca="1" si="71"/>
        <v>0</v>
      </c>
      <c r="AO13" s="279">
        <f t="shared" ca="1" si="72"/>
        <v>0</v>
      </c>
      <c r="AP13" s="279">
        <f t="shared" ca="1" si="21"/>
        <v>0</v>
      </c>
      <c r="AQ13" s="279">
        <f t="shared" ca="1" si="22"/>
        <v>0</v>
      </c>
      <c r="AR13" s="279">
        <f t="shared" ca="1" si="23"/>
        <v>0</v>
      </c>
      <c r="AS13" s="279">
        <f t="shared" ca="1" si="24"/>
        <v>0</v>
      </c>
      <c r="AT13" s="279">
        <f t="shared" ca="1" si="73"/>
        <v>0</v>
      </c>
      <c r="AU13" s="279">
        <f t="shared" ca="1" si="74"/>
        <v>0</v>
      </c>
      <c r="AV13" s="279">
        <f t="shared" ca="1" si="25"/>
        <v>0</v>
      </c>
      <c r="AW13" s="279">
        <f t="shared" ca="1" si="26"/>
        <v>0</v>
      </c>
      <c r="AX13" s="279">
        <f t="shared" ca="1" si="27"/>
        <v>0</v>
      </c>
      <c r="AY13" s="279">
        <f t="shared" ca="1" si="28"/>
        <v>0</v>
      </c>
      <c r="AZ13" s="279">
        <f t="shared" ca="1" si="29"/>
        <v>0</v>
      </c>
      <c r="BA13" s="279">
        <f t="shared" ca="1" si="30"/>
        <v>0</v>
      </c>
      <c r="BB13" s="279">
        <f t="shared" ca="1" si="31"/>
        <v>0</v>
      </c>
      <c r="BC13" s="279">
        <f t="shared" ca="1" si="32"/>
        <v>0</v>
      </c>
      <c r="BD13" s="279">
        <f t="shared" ca="1" si="33"/>
        <v>0</v>
      </c>
      <c r="BE13" s="279">
        <f t="shared" ca="1" si="34"/>
        <v>0</v>
      </c>
      <c r="BF13" s="279">
        <f t="shared" ca="1" si="35"/>
        <v>0</v>
      </c>
      <c r="BG13" s="279">
        <f t="shared" ca="1" si="36"/>
        <v>0</v>
      </c>
      <c r="BH13" s="279">
        <f t="shared" ca="1" si="75"/>
        <v>0</v>
      </c>
      <c r="BI13" s="279">
        <f t="shared" ca="1" si="76"/>
        <v>0</v>
      </c>
      <c r="BJ13" s="279">
        <f t="shared" ca="1" si="37"/>
        <v>0</v>
      </c>
      <c r="BK13" s="279">
        <f t="shared" ca="1" si="38"/>
        <v>0</v>
      </c>
      <c r="BL13" s="279">
        <f t="shared" ca="1" si="39"/>
        <v>0</v>
      </c>
      <c r="BM13" s="279">
        <f t="shared" ca="1" si="40"/>
        <v>0</v>
      </c>
      <c r="BN13" s="279">
        <f t="shared" ca="1" si="41"/>
        <v>0</v>
      </c>
      <c r="BO13" s="279">
        <f t="shared" ca="1" si="42"/>
        <v>0</v>
      </c>
      <c r="BP13" s="279">
        <f t="shared" ca="1" si="77"/>
        <v>0</v>
      </c>
      <c r="BQ13" s="279">
        <f t="shared" ca="1" si="78"/>
        <v>0</v>
      </c>
      <c r="BR13" s="279">
        <f t="shared" ca="1" si="43"/>
        <v>0</v>
      </c>
      <c r="BS13" s="279">
        <f t="shared" ca="1" si="44"/>
        <v>0</v>
      </c>
      <c r="BT13" s="279">
        <f t="shared" ca="1" si="79"/>
        <v>0</v>
      </c>
      <c r="BU13" s="279">
        <f t="shared" ca="1" si="80"/>
        <v>0</v>
      </c>
      <c r="BV13" s="279">
        <f t="shared" ca="1" si="81"/>
        <v>0</v>
      </c>
      <c r="BW13" s="279">
        <f t="shared" ca="1" si="82"/>
        <v>0</v>
      </c>
      <c r="BX13" s="279">
        <f t="shared" ca="1" si="45"/>
        <v>0</v>
      </c>
      <c r="BY13" s="279">
        <f t="shared" ca="1" si="46"/>
        <v>0</v>
      </c>
      <c r="BZ13" s="279">
        <f t="shared" ca="1" si="47"/>
        <v>0</v>
      </c>
      <c r="CA13" s="279">
        <f t="shared" ca="1" si="48"/>
        <v>0</v>
      </c>
      <c r="CB13" s="279">
        <f t="shared" ca="1" si="49"/>
        <v>0</v>
      </c>
      <c r="CC13" s="279">
        <f t="shared" ca="1" si="50"/>
        <v>0</v>
      </c>
      <c r="CD13" s="279">
        <f t="shared" ca="1" si="83"/>
        <v>0</v>
      </c>
      <c r="CE13" s="279">
        <f t="shared" ca="1" si="84"/>
        <v>0</v>
      </c>
      <c r="CF13" s="279">
        <f t="shared" ca="1" si="85"/>
        <v>0</v>
      </c>
      <c r="CG13" s="279">
        <f t="shared" ca="1" si="86"/>
        <v>0</v>
      </c>
      <c r="CH13" s="279">
        <f t="shared" ca="1" si="51"/>
        <v>0</v>
      </c>
      <c r="CI13" s="279">
        <f t="shared" ca="1" si="52"/>
        <v>0</v>
      </c>
      <c r="CJ13" s="279">
        <f t="shared" ca="1" si="87"/>
        <v>0</v>
      </c>
      <c r="CK13" s="279">
        <f t="shared" ca="1" si="88"/>
        <v>0</v>
      </c>
      <c r="CL13" s="279">
        <f t="shared" ca="1" si="53"/>
        <v>0</v>
      </c>
      <c r="CM13" s="279">
        <f t="shared" ca="1" si="54"/>
        <v>0</v>
      </c>
      <c r="CN13" s="279">
        <f t="shared" ca="1" si="55"/>
        <v>0</v>
      </c>
      <c r="CO13" s="279">
        <f t="shared" ca="1" si="56"/>
        <v>0</v>
      </c>
      <c r="CP13" s="279">
        <f t="shared" ca="1" si="89"/>
        <v>0</v>
      </c>
      <c r="CQ13" s="279">
        <f t="shared" ca="1" si="90"/>
        <v>0</v>
      </c>
      <c r="CR13" s="279">
        <f t="shared" ca="1" si="91"/>
        <v>0</v>
      </c>
      <c r="CS13" s="279">
        <f t="shared" ca="1" si="92"/>
        <v>0</v>
      </c>
      <c r="CT13" s="279">
        <f t="shared" ca="1" si="57"/>
        <v>0</v>
      </c>
      <c r="CU13" s="279">
        <f t="shared" ca="1" si="58"/>
        <v>0</v>
      </c>
      <c r="CV13" s="279">
        <f t="shared" ca="1" si="59"/>
        <v>0</v>
      </c>
      <c r="CW13" s="279">
        <f t="shared" ca="1" si="60"/>
        <v>0</v>
      </c>
      <c r="CX13" s="279">
        <f t="shared" ca="1" si="93"/>
        <v>0</v>
      </c>
      <c r="CY13" s="279">
        <f t="shared" ca="1" si="94"/>
        <v>0</v>
      </c>
      <c r="CZ13" s="279">
        <f t="shared" ca="1" si="95"/>
        <v>0</v>
      </c>
      <c r="DA13" s="279">
        <f t="shared" ca="1" si="96"/>
        <v>0</v>
      </c>
    </row>
    <row r="14" spans="1:105" s="276" customFormat="1" ht="15" customHeight="1">
      <c r="A14" s="63">
        <f t="array" aca="1" ref="A14" ca="1">IF(C14&lt;&gt;0,SUM(($C$11:C14&lt;&gt;0)*1),"")</f>
        <v>4</v>
      </c>
      <c r="B14" s="277" t="str">
        <f ca="1">IF(ROWS($1:4)&gt;COUNT(Dong6),"",OFFSET(TH!C$1,SMALL(Dong6,ROWS($1:4)),))</f>
        <v/>
      </c>
      <c r="C14" s="277" t="str">
        <f ca="1">IF(ROWS($1:4)&gt;COUNT(Dong6),"",OFFSET(TH!D$1,SMALL(Dong6,ROWS($1:4)),))</f>
        <v/>
      </c>
      <c r="D14" s="277" t="str">
        <f ca="1">IF(ROWS($1:4)&gt;COUNT(Dong6),"",OFFSET(TH!E$1,SMALL(Dong6,ROWS($1:4)),))</f>
        <v/>
      </c>
      <c r="E14" s="327" t="str">
        <f ca="1">IF(ROWS($1:4)&gt;COUNT(Dong6),"",OFFSET(TH!F$1,SMALL(Dong6,ROWS($1:4)),))</f>
        <v/>
      </c>
      <c r="F14" s="328" t="str">
        <f ca="1">IF(ROWS($1:4)&gt;COUNT(Dong6),"",OFFSET(TH!M$1,SMALL(Dong6,ROWS($1:4)),))</f>
        <v/>
      </c>
      <c r="G14" s="329" t="str">
        <f ca="1">IF(ROWS($1:4)&gt;COUNT(Dong6),"",OFFSET(TH!N$1,SMALL(Dong6,ROWS($1:4)),))</f>
        <v/>
      </c>
      <c r="H14" s="329" t="str">
        <f ca="1">IF(ROWS($1:4)&gt;COUNT(Dong6),"",OFFSET(TH!O$1,SMALL(Dong6,ROWS($1:4)),))</f>
        <v/>
      </c>
      <c r="I14" s="63">
        <f t="shared" ca="1" si="0"/>
        <v>4</v>
      </c>
      <c r="J14" s="279">
        <f t="shared" ca="1" si="61"/>
        <v>0</v>
      </c>
      <c r="K14" s="279">
        <f t="shared" ca="1" si="62"/>
        <v>0</v>
      </c>
      <c r="L14" s="279">
        <f t="shared" ca="1" si="1"/>
        <v>0</v>
      </c>
      <c r="M14" s="279">
        <f t="shared" ca="1" si="2"/>
        <v>0</v>
      </c>
      <c r="N14" s="279">
        <f t="shared" ca="1" si="3"/>
        <v>0</v>
      </c>
      <c r="O14" s="279">
        <f t="shared" ca="1" si="4"/>
        <v>0</v>
      </c>
      <c r="P14" s="279">
        <f t="shared" ca="1" si="5"/>
        <v>0</v>
      </c>
      <c r="Q14" s="279">
        <f t="shared" ca="1" si="6"/>
        <v>0</v>
      </c>
      <c r="R14" s="279">
        <f t="shared" ca="1" si="7"/>
        <v>0</v>
      </c>
      <c r="S14" s="279">
        <f t="shared" ca="1" si="8"/>
        <v>0</v>
      </c>
      <c r="T14" s="279">
        <f t="shared" ca="1" si="9"/>
        <v>0</v>
      </c>
      <c r="U14" s="279">
        <f t="shared" ca="1" si="10"/>
        <v>0</v>
      </c>
      <c r="V14" s="279">
        <f t="shared" ca="1" si="11"/>
        <v>0</v>
      </c>
      <c r="W14" s="279">
        <f t="shared" ca="1" si="12"/>
        <v>0</v>
      </c>
      <c r="X14" s="279">
        <f t="shared" ca="1" si="13"/>
        <v>0</v>
      </c>
      <c r="Y14" s="279">
        <f t="shared" ca="1" si="14"/>
        <v>0</v>
      </c>
      <c r="Z14" s="279">
        <f t="shared" ca="1" si="15"/>
        <v>0</v>
      </c>
      <c r="AA14" s="279">
        <f t="shared" ca="1" si="16"/>
        <v>0</v>
      </c>
      <c r="AB14" s="279">
        <f t="shared" ca="1" si="63"/>
        <v>0</v>
      </c>
      <c r="AC14" s="279">
        <f t="shared" ca="1" si="64"/>
        <v>0</v>
      </c>
      <c r="AD14" s="279">
        <f t="shared" ca="1" si="17"/>
        <v>0</v>
      </c>
      <c r="AE14" s="279">
        <f t="shared" ca="1" si="18"/>
        <v>0</v>
      </c>
      <c r="AF14" s="279">
        <f t="shared" ca="1" si="19"/>
        <v>0</v>
      </c>
      <c r="AG14" s="279">
        <f t="shared" ca="1" si="20"/>
        <v>0</v>
      </c>
      <c r="AH14" s="279">
        <f t="shared" ca="1" si="65"/>
        <v>0</v>
      </c>
      <c r="AI14" s="279">
        <f t="shared" ca="1" si="66"/>
        <v>0</v>
      </c>
      <c r="AJ14" s="279">
        <f t="shared" ca="1" si="67"/>
        <v>0</v>
      </c>
      <c r="AK14" s="279">
        <f t="shared" ca="1" si="68"/>
        <v>0</v>
      </c>
      <c r="AL14" s="279">
        <f t="shared" ca="1" si="69"/>
        <v>0</v>
      </c>
      <c r="AM14" s="279">
        <f t="shared" ca="1" si="70"/>
        <v>0</v>
      </c>
      <c r="AN14" s="279">
        <f t="shared" ca="1" si="71"/>
        <v>0</v>
      </c>
      <c r="AO14" s="279">
        <f t="shared" ca="1" si="72"/>
        <v>0</v>
      </c>
      <c r="AP14" s="279">
        <f t="shared" ca="1" si="21"/>
        <v>0</v>
      </c>
      <c r="AQ14" s="279">
        <f t="shared" ca="1" si="22"/>
        <v>0</v>
      </c>
      <c r="AR14" s="279">
        <f t="shared" ca="1" si="23"/>
        <v>0</v>
      </c>
      <c r="AS14" s="279">
        <f t="shared" ca="1" si="24"/>
        <v>0</v>
      </c>
      <c r="AT14" s="279">
        <f t="shared" ca="1" si="73"/>
        <v>0</v>
      </c>
      <c r="AU14" s="279">
        <f t="shared" ca="1" si="74"/>
        <v>0</v>
      </c>
      <c r="AV14" s="279">
        <f t="shared" ca="1" si="25"/>
        <v>0</v>
      </c>
      <c r="AW14" s="279">
        <f t="shared" ca="1" si="26"/>
        <v>0</v>
      </c>
      <c r="AX14" s="279">
        <f t="shared" ca="1" si="27"/>
        <v>0</v>
      </c>
      <c r="AY14" s="279">
        <f t="shared" ca="1" si="28"/>
        <v>0</v>
      </c>
      <c r="AZ14" s="279">
        <f t="shared" ca="1" si="29"/>
        <v>0</v>
      </c>
      <c r="BA14" s="279">
        <f t="shared" ca="1" si="30"/>
        <v>0</v>
      </c>
      <c r="BB14" s="279">
        <f t="shared" ca="1" si="31"/>
        <v>0</v>
      </c>
      <c r="BC14" s="279">
        <f t="shared" ca="1" si="32"/>
        <v>0</v>
      </c>
      <c r="BD14" s="279">
        <f t="shared" ca="1" si="33"/>
        <v>0</v>
      </c>
      <c r="BE14" s="279">
        <f t="shared" ca="1" si="34"/>
        <v>0</v>
      </c>
      <c r="BF14" s="279">
        <f t="shared" ca="1" si="35"/>
        <v>0</v>
      </c>
      <c r="BG14" s="279">
        <f t="shared" ca="1" si="36"/>
        <v>0</v>
      </c>
      <c r="BH14" s="279">
        <f t="shared" ca="1" si="75"/>
        <v>0</v>
      </c>
      <c r="BI14" s="279">
        <f t="shared" ca="1" si="76"/>
        <v>0</v>
      </c>
      <c r="BJ14" s="279">
        <f t="shared" ca="1" si="37"/>
        <v>0</v>
      </c>
      <c r="BK14" s="279">
        <f t="shared" ca="1" si="38"/>
        <v>0</v>
      </c>
      <c r="BL14" s="279">
        <f t="shared" ca="1" si="39"/>
        <v>0</v>
      </c>
      <c r="BM14" s="279">
        <f t="shared" ca="1" si="40"/>
        <v>0</v>
      </c>
      <c r="BN14" s="279">
        <f t="shared" ca="1" si="41"/>
        <v>0</v>
      </c>
      <c r="BO14" s="279">
        <f t="shared" ca="1" si="42"/>
        <v>0</v>
      </c>
      <c r="BP14" s="279">
        <f t="shared" ca="1" si="77"/>
        <v>0</v>
      </c>
      <c r="BQ14" s="279">
        <f t="shared" ca="1" si="78"/>
        <v>0</v>
      </c>
      <c r="BR14" s="279">
        <f t="shared" ca="1" si="43"/>
        <v>0</v>
      </c>
      <c r="BS14" s="279">
        <f t="shared" ca="1" si="44"/>
        <v>0</v>
      </c>
      <c r="BT14" s="279">
        <f t="shared" ca="1" si="79"/>
        <v>0</v>
      </c>
      <c r="BU14" s="279">
        <f t="shared" ca="1" si="80"/>
        <v>0</v>
      </c>
      <c r="BV14" s="279">
        <f t="shared" ca="1" si="81"/>
        <v>0</v>
      </c>
      <c r="BW14" s="279">
        <f t="shared" ca="1" si="82"/>
        <v>0</v>
      </c>
      <c r="BX14" s="279">
        <f t="shared" ca="1" si="45"/>
        <v>0</v>
      </c>
      <c r="BY14" s="279">
        <f t="shared" ca="1" si="46"/>
        <v>0</v>
      </c>
      <c r="BZ14" s="279">
        <f t="shared" ca="1" si="47"/>
        <v>0</v>
      </c>
      <c r="CA14" s="279">
        <f t="shared" ca="1" si="48"/>
        <v>0</v>
      </c>
      <c r="CB14" s="279">
        <f t="shared" ca="1" si="49"/>
        <v>0</v>
      </c>
      <c r="CC14" s="279">
        <f t="shared" ca="1" si="50"/>
        <v>0</v>
      </c>
      <c r="CD14" s="279">
        <f t="shared" ca="1" si="83"/>
        <v>0</v>
      </c>
      <c r="CE14" s="279">
        <f t="shared" ca="1" si="84"/>
        <v>0</v>
      </c>
      <c r="CF14" s="279">
        <f t="shared" ca="1" si="85"/>
        <v>0</v>
      </c>
      <c r="CG14" s="279">
        <f t="shared" ca="1" si="86"/>
        <v>0</v>
      </c>
      <c r="CH14" s="279">
        <f t="shared" ca="1" si="51"/>
        <v>0</v>
      </c>
      <c r="CI14" s="279">
        <f t="shared" ca="1" si="52"/>
        <v>0</v>
      </c>
      <c r="CJ14" s="279">
        <f t="shared" ca="1" si="87"/>
        <v>0</v>
      </c>
      <c r="CK14" s="279">
        <f t="shared" ca="1" si="88"/>
        <v>0</v>
      </c>
      <c r="CL14" s="279">
        <f t="shared" ca="1" si="53"/>
        <v>0</v>
      </c>
      <c r="CM14" s="279">
        <f t="shared" ca="1" si="54"/>
        <v>0</v>
      </c>
      <c r="CN14" s="279">
        <f t="shared" ca="1" si="55"/>
        <v>0</v>
      </c>
      <c r="CO14" s="279">
        <f t="shared" ca="1" si="56"/>
        <v>0</v>
      </c>
      <c r="CP14" s="279">
        <f t="shared" ca="1" si="89"/>
        <v>0</v>
      </c>
      <c r="CQ14" s="279">
        <f t="shared" ca="1" si="90"/>
        <v>0</v>
      </c>
      <c r="CR14" s="279">
        <f t="shared" ca="1" si="91"/>
        <v>0</v>
      </c>
      <c r="CS14" s="279">
        <f t="shared" ca="1" si="92"/>
        <v>0</v>
      </c>
      <c r="CT14" s="279">
        <f t="shared" ca="1" si="57"/>
        <v>0</v>
      </c>
      <c r="CU14" s="279">
        <f t="shared" ca="1" si="58"/>
        <v>0</v>
      </c>
      <c r="CV14" s="279">
        <f t="shared" ca="1" si="59"/>
        <v>0</v>
      </c>
      <c r="CW14" s="279">
        <f t="shared" ca="1" si="60"/>
        <v>0</v>
      </c>
      <c r="CX14" s="279">
        <f t="shared" ca="1" si="93"/>
        <v>0</v>
      </c>
      <c r="CY14" s="279">
        <f t="shared" ca="1" si="94"/>
        <v>0</v>
      </c>
      <c r="CZ14" s="279">
        <f t="shared" ca="1" si="95"/>
        <v>0</v>
      </c>
      <c r="DA14" s="279">
        <f t="shared" ca="1" si="96"/>
        <v>0</v>
      </c>
    </row>
    <row r="15" spans="1:105" s="276" customFormat="1" ht="15" customHeight="1">
      <c r="A15" s="63">
        <f t="array" aca="1" ref="A15" ca="1">IF(C15&lt;&gt;0,SUM(($C$11:C15&lt;&gt;0)*1),"")</f>
        <v>5</v>
      </c>
      <c r="B15" s="277" t="str">
        <f ca="1">IF(ROWS($1:5)&gt;COUNT(Dong6),"",OFFSET(TH!C$1,SMALL(Dong6,ROWS($1:5)),))</f>
        <v/>
      </c>
      <c r="C15" s="277" t="str">
        <f ca="1">IF(ROWS($1:5)&gt;COUNT(Dong6),"",OFFSET(TH!D$1,SMALL(Dong6,ROWS($1:5)),))</f>
        <v/>
      </c>
      <c r="D15" s="277" t="str">
        <f ca="1">IF(ROWS($1:5)&gt;COUNT(Dong6),"",OFFSET(TH!E$1,SMALL(Dong6,ROWS($1:5)),))</f>
        <v/>
      </c>
      <c r="E15" s="327" t="str">
        <f ca="1">IF(ROWS($1:5)&gt;COUNT(Dong6),"",OFFSET(TH!F$1,SMALL(Dong6,ROWS($1:5)),))</f>
        <v/>
      </c>
      <c r="F15" s="328" t="str">
        <f ca="1">IF(ROWS($1:5)&gt;COUNT(Dong6),"",OFFSET(TH!M$1,SMALL(Dong6,ROWS($1:5)),))</f>
        <v/>
      </c>
      <c r="G15" s="329" t="str">
        <f ca="1">IF(ROWS($1:5)&gt;COUNT(Dong6),"",OFFSET(TH!N$1,SMALL(Dong6,ROWS($1:5)),))</f>
        <v/>
      </c>
      <c r="H15" s="329" t="str">
        <f ca="1">IF(ROWS($1:5)&gt;COUNT(Dong6),"",OFFSET(TH!O$1,SMALL(Dong6,ROWS($1:5)),))</f>
        <v/>
      </c>
      <c r="I15" s="63">
        <f t="shared" ca="1" si="0"/>
        <v>5</v>
      </c>
      <c r="J15" s="279">
        <f t="shared" ca="1" si="61"/>
        <v>0</v>
      </c>
      <c r="K15" s="279">
        <f t="shared" ca="1" si="62"/>
        <v>0</v>
      </c>
      <c r="L15" s="279">
        <f t="shared" ca="1" si="1"/>
        <v>0</v>
      </c>
      <c r="M15" s="279">
        <f t="shared" ca="1" si="2"/>
        <v>0</v>
      </c>
      <c r="N15" s="279">
        <f t="shared" ca="1" si="3"/>
        <v>0</v>
      </c>
      <c r="O15" s="279">
        <f t="shared" ca="1" si="4"/>
        <v>0</v>
      </c>
      <c r="P15" s="279">
        <f t="shared" ca="1" si="5"/>
        <v>0</v>
      </c>
      <c r="Q15" s="279">
        <f t="shared" ca="1" si="6"/>
        <v>0</v>
      </c>
      <c r="R15" s="279">
        <f t="shared" ca="1" si="7"/>
        <v>0</v>
      </c>
      <c r="S15" s="279">
        <f t="shared" ca="1" si="8"/>
        <v>0</v>
      </c>
      <c r="T15" s="279">
        <f t="shared" ca="1" si="9"/>
        <v>0</v>
      </c>
      <c r="U15" s="279">
        <f t="shared" ca="1" si="10"/>
        <v>0</v>
      </c>
      <c r="V15" s="279">
        <f t="shared" ca="1" si="11"/>
        <v>0</v>
      </c>
      <c r="W15" s="279">
        <f t="shared" ca="1" si="12"/>
        <v>0</v>
      </c>
      <c r="X15" s="279">
        <f t="shared" ca="1" si="13"/>
        <v>0</v>
      </c>
      <c r="Y15" s="279">
        <f t="shared" ca="1" si="14"/>
        <v>0</v>
      </c>
      <c r="Z15" s="279">
        <f t="shared" ca="1" si="15"/>
        <v>0</v>
      </c>
      <c r="AA15" s="279">
        <f t="shared" ca="1" si="16"/>
        <v>0</v>
      </c>
      <c r="AB15" s="279">
        <f t="shared" ca="1" si="63"/>
        <v>0</v>
      </c>
      <c r="AC15" s="279">
        <f t="shared" ca="1" si="64"/>
        <v>0</v>
      </c>
      <c r="AD15" s="279">
        <f t="shared" ca="1" si="17"/>
        <v>0</v>
      </c>
      <c r="AE15" s="279">
        <f t="shared" ca="1" si="18"/>
        <v>0</v>
      </c>
      <c r="AF15" s="279">
        <f t="shared" ca="1" si="19"/>
        <v>0</v>
      </c>
      <c r="AG15" s="279">
        <f t="shared" ca="1" si="20"/>
        <v>0</v>
      </c>
      <c r="AH15" s="279">
        <f t="shared" ca="1" si="65"/>
        <v>0</v>
      </c>
      <c r="AI15" s="279">
        <f t="shared" ca="1" si="66"/>
        <v>0</v>
      </c>
      <c r="AJ15" s="279">
        <f t="shared" ca="1" si="67"/>
        <v>0</v>
      </c>
      <c r="AK15" s="279">
        <f t="shared" ca="1" si="68"/>
        <v>0</v>
      </c>
      <c r="AL15" s="279">
        <f t="shared" ca="1" si="69"/>
        <v>0</v>
      </c>
      <c r="AM15" s="279">
        <f t="shared" ca="1" si="70"/>
        <v>0</v>
      </c>
      <c r="AN15" s="279">
        <f t="shared" ca="1" si="71"/>
        <v>0</v>
      </c>
      <c r="AO15" s="279">
        <f t="shared" ca="1" si="72"/>
        <v>0</v>
      </c>
      <c r="AP15" s="279">
        <f t="shared" ca="1" si="21"/>
        <v>0</v>
      </c>
      <c r="AQ15" s="279">
        <f t="shared" ca="1" si="22"/>
        <v>0</v>
      </c>
      <c r="AR15" s="279">
        <f t="shared" ca="1" si="23"/>
        <v>0</v>
      </c>
      <c r="AS15" s="279">
        <f t="shared" ca="1" si="24"/>
        <v>0</v>
      </c>
      <c r="AT15" s="279">
        <f t="shared" ca="1" si="73"/>
        <v>0</v>
      </c>
      <c r="AU15" s="279">
        <f t="shared" ca="1" si="74"/>
        <v>0</v>
      </c>
      <c r="AV15" s="279">
        <f t="shared" ca="1" si="25"/>
        <v>0</v>
      </c>
      <c r="AW15" s="279">
        <f t="shared" ca="1" si="26"/>
        <v>0</v>
      </c>
      <c r="AX15" s="279">
        <f t="shared" ca="1" si="27"/>
        <v>0</v>
      </c>
      <c r="AY15" s="279">
        <f t="shared" ca="1" si="28"/>
        <v>0</v>
      </c>
      <c r="AZ15" s="279">
        <f t="shared" ca="1" si="29"/>
        <v>0</v>
      </c>
      <c r="BA15" s="279">
        <f t="shared" ca="1" si="30"/>
        <v>0</v>
      </c>
      <c r="BB15" s="279">
        <f t="shared" ca="1" si="31"/>
        <v>0</v>
      </c>
      <c r="BC15" s="279">
        <f t="shared" ca="1" si="32"/>
        <v>0</v>
      </c>
      <c r="BD15" s="279">
        <f t="shared" ca="1" si="33"/>
        <v>0</v>
      </c>
      <c r="BE15" s="279">
        <f t="shared" ca="1" si="34"/>
        <v>0</v>
      </c>
      <c r="BF15" s="279">
        <f t="shared" ca="1" si="35"/>
        <v>0</v>
      </c>
      <c r="BG15" s="279">
        <f t="shared" ca="1" si="36"/>
        <v>0</v>
      </c>
      <c r="BH15" s="279">
        <f t="shared" ca="1" si="75"/>
        <v>0</v>
      </c>
      <c r="BI15" s="279">
        <f t="shared" ca="1" si="76"/>
        <v>0</v>
      </c>
      <c r="BJ15" s="279">
        <f t="shared" ca="1" si="37"/>
        <v>0</v>
      </c>
      <c r="BK15" s="279">
        <f t="shared" ca="1" si="38"/>
        <v>0</v>
      </c>
      <c r="BL15" s="279">
        <f t="shared" ca="1" si="39"/>
        <v>0</v>
      </c>
      <c r="BM15" s="279">
        <f t="shared" ca="1" si="40"/>
        <v>0</v>
      </c>
      <c r="BN15" s="279">
        <f t="shared" ca="1" si="41"/>
        <v>0</v>
      </c>
      <c r="BO15" s="279">
        <f t="shared" ca="1" si="42"/>
        <v>0</v>
      </c>
      <c r="BP15" s="279">
        <f t="shared" ca="1" si="77"/>
        <v>0</v>
      </c>
      <c r="BQ15" s="279">
        <f t="shared" ca="1" si="78"/>
        <v>0</v>
      </c>
      <c r="BR15" s="279">
        <f t="shared" ca="1" si="43"/>
        <v>0</v>
      </c>
      <c r="BS15" s="279">
        <f t="shared" ca="1" si="44"/>
        <v>0</v>
      </c>
      <c r="BT15" s="279">
        <f t="shared" ca="1" si="79"/>
        <v>0</v>
      </c>
      <c r="BU15" s="279">
        <f t="shared" ca="1" si="80"/>
        <v>0</v>
      </c>
      <c r="BV15" s="279">
        <f t="shared" ca="1" si="81"/>
        <v>0</v>
      </c>
      <c r="BW15" s="279">
        <f t="shared" ca="1" si="82"/>
        <v>0</v>
      </c>
      <c r="BX15" s="279">
        <f t="shared" ca="1" si="45"/>
        <v>0</v>
      </c>
      <c r="BY15" s="279">
        <f t="shared" ca="1" si="46"/>
        <v>0</v>
      </c>
      <c r="BZ15" s="279">
        <f t="shared" ca="1" si="47"/>
        <v>0</v>
      </c>
      <c r="CA15" s="279">
        <f t="shared" ca="1" si="48"/>
        <v>0</v>
      </c>
      <c r="CB15" s="279">
        <f t="shared" ca="1" si="49"/>
        <v>0</v>
      </c>
      <c r="CC15" s="279">
        <f t="shared" ca="1" si="50"/>
        <v>0</v>
      </c>
      <c r="CD15" s="279">
        <f t="shared" ca="1" si="83"/>
        <v>0</v>
      </c>
      <c r="CE15" s="279">
        <f t="shared" ca="1" si="84"/>
        <v>0</v>
      </c>
      <c r="CF15" s="279">
        <f t="shared" ca="1" si="85"/>
        <v>0</v>
      </c>
      <c r="CG15" s="279">
        <f t="shared" ca="1" si="86"/>
        <v>0</v>
      </c>
      <c r="CH15" s="279">
        <f t="shared" ca="1" si="51"/>
        <v>0</v>
      </c>
      <c r="CI15" s="279">
        <f t="shared" ca="1" si="52"/>
        <v>0</v>
      </c>
      <c r="CJ15" s="279">
        <f t="shared" ca="1" si="87"/>
        <v>0</v>
      </c>
      <c r="CK15" s="279">
        <f t="shared" ca="1" si="88"/>
        <v>0</v>
      </c>
      <c r="CL15" s="279">
        <f t="shared" ca="1" si="53"/>
        <v>0</v>
      </c>
      <c r="CM15" s="279">
        <f t="shared" ca="1" si="54"/>
        <v>0</v>
      </c>
      <c r="CN15" s="279">
        <f t="shared" ca="1" si="55"/>
        <v>0</v>
      </c>
      <c r="CO15" s="279">
        <f t="shared" ca="1" si="56"/>
        <v>0</v>
      </c>
      <c r="CP15" s="279">
        <f t="shared" ca="1" si="89"/>
        <v>0</v>
      </c>
      <c r="CQ15" s="279">
        <f t="shared" ca="1" si="90"/>
        <v>0</v>
      </c>
      <c r="CR15" s="279">
        <f t="shared" ca="1" si="91"/>
        <v>0</v>
      </c>
      <c r="CS15" s="279">
        <f t="shared" ca="1" si="92"/>
        <v>0</v>
      </c>
      <c r="CT15" s="279">
        <f t="shared" ca="1" si="57"/>
        <v>0</v>
      </c>
      <c r="CU15" s="279">
        <f t="shared" ca="1" si="58"/>
        <v>0</v>
      </c>
      <c r="CV15" s="279">
        <f t="shared" ca="1" si="59"/>
        <v>0</v>
      </c>
      <c r="CW15" s="279">
        <f t="shared" ca="1" si="60"/>
        <v>0</v>
      </c>
      <c r="CX15" s="279">
        <f t="shared" ca="1" si="93"/>
        <v>0</v>
      </c>
      <c r="CY15" s="279">
        <f t="shared" ca="1" si="94"/>
        <v>0</v>
      </c>
      <c r="CZ15" s="279">
        <f t="shared" ca="1" si="95"/>
        <v>0</v>
      </c>
      <c r="DA15" s="279">
        <f t="shared" ca="1" si="96"/>
        <v>0</v>
      </c>
    </row>
    <row r="16" spans="1:105" s="276" customFormat="1" ht="15" customHeight="1">
      <c r="A16" s="63">
        <f t="array" aca="1" ref="A16" ca="1">IF(C16&lt;&gt;0,SUM(($C$11:C16&lt;&gt;0)*1),"")</f>
        <v>6</v>
      </c>
      <c r="B16" s="277" t="str">
        <f ca="1">IF(ROWS($1:6)&gt;COUNT(Dong6),"",OFFSET(TH!C$1,SMALL(Dong6,ROWS($1:6)),))</f>
        <v/>
      </c>
      <c r="C16" s="277" t="str">
        <f ca="1">IF(ROWS($1:6)&gt;COUNT(Dong6),"",OFFSET(TH!D$1,SMALL(Dong6,ROWS($1:6)),))</f>
        <v/>
      </c>
      <c r="D16" s="277" t="str">
        <f ca="1">IF(ROWS($1:6)&gt;COUNT(Dong6),"",OFFSET(TH!E$1,SMALL(Dong6,ROWS($1:6)),))</f>
        <v/>
      </c>
      <c r="E16" s="327" t="str">
        <f ca="1">IF(ROWS($1:6)&gt;COUNT(Dong6),"",OFFSET(TH!F$1,SMALL(Dong6,ROWS($1:6)),))</f>
        <v/>
      </c>
      <c r="F16" s="328" t="str">
        <f ca="1">IF(ROWS($1:6)&gt;COUNT(Dong6),"",OFFSET(TH!M$1,SMALL(Dong6,ROWS($1:6)),))</f>
        <v/>
      </c>
      <c r="G16" s="329" t="str">
        <f ca="1">IF(ROWS($1:6)&gt;COUNT(Dong6),"",OFFSET(TH!N$1,SMALL(Dong6,ROWS($1:6)),))</f>
        <v/>
      </c>
      <c r="H16" s="329" t="str">
        <f ca="1">IF(ROWS($1:6)&gt;COUNT(Dong6),"",OFFSET(TH!O$1,SMALL(Dong6,ROWS($1:6)),))</f>
        <v/>
      </c>
      <c r="I16" s="63">
        <f t="shared" ca="1" si="0"/>
        <v>6</v>
      </c>
      <c r="J16" s="279">
        <f t="shared" ca="1" si="61"/>
        <v>0</v>
      </c>
      <c r="K16" s="279">
        <f t="shared" ca="1" si="62"/>
        <v>0</v>
      </c>
      <c r="L16" s="279">
        <f t="shared" ca="1" si="1"/>
        <v>0</v>
      </c>
      <c r="M16" s="279">
        <f t="shared" ca="1" si="2"/>
        <v>0</v>
      </c>
      <c r="N16" s="279">
        <f t="shared" ca="1" si="3"/>
        <v>0</v>
      </c>
      <c r="O16" s="279">
        <f t="shared" ca="1" si="4"/>
        <v>0</v>
      </c>
      <c r="P16" s="279">
        <f t="shared" ca="1" si="5"/>
        <v>0</v>
      </c>
      <c r="Q16" s="279">
        <f t="shared" ca="1" si="6"/>
        <v>0</v>
      </c>
      <c r="R16" s="279">
        <f t="shared" ca="1" si="7"/>
        <v>0</v>
      </c>
      <c r="S16" s="279">
        <f t="shared" ca="1" si="8"/>
        <v>0</v>
      </c>
      <c r="T16" s="279">
        <f t="shared" ca="1" si="9"/>
        <v>0</v>
      </c>
      <c r="U16" s="279">
        <f t="shared" ca="1" si="10"/>
        <v>0</v>
      </c>
      <c r="V16" s="279">
        <f t="shared" ca="1" si="11"/>
        <v>0</v>
      </c>
      <c r="W16" s="279">
        <f t="shared" ca="1" si="12"/>
        <v>0</v>
      </c>
      <c r="X16" s="279">
        <f t="shared" ca="1" si="13"/>
        <v>0</v>
      </c>
      <c r="Y16" s="279">
        <f t="shared" ca="1" si="14"/>
        <v>0</v>
      </c>
      <c r="Z16" s="279">
        <f t="shared" ca="1" si="15"/>
        <v>0</v>
      </c>
      <c r="AA16" s="279">
        <f t="shared" ca="1" si="16"/>
        <v>0</v>
      </c>
      <c r="AB16" s="279">
        <f t="shared" ca="1" si="63"/>
        <v>0</v>
      </c>
      <c r="AC16" s="279">
        <f t="shared" ca="1" si="64"/>
        <v>0</v>
      </c>
      <c r="AD16" s="279">
        <f t="shared" ca="1" si="17"/>
        <v>0</v>
      </c>
      <c r="AE16" s="279">
        <f t="shared" ca="1" si="18"/>
        <v>0</v>
      </c>
      <c r="AF16" s="279">
        <f t="shared" ca="1" si="19"/>
        <v>0</v>
      </c>
      <c r="AG16" s="279">
        <f t="shared" ca="1" si="20"/>
        <v>0</v>
      </c>
      <c r="AH16" s="279">
        <f t="shared" ca="1" si="65"/>
        <v>0</v>
      </c>
      <c r="AI16" s="279">
        <f t="shared" ca="1" si="66"/>
        <v>0</v>
      </c>
      <c r="AJ16" s="279">
        <f t="shared" ca="1" si="67"/>
        <v>0</v>
      </c>
      <c r="AK16" s="279">
        <f t="shared" ca="1" si="68"/>
        <v>0</v>
      </c>
      <c r="AL16" s="279">
        <f t="shared" ca="1" si="69"/>
        <v>0</v>
      </c>
      <c r="AM16" s="279">
        <f t="shared" ca="1" si="70"/>
        <v>0</v>
      </c>
      <c r="AN16" s="279">
        <f t="shared" ca="1" si="71"/>
        <v>0</v>
      </c>
      <c r="AO16" s="279">
        <f t="shared" ca="1" si="72"/>
        <v>0</v>
      </c>
      <c r="AP16" s="279">
        <f t="shared" ca="1" si="21"/>
        <v>0</v>
      </c>
      <c r="AQ16" s="279">
        <f t="shared" ca="1" si="22"/>
        <v>0</v>
      </c>
      <c r="AR16" s="279">
        <f t="shared" ca="1" si="23"/>
        <v>0</v>
      </c>
      <c r="AS16" s="279">
        <f t="shared" ca="1" si="24"/>
        <v>0</v>
      </c>
      <c r="AT16" s="279">
        <f t="shared" ca="1" si="73"/>
        <v>0</v>
      </c>
      <c r="AU16" s="279">
        <f t="shared" ca="1" si="74"/>
        <v>0</v>
      </c>
      <c r="AV16" s="279">
        <f t="shared" ca="1" si="25"/>
        <v>0</v>
      </c>
      <c r="AW16" s="279">
        <f t="shared" ca="1" si="26"/>
        <v>0</v>
      </c>
      <c r="AX16" s="279">
        <f t="shared" ca="1" si="27"/>
        <v>0</v>
      </c>
      <c r="AY16" s="279">
        <f t="shared" ca="1" si="28"/>
        <v>0</v>
      </c>
      <c r="AZ16" s="279">
        <f t="shared" ca="1" si="29"/>
        <v>0</v>
      </c>
      <c r="BA16" s="279">
        <f t="shared" ca="1" si="30"/>
        <v>0</v>
      </c>
      <c r="BB16" s="279">
        <f t="shared" ca="1" si="31"/>
        <v>0</v>
      </c>
      <c r="BC16" s="279">
        <f t="shared" ca="1" si="32"/>
        <v>0</v>
      </c>
      <c r="BD16" s="279">
        <f t="shared" ca="1" si="33"/>
        <v>0</v>
      </c>
      <c r="BE16" s="279">
        <f t="shared" ca="1" si="34"/>
        <v>0</v>
      </c>
      <c r="BF16" s="279">
        <f t="shared" ca="1" si="35"/>
        <v>0</v>
      </c>
      <c r="BG16" s="279">
        <f t="shared" ca="1" si="36"/>
        <v>0</v>
      </c>
      <c r="BH16" s="279">
        <f t="shared" ca="1" si="75"/>
        <v>0</v>
      </c>
      <c r="BI16" s="279">
        <f t="shared" ca="1" si="76"/>
        <v>0</v>
      </c>
      <c r="BJ16" s="279">
        <f t="shared" ca="1" si="37"/>
        <v>0</v>
      </c>
      <c r="BK16" s="279">
        <f t="shared" ca="1" si="38"/>
        <v>0</v>
      </c>
      <c r="BL16" s="279">
        <f t="shared" ca="1" si="39"/>
        <v>0</v>
      </c>
      <c r="BM16" s="279">
        <f t="shared" ca="1" si="40"/>
        <v>0</v>
      </c>
      <c r="BN16" s="279">
        <f t="shared" ca="1" si="41"/>
        <v>0</v>
      </c>
      <c r="BO16" s="279">
        <f t="shared" ca="1" si="42"/>
        <v>0</v>
      </c>
      <c r="BP16" s="279">
        <f t="shared" ca="1" si="77"/>
        <v>0</v>
      </c>
      <c r="BQ16" s="279">
        <f t="shared" ca="1" si="78"/>
        <v>0</v>
      </c>
      <c r="BR16" s="279">
        <f t="shared" ca="1" si="43"/>
        <v>0</v>
      </c>
      <c r="BS16" s="279">
        <f t="shared" ca="1" si="44"/>
        <v>0</v>
      </c>
      <c r="BT16" s="279">
        <f t="shared" ca="1" si="79"/>
        <v>0</v>
      </c>
      <c r="BU16" s="279">
        <f t="shared" ca="1" si="80"/>
        <v>0</v>
      </c>
      <c r="BV16" s="279">
        <f t="shared" ca="1" si="81"/>
        <v>0</v>
      </c>
      <c r="BW16" s="279">
        <f t="shared" ca="1" si="82"/>
        <v>0</v>
      </c>
      <c r="BX16" s="279">
        <f t="shared" ca="1" si="45"/>
        <v>0</v>
      </c>
      <c r="BY16" s="279">
        <f t="shared" ca="1" si="46"/>
        <v>0</v>
      </c>
      <c r="BZ16" s="279">
        <f t="shared" ca="1" si="47"/>
        <v>0</v>
      </c>
      <c r="CA16" s="279">
        <f t="shared" ca="1" si="48"/>
        <v>0</v>
      </c>
      <c r="CB16" s="279">
        <f t="shared" ca="1" si="49"/>
        <v>0</v>
      </c>
      <c r="CC16" s="279">
        <f t="shared" ca="1" si="50"/>
        <v>0</v>
      </c>
      <c r="CD16" s="279">
        <f t="shared" ca="1" si="83"/>
        <v>0</v>
      </c>
      <c r="CE16" s="279">
        <f t="shared" ca="1" si="84"/>
        <v>0</v>
      </c>
      <c r="CF16" s="279">
        <f t="shared" ca="1" si="85"/>
        <v>0</v>
      </c>
      <c r="CG16" s="279">
        <f t="shared" ca="1" si="86"/>
        <v>0</v>
      </c>
      <c r="CH16" s="279">
        <f t="shared" ca="1" si="51"/>
        <v>0</v>
      </c>
      <c r="CI16" s="279">
        <f t="shared" ca="1" si="52"/>
        <v>0</v>
      </c>
      <c r="CJ16" s="279">
        <f t="shared" ca="1" si="87"/>
        <v>0</v>
      </c>
      <c r="CK16" s="279">
        <f t="shared" ca="1" si="88"/>
        <v>0</v>
      </c>
      <c r="CL16" s="279">
        <f t="shared" ca="1" si="53"/>
        <v>0</v>
      </c>
      <c r="CM16" s="279">
        <f t="shared" ca="1" si="54"/>
        <v>0</v>
      </c>
      <c r="CN16" s="279">
        <f t="shared" ca="1" si="55"/>
        <v>0</v>
      </c>
      <c r="CO16" s="279">
        <f t="shared" ca="1" si="56"/>
        <v>0</v>
      </c>
      <c r="CP16" s="279">
        <f t="shared" ca="1" si="89"/>
        <v>0</v>
      </c>
      <c r="CQ16" s="279">
        <f t="shared" ca="1" si="90"/>
        <v>0</v>
      </c>
      <c r="CR16" s="279">
        <f t="shared" ca="1" si="91"/>
        <v>0</v>
      </c>
      <c r="CS16" s="279">
        <f t="shared" ca="1" si="92"/>
        <v>0</v>
      </c>
      <c r="CT16" s="279">
        <f t="shared" ca="1" si="57"/>
        <v>0</v>
      </c>
      <c r="CU16" s="279">
        <f t="shared" ca="1" si="58"/>
        <v>0</v>
      </c>
      <c r="CV16" s="279">
        <f t="shared" ca="1" si="59"/>
        <v>0</v>
      </c>
      <c r="CW16" s="279">
        <f t="shared" ca="1" si="60"/>
        <v>0</v>
      </c>
      <c r="CX16" s="279">
        <f t="shared" ca="1" si="93"/>
        <v>0</v>
      </c>
      <c r="CY16" s="279">
        <f t="shared" ca="1" si="94"/>
        <v>0</v>
      </c>
      <c r="CZ16" s="279">
        <f t="shared" ca="1" si="95"/>
        <v>0</v>
      </c>
      <c r="DA16" s="279">
        <f t="shared" ca="1" si="96"/>
        <v>0</v>
      </c>
    </row>
    <row r="17" spans="1:105" s="276" customFormat="1" ht="15" customHeight="1">
      <c r="A17" s="63">
        <f t="array" aca="1" ref="A17" ca="1">IF(C17&lt;&gt;0,SUM(($C$11:C17&lt;&gt;0)*1),"")</f>
        <v>7</v>
      </c>
      <c r="B17" s="277" t="str">
        <f ca="1">IF(ROWS($1:7)&gt;COUNT(Dong6),"",OFFSET(TH!C$1,SMALL(Dong6,ROWS($1:7)),))</f>
        <v/>
      </c>
      <c r="C17" s="277" t="str">
        <f ca="1">IF(ROWS($1:7)&gt;COUNT(Dong6),"",OFFSET(TH!D$1,SMALL(Dong6,ROWS($1:7)),))</f>
        <v/>
      </c>
      <c r="D17" s="277" t="str">
        <f ca="1">IF(ROWS($1:7)&gt;COUNT(Dong6),"",OFFSET(TH!E$1,SMALL(Dong6,ROWS($1:7)),))</f>
        <v/>
      </c>
      <c r="E17" s="327" t="str">
        <f ca="1">IF(ROWS($1:7)&gt;COUNT(Dong6),"",OFFSET(TH!F$1,SMALL(Dong6,ROWS($1:7)),))</f>
        <v/>
      </c>
      <c r="F17" s="328" t="str">
        <f ca="1">IF(ROWS($1:7)&gt;COUNT(Dong6),"",OFFSET(TH!M$1,SMALL(Dong6,ROWS($1:7)),))</f>
        <v/>
      </c>
      <c r="G17" s="329" t="str">
        <f ca="1">IF(ROWS($1:7)&gt;COUNT(Dong6),"",OFFSET(TH!N$1,SMALL(Dong6,ROWS($1:7)),))</f>
        <v/>
      </c>
      <c r="H17" s="329" t="str">
        <f ca="1">IF(ROWS($1:7)&gt;COUNT(Dong6),"",OFFSET(TH!O$1,SMALL(Dong6,ROWS($1:7)),))</f>
        <v/>
      </c>
      <c r="I17" s="63">
        <f t="shared" ca="1" si="0"/>
        <v>7</v>
      </c>
      <c r="J17" s="279">
        <f t="shared" ca="1" si="61"/>
        <v>0</v>
      </c>
      <c r="K17" s="279">
        <f t="shared" ca="1" si="62"/>
        <v>0</v>
      </c>
      <c r="L17" s="279">
        <f t="shared" ca="1" si="1"/>
        <v>0</v>
      </c>
      <c r="M17" s="279">
        <f t="shared" ca="1" si="2"/>
        <v>0</v>
      </c>
      <c r="N17" s="279">
        <f t="shared" ca="1" si="3"/>
        <v>0</v>
      </c>
      <c r="O17" s="279">
        <f t="shared" ca="1" si="4"/>
        <v>0</v>
      </c>
      <c r="P17" s="279">
        <f t="shared" ca="1" si="5"/>
        <v>0</v>
      </c>
      <c r="Q17" s="279">
        <f t="shared" ca="1" si="6"/>
        <v>0</v>
      </c>
      <c r="R17" s="279">
        <f t="shared" ca="1" si="7"/>
        <v>0</v>
      </c>
      <c r="S17" s="279">
        <f t="shared" ca="1" si="8"/>
        <v>0</v>
      </c>
      <c r="T17" s="279">
        <f t="shared" ca="1" si="9"/>
        <v>0</v>
      </c>
      <c r="U17" s="279">
        <f t="shared" ca="1" si="10"/>
        <v>0</v>
      </c>
      <c r="V17" s="279">
        <f t="shared" ca="1" si="11"/>
        <v>0</v>
      </c>
      <c r="W17" s="279">
        <f t="shared" ca="1" si="12"/>
        <v>0</v>
      </c>
      <c r="X17" s="279">
        <f t="shared" ca="1" si="13"/>
        <v>0</v>
      </c>
      <c r="Y17" s="279">
        <f t="shared" ca="1" si="14"/>
        <v>0</v>
      </c>
      <c r="Z17" s="279">
        <f t="shared" ca="1" si="15"/>
        <v>0</v>
      </c>
      <c r="AA17" s="279">
        <f t="shared" ca="1" si="16"/>
        <v>0</v>
      </c>
      <c r="AB17" s="279">
        <f t="shared" ca="1" si="63"/>
        <v>0</v>
      </c>
      <c r="AC17" s="279">
        <f t="shared" ca="1" si="64"/>
        <v>0</v>
      </c>
      <c r="AD17" s="279">
        <f t="shared" ca="1" si="17"/>
        <v>0</v>
      </c>
      <c r="AE17" s="279">
        <f t="shared" ca="1" si="18"/>
        <v>0</v>
      </c>
      <c r="AF17" s="279">
        <f t="shared" ca="1" si="19"/>
        <v>0</v>
      </c>
      <c r="AG17" s="279">
        <f t="shared" ca="1" si="20"/>
        <v>0</v>
      </c>
      <c r="AH17" s="279">
        <f t="shared" ca="1" si="65"/>
        <v>0</v>
      </c>
      <c r="AI17" s="279">
        <f t="shared" ca="1" si="66"/>
        <v>0</v>
      </c>
      <c r="AJ17" s="279">
        <f t="shared" ca="1" si="67"/>
        <v>0</v>
      </c>
      <c r="AK17" s="279">
        <f t="shared" ca="1" si="68"/>
        <v>0</v>
      </c>
      <c r="AL17" s="279">
        <f t="shared" ca="1" si="69"/>
        <v>0</v>
      </c>
      <c r="AM17" s="279">
        <f t="shared" ca="1" si="70"/>
        <v>0</v>
      </c>
      <c r="AN17" s="279">
        <f t="shared" ca="1" si="71"/>
        <v>0</v>
      </c>
      <c r="AO17" s="279">
        <f t="shared" ca="1" si="72"/>
        <v>0</v>
      </c>
      <c r="AP17" s="279">
        <f t="shared" ca="1" si="21"/>
        <v>0</v>
      </c>
      <c r="AQ17" s="279">
        <f t="shared" ca="1" si="22"/>
        <v>0</v>
      </c>
      <c r="AR17" s="279">
        <f t="shared" ca="1" si="23"/>
        <v>0</v>
      </c>
      <c r="AS17" s="279">
        <f t="shared" ca="1" si="24"/>
        <v>0</v>
      </c>
      <c r="AT17" s="279">
        <f t="shared" ca="1" si="73"/>
        <v>0</v>
      </c>
      <c r="AU17" s="279">
        <f t="shared" ca="1" si="74"/>
        <v>0</v>
      </c>
      <c r="AV17" s="279">
        <f t="shared" ca="1" si="25"/>
        <v>0</v>
      </c>
      <c r="AW17" s="279">
        <f t="shared" ca="1" si="26"/>
        <v>0</v>
      </c>
      <c r="AX17" s="279">
        <f t="shared" ca="1" si="27"/>
        <v>0</v>
      </c>
      <c r="AY17" s="279">
        <f t="shared" ca="1" si="28"/>
        <v>0</v>
      </c>
      <c r="AZ17" s="279">
        <f t="shared" ca="1" si="29"/>
        <v>0</v>
      </c>
      <c r="BA17" s="279">
        <f t="shared" ca="1" si="30"/>
        <v>0</v>
      </c>
      <c r="BB17" s="279">
        <f t="shared" ca="1" si="31"/>
        <v>0</v>
      </c>
      <c r="BC17" s="279">
        <f t="shared" ca="1" si="32"/>
        <v>0</v>
      </c>
      <c r="BD17" s="279">
        <f t="shared" ca="1" si="33"/>
        <v>0</v>
      </c>
      <c r="BE17" s="279">
        <f t="shared" ca="1" si="34"/>
        <v>0</v>
      </c>
      <c r="BF17" s="279">
        <f t="shared" ca="1" si="35"/>
        <v>0</v>
      </c>
      <c r="BG17" s="279">
        <f t="shared" ca="1" si="36"/>
        <v>0</v>
      </c>
      <c r="BH17" s="279">
        <f t="shared" ca="1" si="75"/>
        <v>0</v>
      </c>
      <c r="BI17" s="279">
        <f t="shared" ca="1" si="76"/>
        <v>0</v>
      </c>
      <c r="BJ17" s="279">
        <f t="shared" ca="1" si="37"/>
        <v>0</v>
      </c>
      <c r="BK17" s="279">
        <f t="shared" ca="1" si="38"/>
        <v>0</v>
      </c>
      <c r="BL17" s="279">
        <f t="shared" ca="1" si="39"/>
        <v>0</v>
      </c>
      <c r="BM17" s="279">
        <f t="shared" ca="1" si="40"/>
        <v>0</v>
      </c>
      <c r="BN17" s="279">
        <f t="shared" ca="1" si="41"/>
        <v>0</v>
      </c>
      <c r="BO17" s="279">
        <f t="shared" ca="1" si="42"/>
        <v>0</v>
      </c>
      <c r="BP17" s="279">
        <f t="shared" ca="1" si="77"/>
        <v>0</v>
      </c>
      <c r="BQ17" s="279">
        <f t="shared" ca="1" si="78"/>
        <v>0</v>
      </c>
      <c r="BR17" s="279">
        <f t="shared" ca="1" si="43"/>
        <v>0</v>
      </c>
      <c r="BS17" s="279">
        <f t="shared" ca="1" si="44"/>
        <v>0</v>
      </c>
      <c r="BT17" s="279">
        <f t="shared" ca="1" si="79"/>
        <v>0</v>
      </c>
      <c r="BU17" s="279">
        <f t="shared" ca="1" si="80"/>
        <v>0</v>
      </c>
      <c r="BV17" s="279">
        <f t="shared" ca="1" si="81"/>
        <v>0</v>
      </c>
      <c r="BW17" s="279">
        <f t="shared" ca="1" si="82"/>
        <v>0</v>
      </c>
      <c r="BX17" s="279">
        <f t="shared" ca="1" si="45"/>
        <v>0</v>
      </c>
      <c r="BY17" s="279">
        <f t="shared" ca="1" si="46"/>
        <v>0</v>
      </c>
      <c r="BZ17" s="279">
        <f t="shared" ca="1" si="47"/>
        <v>0</v>
      </c>
      <c r="CA17" s="279">
        <f t="shared" ca="1" si="48"/>
        <v>0</v>
      </c>
      <c r="CB17" s="279">
        <f t="shared" ca="1" si="49"/>
        <v>0</v>
      </c>
      <c r="CC17" s="279">
        <f t="shared" ca="1" si="50"/>
        <v>0</v>
      </c>
      <c r="CD17" s="279">
        <f t="shared" ca="1" si="83"/>
        <v>0</v>
      </c>
      <c r="CE17" s="279">
        <f t="shared" ca="1" si="84"/>
        <v>0</v>
      </c>
      <c r="CF17" s="279">
        <f t="shared" ca="1" si="85"/>
        <v>0</v>
      </c>
      <c r="CG17" s="279">
        <f t="shared" ca="1" si="86"/>
        <v>0</v>
      </c>
      <c r="CH17" s="279">
        <f t="shared" ca="1" si="51"/>
        <v>0</v>
      </c>
      <c r="CI17" s="279">
        <f t="shared" ca="1" si="52"/>
        <v>0</v>
      </c>
      <c r="CJ17" s="279">
        <f t="shared" ca="1" si="87"/>
        <v>0</v>
      </c>
      <c r="CK17" s="279">
        <f t="shared" ca="1" si="88"/>
        <v>0</v>
      </c>
      <c r="CL17" s="279">
        <f t="shared" ca="1" si="53"/>
        <v>0</v>
      </c>
      <c r="CM17" s="279">
        <f t="shared" ca="1" si="54"/>
        <v>0</v>
      </c>
      <c r="CN17" s="279">
        <f t="shared" ca="1" si="55"/>
        <v>0</v>
      </c>
      <c r="CO17" s="279">
        <f t="shared" ca="1" si="56"/>
        <v>0</v>
      </c>
      <c r="CP17" s="279">
        <f t="shared" ca="1" si="89"/>
        <v>0</v>
      </c>
      <c r="CQ17" s="279">
        <f t="shared" ca="1" si="90"/>
        <v>0</v>
      </c>
      <c r="CR17" s="279">
        <f t="shared" ca="1" si="91"/>
        <v>0</v>
      </c>
      <c r="CS17" s="279">
        <f t="shared" ca="1" si="92"/>
        <v>0</v>
      </c>
      <c r="CT17" s="279">
        <f t="shared" ca="1" si="57"/>
        <v>0</v>
      </c>
      <c r="CU17" s="279">
        <f t="shared" ca="1" si="58"/>
        <v>0</v>
      </c>
      <c r="CV17" s="279">
        <f t="shared" ca="1" si="59"/>
        <v>0</v>
      </c>
      <c r="CW17" s="279">
        <f t="shared" ca="1" si="60"/>
        <v>0</v>
      </c>
      <c r="CX17" s="279">
        <f t="shared" ca="1" si="93"/>
        <v>0</v>
      </c>
      <c r="CY17" s="279">
        <f t="shared" ca="1" si="94"/>
        <v>0</v>
      </c>
      <c r="CZ17" s="279">
        <f t="shared" ca="1" si="95"/>
        <v>0</v>
      </c>
      <c r="DA17" s="279">
        <f t="shared" ca="1" si="96"/>
        <v>0</v>
      </c>
    </row>
    <row r="18" spans="1:105" s="276" customFormat="1" ht="15" customHeight="1">
      <c r="A18" s="63">
        <f t="array" aca="1" ref="A18" ca="1">IF(C18&lt;&gt;0,SUM(($C$11:C18&lt;&gt;0)*1),"")</f>
        <v>8</v>
      </c>
      <c r="B18" s="277" t="str">
        <f ca="1">IF(ROWS($1:8)&gt;COUNT(Dong6),"",OFFSET(TH!C$1,SMALL(Dong6,ROWS($1:8)),))</f>
        <v/>
      </c>
      <c r="C18" s="277" t="str">
        <f ca="1">IF(ROWS($1:8)&gt;COUNT(Dong6),"",OFFSET(TH!D$1,SMALL(Dong6,ROWS($1:8)),))</f>
        <v/>
      </c>
      <c r="D18" s="277" t="str">
        <f ca="1">IF(ROWS($1:8)&gt;COUNT(Dong6),"",OFFSET(TH!E$1,SMALL(Dong6,ROWS($1:8)),))</f>
        <v/>
      </c>
      <c r="E18" s="327" t="str">
        <f ca="1">IF(ROWS($1:8)&gt;COUNT(Dong6),"",OFFSET(TH!F$1,SMALL(Dong6,ROWS($1:8)),))</f>
        <v/>
      </c>
      <c r="F18" s="328" t="str">
        <f ca="1">IF(ROWS($1:8)&gt;COUNT(Dong6),"",OFFSET(TH!M$1,SMALL(Dong6,ROWS($1:8)),))</f>
        <v/>
      </c>
      <c r="G18" s="329" t="str">
        <f ca="1">IF(ROWS($1:8)&gt;COUNT(Dong6),"",OFFSET(TH!N$1,SMALL(Dong6,ROWS($1:8)),))</f>
        <v/>
      </c>
      <c r="H18" s="329" t="str">
        <f ca="1">IF(ROWS($1:8)&gt;COUNT(Dong6),"",OFFSET(TH!O$1,SMALL(Dong6,ROWS($1:8)),))</f>
        <v/>
      </c>
      <c r="I18" s="63">
        <f t="shared" ca="1" si="0"/>
        <v>8</v>
      </c>
      <c r="J18" s="279">
        <f t="shared" ca="1" si="61"/>
        <v>0</v>
      </c>
      <c r="K18" s="279">
        <f t="shared" ca="1" si="62"/>
        <v>0</v>
      </c>
      <c r="L18" s="279">
        <f t="shared" ca="1" si="1"/>
        <v>0</v>
      </c>
      <c r="M18" s="279">
        <f t="shared" ca="1" si="2"/>
        <v>0</v>
      </c>
      <c r="N18" s="279">
        <f t="shared" ca="1" si="3"/>
        <v>0</v>
      </c>
      <c r="O18" s="279">
        <f t="shared" ca="1" si="4"/>
        <v>0</v>
      </c>
      <c r="P18" s="279">
        <f t="shared" ca="1" si="5"/>
        <v>0</v>
      </c>
      <c r="Q18" s="279">
        <f t="shared" ca="1" si="6"/>
        <v>0</v>
      </c>
      <c r="R18" s="279">
        <f t="shared" ca="1" si="7"/>
        <v>0</v>
      </c>
      <c r="S18" s="279">
        <f t="shared" ca="1" si="8"/>
        <v>0</v>
      </c>
      <c r="T18" s="279">
        <f t="shared" ca="1" si="9"/>
        <v>0</v>
      </c>
      <c r="U18" s="279">
        <f t="shared" ca="1" si="10"/>
        <v>0</v>
      </c>
      <c r="V18" s="279">
        <f t="shared" ca="1" si="11"/>
        <v>0</v>
      </c>
      <c r="W18" s="279">
        <f t="shared" ca="1" si="12"/>
        <v>0</v>
      </c>
      <c r="X18" s="279">
        <f t="shared" ca="1" si="13"/>
        <v>0</v>
      </c>
      <c r="Y18" s="279">
        <f t="shared" ca="1" si="14"/>
        <v>0</v>
      </c>
      <c r="Z18" s="279">
        <f t="shared" ca="1" si="15"/>
        <v>0</v>
      </c>
      <c r="AA18" s="279">
        <f t="shared" ca="1" si="16"/>
        <v>0</v>
      </c>
      <c r="AB18" s="279">
        <f t="shared" ca="1" si="63"/>
        <v>0</v>
      </c>
      <c r="AC18" s="279">
        <f t="shared" ca="1" si="64"/>
        <v>0</v>
      </c>
      <c r="AD18" s="279">
        <f t="shared" ca="1" si="17"/>
        <v>0</v>
      </c>
      <c r="AE18" s="279">
        <f t="shared" ca="1" si="18"/>
        <v>0</v>
      </c>
      <c r="AF18" s="279">
        <f t="shared" ca="1" si="19"/>
        <v>0</v>
      </c>
      <c r="AG18" s="279">
        <f t="shared" ca="1" si="20"/>
        <v>0</v>
      </c>
      <c r="AH18" s="279">
        <f t="shared" ca="1" si="65"/>
        <v>0</v>
      </c>
      <c r="AI18" s="279">
        <f t="shared" ca="1" si="66"/>
        <v>0</v>
      </c>
      <c r="AJ18" s="279">
        <f t="shared" ca="1" si="67"/>
        <v>0</v>
      </c>
      <c r="AK18" s="279">
        <f t="shared" ca="1" si="68"/>
        <v>0</v>
      </c>
      <c r="AL18" s="279">
        <f t="shared" ca="1" si="69"/>
        <v>0</v>
      </c>
      <c r="AM18" s="279">
        <f t="shared" ca="1" si="70"/>
        <v>0</v>
      </c>
      <c r="AN18" s="279">
        <f t="shared" ca="1" si="71"/>
        <v>0</v>
      </c>
      <c r="AO18" s="279">
        <f t="shared" ca="1" si="72"/>
        <v>0</v>
      </c>
      <c r="AP18" s="279">
        <f t="shared" ca="1" si="21"/>
        <v>0</v>
      </c>
      <c r="AQ18" s="279">
        <f t="shared" ca="1" si="22"/>
        <v>0</v>
      </c>
      <c r="AR18" s="279">
        <f t="shared" ca="1" si="23"/>
        <v>0</v>
      </c>
      <c r="AS18" s="279">
        <f t="shared" ca="1" si="24"/>
        <v>0</v>
      </c>
      <c r="AT18" s="279">
        <f t="shared" ca="1" si="73"/>
        <v>0</v>
      </c>
      <c r="AU18" s="279">
        <f t="shared" ca="1" si="74"/>
        <v>0</v>
      </c>
      <c r="AV18" s="279">
        <f t="shared" ca="1" si="25"/>
        <v>0</v>
      </c>
      <c r="AW18" s="279">
        <f t="shared" ca="1" si="26"/>
        <v>0</v>
      </c>
      <c r="AX18" s="279">
        <f t="shared" ca="1" si="27"/>
        <v>0</v>
      </c>
      <c r="AY18" s="279">
        <f t="shared" ca="1" si="28"/>
        <v>0</v>
      </c>
      <c r="AZ18" s="279">
        <f t="shared" ca="1" si="29"/>
        <v>0</v>
      </c>
      <c r="BA18" s="279">
        <f t="shared" ca="1" si="30"/>
        <v>0</v>
      </c>
      <c r="BB18" s="279">
        <f t="shared" ca="1" si="31"/>
        <v>0</v>
      </c>
      <c r="BC18" s="279">
        <f t="shared" ca="1" si="32"/>
        <v>0</v>
      </c>
      <c r="BD18" s="279">
        <f t="shared" ca="1" si="33"/>
        <v>0</v>
      </c>
      <c r="BE18" s="279">
        <f t="shared" ca="1" si="34"/>
        <v>0</v>
      </c>
      <c r="BF18" s="279">
        <f t="shared" ca="1" si="35"/>
        <v>0</v>
      </c>
      <c r="BG18" s="279">
        <f t="shared" ca="1" si="36"/>
        <v>0</v>
      </c>
      <c r="BH18" s="279">
        <f t="shared" ca="1" si="75"/>
        <v>0</v>
      </c>
      <c r="BI18" s="279">
        <f t="shared" ca="1" si="76"/>
        <v>0</v>
      </c>
      <c r="BJ18" s="279">
        <f t="shared" ca="1" si="37"/>
        <v>0</v>
      </c>
      <c r="BK18" s="279">
        <f t="shared" ca="1" si="38"/>
        <v>0</v>
      </c>
      <c r="BL18" s="279">
        <f t="shared" ca="1" si="39"/>
        <v>0</v>
      </c>
      <c r="BM18" s="279">
        <f t="shared" ca="1" si="40"/>
        <v>0</v>
      </c>
      <c r="BN18" s="279">
        <f t="shared" ca="1" si="41"/>
        <v>0</v>
      </c>
      <c r="BO18" s="279">
        <f t="shared" ca="1" si="42"/>
        <v>0</v>
      </c>
      <c r="BP18" s="279">
        <f t="shared" ca="1" si="77"/>
        <v>0</v>
      </c>
      <c r="BQ18" s="279">
        <f t="shared" ca="1" si="78"/>
        <v>0</v>
      </c>
      <c r="BR18" s="279">
        <f t="shared" ca="1" si="43"/>
        <v>0</v>
      </c>
      <c r="BS18" s="279">
        <f t="shared" ca="1" si="44"/>
        <v>0</v>
      </c>
      <c r="BT18" s="279">
        <f t="shared" ca="1" si="79"/>
        <v>0</v>
      </c>
      <c r="BU18" s="279">
        <f t="shared" ca="1" si="80"/>
        <v>0</v>
      </c>
      <c r="BV18" s="279">
        <f t="shared" ca="1" si="81"/>
        <v>0</v>
      </c>
      <c r="BW18" s="279">
        <f t="shared" ca="1" si="82"/>
        <v>0</v>
      </c>
      <c r="BX18" s="279">
        <f t="shared" ca="1" si="45"/>
        <v>0</v>
      </c>
      <c r="BY18" s="279">
        <f t="shared" ca="1" si="46"/>
        <v>0</v>
      </c>
      <c r="BZ18" s="279">
        <f t="shared" ca="1" si="47"/>
        <v>0</v>
      </c>
      <c r="CA18" s="279">
        <f t="shared" ca="1" si="48"/>
        <v>0</v>
      </c>
      <c r="CB18" s="279">
        <f t="shared" ca="1" si="49"/>
        <v>0</v>
      </c>
      <c r="CC18" s="279">
        <f t="shared" ca="1" si="50"/>
        <v>0</v>
      </c>
      <c r="CD18" s="279">
        <f t="shared" ca="1" si="83"/>
        <v>0</v>
      </c>
      <c r="CE18" s="279">
        <f t="shared" ca="1" si="84"/>
        <v>0</v>
      </c>
      <c r="CF18" s="279">
        <f t="shared" ca="1" si="85"/>
        <v>0</v>
      </c>
      <c r="CG18" s="279">
        <f t="shared" ca="1" si="86"/>
        <v>0</v>
      </c>
      <c r="CH18" s="279">
        <f t="shared" ca="1" si="51"/>
        <v>0</v>
      </c>
      <c r="CI18" s="279">
        <f t="shared" ca="1" si="52"/>
        <v>0</v>
      </c>
      <c r="CJ18" s="279">
        <f t="shared" ca="1" si="87"/>
        <v>0</v>
      </c>
      <c r="CK18" s="279">
        <f t="shared" ca="1" si="88"/>
        <v>0</v>
      </c>
      <c r="CL18" s="279">
        <f t="shared" ca="1" si="53"/>
        <v>0</v>
      </c>
      <c r="CM18" s="279">
        <f t="shared" ca="1" si="54"/>
        <v>0</v>
      </c>
      <c r="CN18" s="279">
        <f t="shared" ca="1" si="55"/>
        <v>0</v>
      </c>
      <c r="CO18" s="279">
        <f t="shared" ca="1" si="56"/>
        <v>0</v>
      </c>
      <c r="CP18" s="279">
        <f t="shared" ca="1" si="89"/>
        <v>0</v>
      </c>
      <c r="CQ18" s="279">
        <f t="shared" ca="1" si="90"/>
        <v>0</v>
      </c>
      <c r="CR18" s="279">
        <f t="shared" ca="1" si="91"/>
        <v>0</v>
      </c>
      <c r="CS18" s="279">
        <f t="shared" ca="1" si="92"/>
        <v>0</v>
      </c>
      <c r="CT18" s="279">
        <f t="shared" ca="1" si="57"/>
        <v>0</v>
      </c>
      <c r="CU18" s="279">
        <f t="shared" ca="1" si="58"/>
        <v>0</v>
      </c>
      <c r="CV18" s="279">
        <f t="shared" ca="1" si="59"/>
        <v>0</v>
      </c>
      <c r="CW18" s="279">
        <f t="shared" ca="1" si="60"/>
        <v>0</v>
      </c>
      <c r="CX18" s="279">
        <f t="shared" ca="1" si="93"/>
        <v>0</v>
      </c>
      <c r="CY18" s="279">
        <f t="shared" ca="1" si="94"/>
        <v>0</v>
      </c>
      <c r="CZ18" s="279">
        <f t="shared" ca="1" si="95"/>
        <v>0</v>
      </c>
      <c r="DA18" s="279">
        <f t="shared" ca="1" si="96"/>
        <v>0</v>
      </c>
    </row>
    <row r="19" spans="1:105" s="276" customFormat="1" ht="15" customHeight="1">
      <c r="A19" s="63">
        <f t="array" aca="1" ref="A19" ca="1">IF(C19&lt;&gt;0,SUM(($C$11:C19&lt;&gt;0)*1),"")</f>
        <v>9</v>
      </c>
      <c r="B19" s="277" t="str">
        <f ca="1">IF(ROWS($1:9)&gt;COUNT(Dong6),"",OFFSET(TH!C$1,SMALL(Dong6,ROWS($1:9)),))</f>
        <v/>
      </c>
      <c r="C19" s="277" t="str">
        <f ca="1">IF(ROWS($1:9)&gt;COUNT(Dong6),"",OFFSET(TH!D$1,SMALL(Dong6,ROWS($1:9)),))</f>
        <v/>
      </c>
      <c r="D19" s="277" t="str">
        <f ca="1">IF(ROWS($1:9)&gt;COUNT(Dong6),"",OFFSET(TH!E$1,SMALL(Dong6,ROWS($1:9)),))</f>
        <v/>
      </c>
      <c r="E19" s="327" t="str">
        <f ca="1">IF(ROWS($1:9)&gt;COUNT(Dong6),"",OFFSET(TH!F$1,SMALL(Dong6,ROWS($1:9)),))</f>
        <v/>
      </c>
      <c r="F19" s="328" t="str">
        <f ca="1">IF(ROWS($1:9)&gt;COUNT(Dong6),"",OFFSET(TH!M$1,SMALL(Dong6,ROWS($1:9)),))</f>
        <v/>
      </c>
      <c r="G19" s="329" t="str">
        <f ca="1">IF(ROWS($1:9)&gt;COUNT(Dong6),"",OFFSET(TH!N$1,SMALL(Dong6,ROWS($1:9)),))</f>
        <v/>
      </c>
      <c r="H19" s="329" t="str">
        <f ca="1">IF(ROWS($1:9)&gt;COUNT(Dong6),"",OFFSET(TH!O$1,SMALL(Dong6,ROWS($1:9)),))</f>
        <v/>
      </c>
      <c r="I19" s="63">
        <f t="shared" ca="1" si="0"/>
        <v>9</v>
      </c>
      <c r="J19" s="279">
        <f t="shared" ca="1" si="61"/>
        <v>0</v>
      </c>
      <c r="K19" s="279">
        <f t="shared" ca="1" si="62"/>
        <v>0</v>
      </c>
      <c r="L19" s="279">
        <f t="shared" ca="1" si="1"/>
        <v>0</v>
      </c>
      <c r="M19" s="279">
        <f t="shared" ca="1" si="2"/>
        <v>0</v>
      </c>
      <c r="N19" s="279">
        <f t="shared" ca="1" si="3"/>
        <v>0</v>
      </c>
      <c r="O19" s="279">
        <f t="shared" ca="1" si="4"/>
        <v>0</v>
      </c>
      <c r="P19" s="279">
        <f t="shared" ca="1" si="5"/>
        <v>0</v>
      </c>
      <c r="Q19" s="279">
        <f t="shared" ca="1" si="6"/>
        <v>0</v>
      </c>
      <c r="R19" s="279">
        <f t="shared" ca="1" si="7"/>
        <v>0</v>
      </c>
      <c r="S19" s="279">
        <f t="shared" ca="1" si="8"/>
        <v>0</v>
      </c>
      <c r="T19" s="279">
        <f t="shared" ca="1" si="9"/>
        <v>0</v>
      </c>
      <c r="U19" s="279">
        <f t="shared" ca="1" si="10"/>
        <v>0</v>
      </c>
      <c r="V19" s="279">
        <f t="shared" ca="1" si="11"/>
        <v>0</v>
      </c>
      <c r="W19" s="279">
        <f t="shared" ca="1" si="12"/>
        <v>0</v>
      </c>
      <c r="X19" s="279">
        <f t="shared" ca="1" si="13"/>
        <v>0</v>
      </c>
      <c r="Y19" s="279">
        <f t="shared" ca="1" si="14"/>
        <v>0</v>
      </c>
      <c r="Z19" s="279">
        <f t="shared" ca="1" si="15"/>
        <v>0</v>
      </c>
      <c r="AA19" s="279">
        <f t="shared" ca="1" si="16"/>
        <v>0</v>
      </c>
      <c r="AB19" s="279">
        <f t="shared" ca="1" si="63"/>
        <v>0</v>
      </c>
      <c r="AC19" s="279">
        <f t="shared" ca="1" si="64"/>
        <v>0</v>
      </c>
      <c r="AD19" s="279">
        <f t="shared" ca="1" si="17"/>
        <v>0</v>
      </c>
      <c r="AE19" s="279">
        <f t="shared" ca="1" si="18"/>
        <v>0</v>
      </c>
      <c r="AF19" s="279">
        <f t="shared" ca="1" si="19"/>
        <v>0</v>
      </c>
      <c r="AG19" s="279">
        <f t="shared" ca="1" si="20"/>
        <v>0</v>
      </c>
      <c r="AH19" s="279">
        <f t="shared" ca="1" si="65"/>
        <v>0</v>
      </c>
      <c r="AI19" s="279">
        <f t="shared" ca="1" si="66"/>
        <v>0</v>
      </c>
      <c r="AJ19" s="279">
        <f t="shared" ca="1" si="67"/>
        <v>0</v>
      </c>
      <c r="AK19" s="279">
        <f t="shared" ca="1" si="68"/>
        <v>0</v>
      </c>
      <c r="AL19" s="279">
        <f t="shared" ca="1" si="69"/>
        <v>0</v>
      </c>
      <c r="AM19" s="279">
        <f t="shared" ca="1" si="70"/>
        <v>0</v>
      </c>
      <c r="AN19" s="279">
        <f t="shared" ca="1" si="71"/>
        <v>0</v>
      </c>
      <c r="AO19" s="279">
        <f t="shared" ca="1" si="72"/>
        <v>0</v>
      </c>
      <c r="AP19" s="279">
        <f t="shared" ca="1" si="21"/>
        <v>0</v>
      </c>
      <c r="AQ19" s="279">
        <f t="shared" ca="1" si="22"/>
        <v>0</v>
      </c>
      <c r="AR19" s="279">
        <f t="shared" ca="1" si="23"/>
        <v>0</v>
      </c>
      <c r="AS19" s="279">
        <f t="shared" ca="1" si="24"/>
        <v>0</v>
      </c>
      <c r="AT19" s="279">
        <f t="shared" ca="1" si="73"/>
        <v>0</v>
      </c>
      <c r="AU19" s="279">
        <f t="shared" ca="1" si="74"/>
        <v>0</v>
      </c>
      <c r="AV19" s="279">
        <f t="shared" ca="1" si="25"/>
        <v>0</v>
      </c>
      <c r="AW19" s="279">
        <f t="shared" ca="1" si="26"/>
        <v>0</v>
      </c>
      <c r="AX19" s="279">
        <f t="shared" ca="1" si="27"/>
        <v>0</v>
      </c>
      <c r="AY19" s="279">
        <f t="shared" ca="1" si="28"/>
        <v>0</v>
      </c>
      <c r="AZ19" s="279">
        <f t="shared" ca="1" si="29"/>
        <v>0</v>
      </c>
      <c r="BA19" s="279">
        <f t="shared" ca="1" si="30"/>
        <v>0</v>
      </c>
      <c r="BB19" s="279">
        <f t="shared" ca="1" si="31"/>
        <v>0</v>
      </c>
      <c r="BC19" s="279">
        <f t="shared" ca="1" si="32"/>
        <v>0</v>
      </c>
      <c r="BD19" s="279">
        <f t="shared" ca="1" si="33"/>
        <v>0</v>
      </c>
      <c r="BE19" s="279">
        <f t="shared" ca="1" si="34"/>
        <v>0</v>
      </c>
      <c r="BF19" s="279">
        <f t="shared" ca="1" si="35"/>
        <v>0</v>
      </c>
      <c r="BG19" s="279">
        <f t="shared" ca="1" si="36"/>
        <v>0</v>
      </c>
      <c r="BH19" s="279">
        <f t="shared" ca="1" si="75"/>
        <v>0</v>
      </c>
      <c r="BI19" s="279">
        <f t="shared" ca="1" si="76"/>
        <v>0</v>
      </c>
      <c r="BJ19" s="279">
        <f t="shared" ca="1" si="37"/>
        <v>0</v>
      </c>
      <c r="BK19" s="279">
        <f t="shared" ca="1" si="38"/>
        <v>0</v>
      </c>
      <c r="BL19" s="279">
        <f t="shared" ca="1" si="39"/>
        <v>0</v>
      </c>
      <c r="BM19" s="279">
        <f t="shared" ca="1" si="40"/>
        <v>0</v>
      </c>
      <c r="BN19" s="279">
        <f t="shared" ca="1" si="41"/>
        <v>0</v>
      </c>
      <c r="BO19" s="279">
        <f t="shared" ca="1" si="42"/>
        <v>0</v>
      </c>
      <c r="BP19" s="279">
        <f t="shared" ca="1" si="77"/>
        <v>0</v>
      </c>
      <c r="BQ19" s="279">
        <f t="shared" ca="1" si="78"/>
        <v>0</v>
      </c>
      <c r="BR19" s="279">
        <f t="shared" ca="1" si="43"/>
        <v>0</v>
      </c>
      <c r="BS19" s="279">
        <f t="shared" ca="1" si="44"/>
        <v>0</v>
      </c>
      <c r="BT19" s="279">
        <f t="shared" ca="1" si="79"/>
        <v>0</v>
      </c>
      <c r="BU19" s="279">
        <f t="shared" ca="1" si="80"/>
        <v>0</v>
      </c>
      <c r="BV19" s="279">
        <f t="shared" ca="1" si="81"/>
        <v>0</v>
      </c>
      <c r="BW19" s="279">
        <f t="shared" ca="1" si="82"/>
        <v>0</v>
      </c>
      <c r="BX19" s="279">
        <f t="shared" ca="1" si="45"/>
        <v>0</v>
      </c>
      <c r="BY19" s="279">
        <f t="shared" ca="1" si="46"/>
        <v>0</v>
      </c>
      <c r="BZ19" s="279">
        <f t="shared" ca="1" si="47"/>
        <v>0</v>
      </c>
      <c r="CA19" s="279">
        <f t="shared" ca="1" si="48"/>
        <v>0</v>
      </c>
      <c r="CB19" s="279">
        <f t="shared" ca="1" si="49"/>
        <v>0</v>
      </c>
      <c r="CC19" s="279">
        <f t="shared" ca="1" si="50"/>
        <v>0</v>
      </c>
      <c r="CD19" s="279">
        <f t="shared" ca="1" si="83"/>
        <v>0</v>
      </c>
      <c r="CE19" s="279">
        <f t="shared" ca="1" si="84"/>
        <v>0</v>
      </c>
      <c r="CF19" s="279">
        <f t="shared" ca="1" si="85"/>
        <v>0</v>
      </c>
      <c r="CG19" s="279">
        <f t="shared" ca="1" si="86"/>
        <v>0</v>
      </c>
      <c r="CH19" s="279">
        <f t="shared" ca="1" si="51"/>
        <v>0</v>
      </c>
      <c r="CI19" s="279">
        <f t="shared" ca="1" si="52"/>
        <v>0</v>
      </c>
      <c r="CJ19" s="279">
        <f t="shared" ca="1" si="87"/>
        <v>0</v>
      </c>
      <c r="CK19" s="279">
        <f t="shared" ca="1" si="88"/>
        <v>0</v>
      </c>
      <c r="CL19" s="279">
        <f t="shared" ca="1" si="53"/>
        <v>0</v>
      </c>
      <c r="CM19" s="279">
        <f t="shared" ca="1" si="54"/>
        <v>0</v>
      </c>
      <c r="CN19" s="279">
        <f t="shared" ca="1" si="55"/>
        <v>0</v>
      </c>
      <c r="CO19" s="279">
        <f t="shared" ca="1" si="56"/>
        <v>0</v>
      </c>
      <c r="CP19" s="279">
        <f t="shared" ca="1" si="89"/>
        <v>0</v>
      </c>
      <c r="CQ19" s="279">
        <f t="shared" ca="1" si="90"/>
        <v>0</v>
      </c>
      <c r="CR19" s="279">
        <f t="shared" ca="1" si="91"/>
        <v>0</v>
      </c>
      <c r="CS19" s="279">
        <f t="shared" ca="1" si="92"/>
        <v>0</v>
      </c>
      <c r="CT19" s="279">
        <f t="shared" ca="1" si="57"/>
        <v>0</v>
      </c>
      <c r="CU19" s="279">
        <f t="shared" ca="1" si="58"/>
        <v>0</v>
      </c>
      <c r="CV19" s="279">
        <f t="shared" ca="1" si="59"/>
        <v>0</v>
      </c>
      <c r="CW19" s="279">
        <f t="shared" ca="1" si="60"/>
        <v>0</v>
      </c>
      <c r="CX19" s="279">
        <f t="shared" ca="1" si="93"/>
        <v>0</v>
      </c>
      <c r="CY19" s="279">
        <f t="shared" ca="1" si="94"/>
        <v>0</v>
      </c>
      <c r="CZ19" s="279">
        <f t="shared" ca="1" si="95"/>
        <v>0</v>
      </c>
      <c r="DA19" s="279">
        <f t="shared" ca="1" si="96"/>
        <v>0</v>
      </c>
    </row>
    <row r="20" spans="1:105" s="276" customFormat="1" ht="15" customHeight="1">
      <c r="A20" s="63">
        <f t="array" aca="1" ref="A20" ca="1">IF(C20&lt;&gt;0,SUM(($C$11:C20&lt;&gt;0)*1),"")</f>
        <v>10</v>
      </c>
      <c r="B20" s="277" t="str">
        <f ca="1">IF(ROWS($1:10)&gt;COUNT(Dong6),"",OFFSET(TH!C$1,SMALL(Dong6,ROWS($1:10)),))</f>
        <v/>
      </c>
      <c r="C20" s="277" t="str">
        <f ca="1">IF(ROWS($1:10)&gt;COUNT(Dong6),"",OFFSET(TH!D$1,SMALL(Dong6,ROWS($1:10)),))</f>
        <v/>
      </c>
      <c r="D20" s="277" t="str">
        <f ca="1">IF(ROWS($1:10)&gt;COUNT(Dong6),"",OFFSET(TH!E$1,SMALL(Dong6,ROWS($1:10)),))</f>
        <v/>
      </c>
      <c r="E20" s="327" t="str">
        <f ca="1">IF(ROWS($1:10)&gt;COUNT(Dong6),"",OFFSET(TH!F$1,SMALL(Dong6,ROWS($1:10)),))</f>
        <v/>
      </c>
      <c r="F20" s="328" t="str">
        <f ca="1">IF(ROWS($1:10)&gt;COUNT(Dong6),"",OFFSET(TH!M$1,SMALL(Dong6,ROWS($1:10)),))</f>
        <v/>
      </c>
      <c r="G20" s="329" t="str">
        <f ca="1">IF(ROWS($1:10)&gt;COUNT(Dong6),"",OFFSET(TH!N$1,SMALL(Dong6,ROWS($1:10)),))</f>
        <v/>
      </c>
      <c r="H20" s="329" t="str">
        <f ca="1">IF(ROWS($1:10)&gt;COUNT(Dong6),"",OFFSET(TH!O$1,SMALL(Dong6,ROWS($1:10)),))</f>
        <v/>
      </c>
      <c r="I20" s="63">
        <f t="shared" ca="1" si="0"/>
        <v>10</v>
      </c>
      <c r="J20" s="279">
        <f t="shared" ca="1" si="61"/>
        <v>0</v>
      </c>
      <c r="K20" s="279">
        <f t="shared" ca="1" si="62"/>
        <v>0</v>
      </c>
      <c r="L20" s="279">
        <f t="shared" ca="1" si="1"/>
        <v>0</v>
      </c>
      <c r="M20" s="279">
        <f t="shared" ca="1" si="2"/>
        <v>0</v>
      </c>
      <c r="N20" s="279">
        <f t="shared" ca="1" si="3"/>
        <v>0</v>
      </c>
      <c r="O20" s="279">
        <f t="shared" ca="1" si="4"/>
        <v>0</v>
      </c>
      <c r="P20" s="279">
        <f t="shared" ca="1" si="5"/>
        <v>0</v>
      </c>
      <c r="Q20" s="279">
        <f t="shared" ca="1" si="6"/>
        <v>0</v>
      </c>
      <c r="R20" s="279">
        <f t="shared" ca="1" si="7"/>
        <v>0</v>
      </c>
      <c r="S20" s="279">
        <f t="shared" ca="1" si="8"/>
        <v>0</v>
      </c>
      <c r="T20" s="279">
        <f t="shared" ca="1" si="9"/>
        <v>0</v>
      </c>
      <c r="U20" s="279">
        <f t="shared" ca="1" si="10"/>
        <v>0</v>
      </c>
      <c r="V20" s="279">
        <f t="shared" ca="1" si="11"/>
        <v>0</v>
      </c>
      <c r="W20" s="279">
        <f t="shared" ca="1" si="12"/>
        <v>0</v>
      </c>
      <c r="X20" s="279">
        <f t="shared" ca="1" si="13"/>
        <v>0</v>
      </c>
      <c r="Y20" s="279">
        <f t="shared" ca="1" si="14"/>
        <v>0</v>
      </c>
      <c r="Z20" s="279">
        <f t="shared" ca="1" si="15"/>
        <v>0</v>
      </c>
      <c r="AA20" s="279">
        <f t="shared" ca="1" si="16"/>
        <v>0</v>
      </c>
      <c r="AB20" s="279">
        <f t="shared" ca="1" si="63"/>
        <v>0</v>
      </c>
      <c r="AC20" s="279">
        <f t="shared" ca="1" si="64"/>
        <v>0</v>
      </c>
      <c r="AD20" s="279">
        <f t="shared" ca="1" si="17"/>
        <v>0</v>
      </c>
      <c r="AE20" s="279">
        <f t="shared" ca="1" si="18"/>
        <v>0</v>
      </c>
      <c r="AF20" s="279">
        <f t="shared" ca="1" si="19"/>
        <v>0</v>
      </c>
      <c r="AG20" s="279">
        <f t="shared" ca="1" si="20"/>
        <v>0</v>
      </c>
      <c r="AH20" s="279">
        <f t="shared" ca="1" si="65"/>
        <v>0</v>
      </c>
      <c r="AI20" s="279">
        <f t="shared" ca="1" si="66"/>
        <v>0</v>
      </c>
      <c r="AJ20" s="279">
        <f t="shared" ca="1" si="67"/>
        <v>0</v>
      </c>
      <c r="AK20" s="279">
        <f t="shared" ca="1" si="68"/>
        <v>0</v>
      </c>
      <c r="AL20" s="279">
        <f t="shared" ca="1" si="69"/>
        <v>0</v>
      </c>
      <c r="AM20" s="279">
        <f t="shared" ca="1" si="70"/>
        <v>0</v>
      </c>
      <c r="AN20" s="279">
        <f t="shared" ca="1" si="71"/>
        <v>0</v>
      </c>
      <c r="AO20" s="279">
        <f t="shared" ca="1" si="72"/>
        <v>0</v>
      </c>
      <c r="AP20" s="279">
        <f t="shared" ca="1" si="21"/>
        <v>0</v>
      </c>
      <c r="AQ20" s="279">
        <f t="shared" ca="1" si="22"/>
        <v>0</v>
      </c>
      <c r="AR20" s="279">
        <f t="shared" ca="1" si="23"/>
        <v>0</v>
      </c>
      <c r="AS20" s="279">
        <f t="shared" ca="1" si="24"/>
        <v>0</v>
      </c>
      <c r="AT20" s="279">
        <f t="shared" ca="1" si="73"/>
        <v>0</v>
      </c>
      <c r="AU20" s="279">
        <f t="shared" ca="1" si="74"/>
        <v>0</v>
      </c>
      <c r="AV20" s="279">
        <f t="shared" ca="1" si="25"/>
        <v>0</v>
      </c>
      <c r="AW20" s="279">
        <f t="shared" ca="1" si="26"/>
        <v>0</v>
      </c>
      <c r="AX20" s="279">
        <f t="shared" ca="1" si="27"/>
        <v>0</v>
      </c>
      <c r="AY20" s="279">
        <f t="shared" ca="1" si="28"/>
        <v>0</v>
      </c>
      <c r="AZ20" s="279">
        <f t="shared" ca="1" si="29"/>
        <v>0</v>
      </c>
      <c r="BA20" s="279">
        <f t="shared" ca="1" si="30"/>
        <v>0</v>
      </c>
      <c r="BB20" s="279">
        <f t="shared" ca="1" si="31"/>
        <v>0</v>
      </c>
      <c r="BC20" s="279">
        <f t="shared" ca="1" si="32"/>
        <v>0</v>
      </c>
      <c r="BD20" s="279">
        <f t="shared" ca="1" si="33"/>
        <v>0</v>
      </c>
      <c r="BE20" s="279">
        <f t="shared" ca="1" si="34"/>
        <v>0</v>
      </c>
      <c r="BF20" s="279">
        <f t="shared" ca="1" si="35"/>
        <v>0</v>
      </c>
      <c r="BG20" s="279">
        <f t="shared" ca="1" si="36"/>
        <v>0</v>
      </c>
      <c r="BH20" s="279">
        <f t="shared" ca="1" si="75"/>
        <v>0</v>
      </c>
      <c r="BI20" s="279">
        <f t="shared" ca="1" si="76"/>
        <v>0</v>
      </c>
      <c r="BJ20" s="279">
        <f t="shared" ca="1" si="37"/>
        <v>0</v>
      </c>
      <c r="BK20" s="279">
        <f t="shared" ca="1" si="38"/>
        <v>0</v>
      </c>
      <c r="BL20" s="279">
        <f t="shared" ca="1" si="39"/>
        <v>0</v>
      </c>
      <c r="BM20" s="279">
        <f t="shared" ca="1" si="40"/>
        <v>0</v>
      </c>
      <c r="BN20" s="279">
        <f t="shared" ca="1" si="41"/>
        <v>0</v>
      </c>
      <c r="BO20" s="279">
        <f t="shared" ca="1" si="42"/>
        <v>0</v>
      </c>
      <c r="BP20" s="279">
        <f t="shared" ca="1" si="77"/>
        <v>0</v>
      </c>
      <c r="BQ20" s="279">
        <f t="shared" ca="1" si="78"/>
        <v>0</v>
      </c>
      <c r="BR20" s="279">
        <f t="shared" ca="1" si="43"/>
        <v>0</v>
      </c>
      <c r="BS20" s="279">
        <f t="shared" ca="1" si="44"/>
        <v>0</v>
      </c>
      <c r="BT20" s="279">
        <f t="shared" ca="1" si="79"/>
        <v>0</v>
      </c>
      <c r="BU20" s="279">
        <f t="shared" ca="1" si="80"/>
        <v>0</v>
      </c>
      <c r="BV20" s="279">
        <f t="shared" ca="1" si="81"/>
        <v>0</v>
      </c>
      <c r="BW20" s="279">
        <f t="shared" ca="1" si="82"/>
        <v>0</v>
      </c>
      <c r="BX20" s="279">
        <f t="shared" ca="1" si="45"/>
        <v>0</v>
      </c>
      <c r="BY20" s="279">
        <f t="shared" ca="1" si="46"/>
        <v>0</v>
      </c>
      <c r="BZ20" s="279">
        <f t="shared" ca="1" si="47"/>
        <v>0</v>
      </c>
      <c r="CA20" s="279">
        <f t="shared" ca="1" si="48"/>
        <v>0</v>
      </c>
      <c r="CB20" s="279">
        <f t="shared" ca="1" si="49"/>
        <v>0</v>
      </c>
      <c r="CC20" s="279">
        <f t="shared" ca="1" si="50"/>
        <v>0</v>
      </c>
      <c r="CD20" s="279">
        <f t="shared" ca="1" si="83"/>
        <v>0</v>
      </c>
      <c r="CE20" s="279">
        <f t="shared" ca="1" si="84"/>
        <v>0</v>
      </c>
      <c r="CF20" s="279">
        <f t="shared" ca="1" si="85"/>
        <v>0</v>
      </c>
      <c r="CG20" s="279">
        <f t="shared" ca="1" si="86"/>
        <v>0</v>
      </c>
      <c r="CH20" s="279">
        <f t="shared" ca="1" si="51"/>
        <v>0</v>
      </c>
      <c r="CI20" s="279">
        <f t="shared" ca="1" si="52"/>
        <v>0</v>
      </c>
      <c r="CJ20" s="279">
        <f t="shared" ca="1" si="87"/>
        <v>0</v>
      </c>
      <c r="CK20" s="279">
        <f t="shared" ca="1" si="88"/>
        <v>0</v>
      </c>
      <c r="CL20" s="279">
        <f t="shared" ca="1" si="53"/>
        <v>0</v>
      </c>
      <c r="CM20" s="279">
        <f t="shared" ca="1" si="54"/>
        <v>0</v>
      </c>
      <c r="CN20" s="279">
        <f t="shared" ca="1" si="55"/>
        <v>0</v>
      </c>
      <c r="CO20" s="279">
        <f t="shared" ca="1" si="56"/>
        <v>0</v>
      </c>
      <c r="CP20" s="279">
        <f t="shared" ca="1" si="89"/>
        <v>0</v>
      </c>
      <c r="CQ20" s="279">
        <f t="shared" ca="1" si="90"/>
        <v>0</v>
      </c>
      <c r="CR20" s="279">
        <f t="shared" ca="1" si="91"/>
        <v>0</v>
      </c>
      <c r="CS20" s="279">
        <f t="shared" ca="1" si="92"/>
        <v>0</v>
      </c>
      <c r="CT20" s="279">
        <f t="shared" ca="1" si="57"/>
        <v>0</v>
      </c>
      <c r="CU20" s="279">
        <f t="shared" ca="1" si="58"/>
        <v>0</v>
      </c>
      <c r="CV20" s="279">
        <f t="shared" ca="1" si="59"/>
        <v>0</v>
      </c>
      <c r="CW20" s="279">
        <f t="shared" ca="1" si="60"/>
        <v>0</v>
      </c>
      <c r="CX20" s="279">
        <f t="shared" ca="1" si="93"/>
        <v>0</v>
      </c>
      <c r="CY20" s="279">
        <f t="shared" ca="1" si="94"/>
        <v>0</v>
      </c>
      <c r="CZ20" s="279">
        <f t="shared" ca="1" si="95"/>
        <v>0</v>
      </c>
      <c r="DA20" s="279">
        <f t="shared" ca="1" si="96"/>
        <v>0</v>
      </c>
    </row>
    <row r="21" spans="1:105" s="276" customFormat="1" ht="15" customHeight="1">
      <c r="A21" s="63">
        <f t="array" aca="1" ref="A21" ca="1">IF(C21&lt;&gt;0,SUM(($C$11:C21&lt;&gt;0)*1),"")</f>
        <v>11</v>
      </c>
      <c r="B21" s="277" t="str">
        <f ca="1">IF(ROWS($1:11)&gt;COUNT(Dong6),"",OFFSET(TH!C$1,SMALL(Dong6,ROWS($1:11)),))</f>
        <v/>
      </c>
      <c r="C21" s="277" t="str">
        <f ca="1">IF(ROWS($1:11)&gt;COUNT(Dong6),"",OFFSET(TH!D$1,SMALL(Dong6,ROWS($1:11)),))</f>
        <v/>
      </c>
      <c r="D21" s="277" t="str">
        <f ca="1">IF(ROWS($1:11)&gt;COUNT(Dong6),"",OFFSET(TH!E$1,SMALL(Dong6,ROWS($1:11)),))</f>
        <v/>
      </c>
      <c r="E21" s="327" t="str">
        <f ca="1">IF(ROWS($1:11)&gt;COUNT(Dong6),"",OFFSET(TH!F$1,SMALL(Dong6,ROWS($1:11)),))</f>
        <v/>
      </c>
      <c r="F21" s="328" t="str">
        <f ca="1">IF(ROWS($1:11)&gt;COUNT(Dong6),"",OFFSET(TH!M$1,SMALL(Dong6,ROWS($1:11)),))</f>
        <v/>
      </c>
      <c r="G21" s="329" t="str">
        <f ca="1">IF(ROWS($1:11)&gt;COUNT(Dong6),"",OFFSET(TH!N$1,SMALL(Dong6,ROWS($1:11)),))</f>
        <v/>
      </c>
      <c r="H21" s="329" t="str">
        <f ca="1">IF(ROWS($1:11)&gt;COUNT(Dong6),"",OFFSET(TH!O$1,SMALL(Dong6,ROWS($1:11)),))</f>
        <v/>
      </c>
      <c r="I21" s="63">
        <f t="shared" ca="1" si="0"/>
        <v>11</v>
      </c>
      <c r="J21" s="279">
        <f t="shared" ca="1" si="61"/>
        <v>0</v>
      </c>
      <c r="K21" s="279">
        <f t="shared" ca="1" si="62"/>
        <v>0</v>
      </c>
      <c r="L21" s="279">
        <f t="shared" ca="1" si="1"/>
        <v>0</v>
      </c>
      <c r="M21" s="279">
        <f t="shared" ca="1" si="2"/>
        <v>0</v>
      </c>
      <c r="N21" s="279">
        <f t="shared" ca="1" si="3"/>
        <v>0</v>
      </c>
      <c r="O21" s="279">
        <f t="shared" ca="1" si="4"/>
        <v>0</v>
      </c>
      <c r="P21" s="279">
        <f t="shared" ca="1" si="5"/>
        <v>0</v>
      </c>
      <c r="Q21" s="279">
        <f t="shared" ca="1" si="6"/>
        <v>0</v>
      </c>
      <c r="R21" s="279">
        <f t="shared" ca="1" si="7"/>
        <v>0</v>
      </c>
      <c r="S21" s="279">
        <f t="shared" ca="1" si="8"/>
        <v>0</v>
      </c>
      <c r="T21" s="279">
        <f t="shared" ca="1" si="9"/>
        <v>0</v>
      </c>
      <c r="U21" s="279">
        <f t="shared" ca="1" si="10"/>
        <v>0</v>
      </c>
      <c r="V21" s="279">
        <f t="shared" ca="1" si="11"/>
        <v>0</v>
      </c>
      <c r="W21" s="279">
        <f t="shared" ca="1" si="12"/>
        <v>0</v>
      </c>
      <c r="X21" s="279">
        <f t="shared" ca="1" si="13"/>
        <v>0</v>
      </c>
      <c r="Y21" s="279">
        <f t="shared" ca="1" si="14"/>
        <v>0</v>
      </c>
      <c r="Z21" s="279">
        <f t="shared" ca="1" si="15"/>
        <v>0</v>
      </c>
      <c r="AA21" s="279">
        <f t="shared" ca="1" si="16"/>
        <v>0</v>
      </c>
      <c r="AB21" s="279">
        <f t="shared" ca="1" si="63"/>
        <v>0</v>
      </c>
      <c r="AC21" s="279">
        <f t="shared" ca="1" si="64"/>
        <v>0</v>
      </c>
      <c r="AD21" s="279">
        <f t="shared" ca="1" si="17"/>
        <v>0</v>
      </c>
      <c r="AE21" s="279">
        <f t="shared" ca="1" si="18"/>
        <v>0</v>
      </c>
      <c r="AF21" s="279">
        <f t="shared" ca="1" si="19"/>
        <v>0</v>
      </c>
      <c r="AG21" s="279">
        <f t="shared" ca="1" si="20"/>
        <v>0</v>
      </c>
      <c r="AH21" s="279">
        <f t="shared" ca="1" si="65"/>
        <v>0</v>
      </c>
      <c r="AI21" s="279">
        <f t="shared" ca="1" si="66"/>
        <v>0</v>
      </c>
      <c r="AJ21" s="279">
        <f t="shared" ca="1" si="67"/>
        <v>0</v>
      </c>
      <c r="AK21" s="279">
        <f t="shared" ca="1" si="68"/>
        <v>0</v>
      </c>
      <c r="AL21" s="279">
        <f t="shared" ca="1" si="69"/>
        <v>0</v>
      </c>
      <c r="AM21" s="279">
        <f t="shared" ca="1" si="70"/>
        <v>0</v>
      </c>
      <c r="AN21" s="279">
        <f t="shared" ca="1" si="71"/>
        <v>0</v>
      </c>
      <c r="AO21" s="279">
        <f t="shared" ca="1" si="72"/>
        <v>0</v>
      </c>
      <c r="AP21" s="279">
        <f t="shared" ca="1" si="21"/>
        <v>0</v>
      </c>
      <c r="AQ21" s="279">
        <f t="shared" ca="1" si="22"/>
        <v>0</v>
      </c>
      <c r="AR21" s="279">
        <f t="shared" ca="1" si="23"/>
        <v>0</v>
      </c>
      <c r="AS21" s="279">
        <f t="shared" ca="1" si="24"/>
        <v>0</v>
      </c>
      <c r="AT21" s="279">
        <f t="shared" ca="1" si="73"/>
        <v>0</v>
      </c>
      <c r="AU21" s="279">
        <f t="shared" ca="1" si="74"/>
        <v>0</v>
      </c>
      <c r="AV21" s="279">
        <f t="shared" ca="1" si="25"/>
        <v>0</v>
      </c>
      <c r="AW21" s="279">
        <f t="shared" ca="1" si="26"/>
        <v>0</v>
      </c>
      <c r="AX21" s="279">
        <f t="shared" ca="1" si="27"/>
        <v>0</v>
      </c>
      <c r="AY21" s="279">
        <f t="shared" ca="1" si="28"/>
        <v>0</v>
      </c>
      <c r="AZ21" s="279">
        <f t="shared" ca="1" si="29"/>
        <v>0</v>
      </c>
      <c r="BA21" s="279">
        <f t="shared" ca="1" si="30"/>
        <v>0</v>
      </c>
      <c r="BB21" s="279">
        <f t="shared" ca="1" si="31"/>
        <v>0</v>
      </c>
      <c r="BC21" s="279">
        <f t="shared" ca="1" si="32"/>
        <v>0</v>
      </c>
      <c r="BD21" s="279">
        <f t="shared" ca="1" si="33"/>
        <v>0</v>
      </c>
      <c r="BE21" s="279">
        <f t="shared" ca="1" si="34"/>
        <v>0</v>
      </c>
      <c r="BF21" s="279">
        <f t="shared" ca="1" si="35"/>
        <v>0</v>
      </c>
      <c r="BG21" s="279">
        <f t="shared" ca="1" si="36"/>
        <v>0</v>
      </c>
      <c r="BH21" s="279">
        <f t="shared" ca="1" si="75"/>
        <v>0</v>
      </c>
      <c r="BI21" s="279">
        <f t="shared" ca="1" si="76"/>
        <v>0</v>
      </c>
      <c r="BJ21" s="279">
        <f t="shared" ca="1" si="37"/>
        <v>0</v>
      </c>
      <c r="BK21" s="279">
        <f t="shared" ca="1" si="38"/>
        <v>0</v>
      </c>
      <c r="BL21" s="279">
        <f t="shared" ca="1" si="39"/>
        <v>0</v>
      </c>
      <c r="BM21" s="279">
        <f t="shared" ca="1" si="40"/>
        <v>0</v>
      </c>
      <c r="BN21" s="279">
        <f t="shared" ca="1" si="41"/>
        <v>0</v>
      </c>
      <c r="BO21" s="279">
        <f t="shared" ca="1" si="42"/>
        <v>0</v>
      </c>
      <c r="BP21" s="279">
        <f t="shared" ca="1" si="77"/>
        <v>0</v>
      </c>
      <c r="BQ21" s="279">
        <f t="shared" ca="1" si="78"/>
        <v>0</v>
      </c>
      <c r="BR21" s="279">
        <f t="shared" ca="1" si="43"/>
        <v>0</v>
      </c>
      <c r="BS21" s="279">
        <f t="shared" ca="1" si="44"/>
        <v>0</v>
      </c>
      <c r="BT21" s="279">
        <f t="shared" ca="1" si="79"/>
        <v>0</v>
      </c>
      <c r="BU21" s="279">
        <f t="shared" ca="1" si="80"/>
        <v>0</v>
      </c>
      <c r="BV21" s="279">
        <f t="shared" ca="1" si="81"/>
        <v>0</v>
      </c>
      <c r="BW21" s="279">
        <f t="shared" ca="1" si="82"/>
        <v>0</v>
      </c>
      <c r="BX21" s="279">
        <f t="shared" ca="1" si="45"/>
        <v>0</v>
      </c>
      <c r="BY21" s="279">
        <f t="shared" ca="1" si="46"/>
        <v>0</v>
      </c>
      <c r="BZ21" s="279">
        <f t="shared" ca="1" si="47"/>
        <v>0</v>
      </c>
      <c r="CA21" s="279">
        <f t="shared" ca="1" si="48"/>
        <v>0</v>
      </c>
      <c r="CB21" s="279">
        <f t="shared" ca="1" si="49"/>
        <v>0</v>
      </c>
      <c r="CC21" s="279">
        <f t="shared" ca="1" si="50"/>
        <v>0</v>
      </c>
      <c r="CD21" s="279">
        <f t="shared" ca="1" si="83"/>
        <v>0</v>
      </c>
      <c r="CE21" s="279">
        <f t="shared" ca="1" si="84"/>
        <v>0</v>
      </c>
      <c r="CF21" s="279">
        <f t="shared" ca="1" si="85"/>
        <v>0</v>
      </c>
      <c r="CG21" s="279">
        <f t="shared" ca="1" si="86"/>
        <v>0</v>
      </c>
      <c r="CH21" s="279">
        <f t="shared" ca="1" si="51"/>
        <v>0</v>
      </c>
      <c r="CI21" s="279">
        <f t="shared" ca="1" si="52"/>
        <v>0</v>
      </c>
      <c r="CJ21" s="279">
        <f t="shared" ca="1" si="87"/>
        <v>0</v>
      </c>
      <c r="CK21" s="279">
        <f t="shared" ca="1" si="88"/>
        <v>0</v>
      </c>
      <c r="CL21" s="279">
        <f t="shared" ca="1" si="53"/>
        <v>0</v>
      </c>
      <c r="CM21" s="279">
        <f t="shared" ca="1" si="54"/>
        <v>0</v>
      </c>
      <c r="CN21" s="279">
        <f t="shared" ca="1" si="55"/>
        <v>0</v>
      </c>
      <c r="CO21" s="279">
        <f t="shared" ca="1" si="56"/>
        <v>0</v>
      </c>
      <c r="CP21" s="279">
        <f t="shared" ca="1" si="89"/>
        <v>0</v>
      </c>
      <c r="CQ21" s="279">
        <f t="shared" ca="1" si="90"/>
        <v>0</v>
      </c>
      <c r="CR21" s="279">
        <f t="shared" ca="1" si="91"/>
        <v>0</v>
      </c>
      <c r="CS21" s="279">
        <f t="shared" ca="1" si="92"/>
        <v>0</v>
      </c>
      <c r="CT21" s="279">
        <f t="shared" ca="1" si="57"/>
        <v>0</v>
      </c>
      <c r="CU21" s="279">
        <f t="shared" ca="1" si="58"/>
        <v>0</v>
      </c>
      <c r="CV21" s="279">
        <f t="shared" ca="1" si="59"/>
        <v>0</v>
      </c>
      <c r="CW21" s="279">
        <f t="shared" ca="1" si="60"/>
        <v>0</v>
      </c>
      <c r="CX21" s="279">
        <f t="shared" ca="1" si="93"/>
        <v>0</v>
      </c>
      <c r="CY21" s="279">
        <f t="shared" ca="1" si="94"/>
        <v>0</v>
      </c>
      <c r="CZ21" s="279">
        <f t="shared" ca="1" si="95"/>
        <v>0</v>
      </c>
      <c r="DA21" s="279">
        <f t="shared" ca="1" si="96"/>
        <v>0</v>
      </c>
    </row>
    <row r="22" spans="1:105" s="276" customFormat="1" ht="15" customHeight="1">
      <c r="A22" s="63">
        <f t="array" aca="1" ref="A22" ca="1">IF(C22&lt;&gt;0,SUM(($C$11:C22&lt;&gt;0)*1),"")</f>
        <v>12</v>
      </c>
      <c r="B22" s="277" t="str">
        <f ca="1">IF(ROWS($1:12)&gt;COUNT(Dong6),"",OFFSET(TH!C$1,SMALL(Dong6,ROWS($1:12)),))</f>
        <v/>
      </c>
      <c r="C22" s="277" t="str">
        <f ca="1">IF(ROWS($1:12)&gt;COUNT(Dong6),"",OFFSET(TH!D$1,SMALL(Dong6,ROWS($1:12)),))</f>
        <v/>
      </c>
      <c r="D22" s="277" t="str">
        <f ca="1">IF(ROWS($1:12)&gt;COUNT(Dong6),"",OFFSET(TH!E$1,SMALL(Dong6,ROWS($1:12)),))</f>
        <v/>
      </c>
      <c r="E22" s="327" t="str">
        <f ca="1">IF(ROWS($1:12)&gt;COUNT(Dong6),"",OFFSET(TH!F$1,SMALL(Dong6,ROWS($1:12)),))</f>
        <v/>
      </c>
      <c r="F22" s="328" t="str">
        <f ca="1">IF(ROWS($1:12)&gt;COUNT(Dong6),"",OFFSET(TH!M$1,SMALL(Dong6,ROWS($1:12)),))</f>
        <v/>
      </c>
      <c r="G22" s="329" t="str">
        <f ca="1">IF(ROWS($1:12)&gt;COUNT(Dong6),"",OFFSET(TH!N$1,SMALL(Dong6,ROWS($1:12)),))</f>
        <v/>
      </c>
      <c r="H22" s="329" t="str">
        <f ca="1">IF(ROWS($1:12)&gt;COUNT(Dong6),"",OFFSET(TH!O$1,SMALL(Dong6,ROWS($1:12)),))</f>
        <v/>
      </c>
      <c r="I22" s="63">
        <f t="shared" ca="1" si="0"/>
        <v>12</v>
      </c>
      <c r="J22" s="279">
        <f t="shared" ca="1" si="61"/>
        <v>0</v>
      </c>
      <c r="K22" s="279">
        <f t="shared" ca="1" si="62"/>
        <v>0</v>
      </c>
      <c r="L22" s="279">
        <f t="shared" ca="1" si="1"/>
        <v>0</v>
      </c>
      <c r="M22" s="279">
        <f t="shared" ca="1" si="2"/>
        <v>0</v>
      </c>
      <c r="N22" s="279">
        <f t="shared" ca="1" si="3"/>
        <v>0</v>
      </c>
      <c r="O22" s="279">
        <f t="shared" ca="1" si="4"/>
        <v>0</v>
      </c>
      <c r="P22" s="279">
        <f t="shared" ca="1" si="5"/>
        <v>0</v>
      </c>
      <c r="Q22" s="279">
        <f t="shared" ca="1" si="6"/>
        <v>0</v>
      </c>
      <c r="R22" s="279">
        <f t="shared" ca="1" si="7"/>
        <v>0</v>
      </c>
      <c r="S22" s="279">
        <f t="shared" ca="1" si="8"/>
        <v>0</v>
      </c>
      <c r="T22" s="279">
        <f t="shared" ca="1" si="9"/>
        <v>0</v>
      </c>
      <c r="U22" s="279">
        <f t="shared" ca="1" si="10"/>
        <v>0</v>
      </c>
      <c r="V22" s="279">
        <f t="shared" ca="1" si="11"/>
        <v>0</v>
      </c>
      <c r="W22" s="279">
        <f t="shared" ca="1" si="12"/>
        <v>0</v>
      </c>
      <c r="X22" s="279">
        <f t="shared" ca="1" si="13"/>
        <v>0</v>
      </c>
      <c r="Y22" s="279">
        <f t="shared" ca="1" si="14"/>
        <v>0</v>
      </c>
      <c r="Z22" s="279">
        <f t="shared" ca="1" si="15"/>
        <v>0</v>
      </c>
      <c r="AA22" s="279">
        <f t="shared" ca="1" si="16"/>
        <v>0</v>
      </c>
      <c r="AB22" s="279">
        <f t="shared" ca="1" si="63"/>
        <v>0</v>
      </c>
      <c r="AC22" s="279">
        <f t="shared" ca="1" si="64"/>
        <v>0</v>
      </c>
      <c r="AD22" s="279">
        <f t="shared" ca="1" si="17"/>
        <v>0</v>
      </c>
      <c r="AE22" s="279">
        <f t="shared" ca="1" si="18"/>
        <v>0</v>
      </c>
      <c r="AF22" s="279">
        <f t="shared" ca="1" si="19"/>
        <v>0</v>
      </c>
      <c r="AG22" s="279">
        <f t="shared" ca="1" si="20"/>
        <v>0</v>
      </c>
      <c r="AH22" s="279">
        <f t="shared" ca="1" si="65"/>
        <v>0</v>
      </c>
      <c r="AI22" s="279">
        <f t="shared" ca="1" si="66"/>
        <v>0</v>
      </c>
      <c r="AJ22" s="279">
        <f t="shared" ca="1" si="67"/>
        <v>0</v>
      </c>
      <c r="AK22" s="279">
        <f t="shared" ca="1" si="68"/>
        <v>0</v>
      </c>
      <c r="AL22" s="279">
        <f t="shared" ca="1" si="69"/>
        <v>0</v>
      </c>
      <c r="AM22" s="279">
        <f t="shared" ca="1" si="70"/>
        <v>0</v>
      </c>
      <c r="AN22" s="279">
        <f t="shared" ca="1" si="71"/>
        <v>0</v>
      </c>
      <c r="AO22" s="279">
        <f t="shared" ca="1" si="72"/>
        <v>0</v>
      </c>
      <c r="AP22" s="279">
        <f t="shared" ca="1" si="21"/>
        <v>0</v>
      </c>
      <c r="AQ22" s="279">
        <f t="shared" ca="1" si="22"/>
        <v>0</v>
      </c>
      <c r="AR22" s="279">
        <f t="shared" ca="1" si="23"/>
        <v>0</v>
      </c>
      <c r="AS22" s="279">
        <f t="shared" ca="1" si="24"/>
        <v>0</v>
      </c>
      <c r="AT22" s="279">
        <f t="shared" ca="1" si="73"/>
        <v>0</v>
      </c>
      <c r="AU22" s="279">
        <f t="shared" ca="1" si="74"/>
        <v>0</v>
      </c>
      <c r="AV22" s="279">
        <f t="shared" ca="1" si="25"/>
        <v>0</v>
      </c>
      <c r="AW22" s="279">
        <f t="shared" ca="1" si="26"/>
        <v>0</v>
      </c>
      <c r="AX22" s="279">
        <f t="shared" ca="1" si="27"/>
        <v>0</v>
      </c>
      <c r="AY22" s="279">
        <f t="shared" ca="1" si="28"/>
        <v>0</v>
      </c>
      <c r="AZ22" s="279">
        <f t="shared" ca="1" si="29"/>
        <v>0</v>
      </c>
      <c r="BA22" s="279">
        <f t="shared" ca="1" si="30"/>
        <v>0</v>
      </c>
      <c r="BB22" s="279">
        <f t="shared" ca="1" si="31"/>
        <v>0</v>
      </c>
      <c r="BC22" s="279">
        <f t="shared" ca="1" si="32"/>
        <v>0</v>
      </c>
      <c r="BD22" s="279">
        <f t="shared" ca="1" si="33"/>
        <v>0</v>
      </c>
      <c r="BE22" s="279">
        <f t="shared" ca="1" si="34"/>
        <v>0</v>
      </c>
      <c r="BF22" s="279">
        <f t="shared" ca="1" si="35"/>
        <v>0</v>
      </c>
      <c r="BG22" s="279">
        <f t="shared" ca="1" si="36"/>
        <v>0</v>
      </c>
      <c r="BH22" s="279">
        <f t="shared" ca="1" si="75"/>
        <v>0</v>
      </c>
      <c r="BI22" s="279">
        <f t="shared" ca="1" si="76"/>
        <v>0</v>
      </c>
      <c r="BJ22" s="279">
        <f t="shared" ca="1" si="37"/>
        <v>0</v>
      </c>
      <c r="BK22" s="279">
        <f t="shared" ca="1" si="38"/>
        <v>0</v>
      </c>
      <c r="BL22" s="279">
        <f t="shared" ca="1" si="39"/>
        <v>0</v>
      </c>
      <c r="BM22" s="279">
        <f t="shared" ca="1" si="40"/>
        <v>0</v>
      </c>
      <c r="BN22" s="279">
        <f t="shared" ca="1" si="41"/>
        <v>0</v>
      </c>
      <c r="BO22" s="279">
        <f t="shared" ca="1" si="42"/>
        <v>0</v>
      </c>
      <c r="BP22" s="279">
        <f t="shared" ca="1" si="77"/>
        <v>0</v>
      </c>
      <c r="BQ22" s="279">
        <f t="shared" ca="1" si="78"/>
        <v>0</v>
      </c>
      <c r="BR22" s="279">
        <f t="shared" ca="1" si="43"/>
        <v>0</v>
      </c>
      <c r="BS22" s="279">
        <f t="shared" ca="1" si="44"/>
        <v>0</v>
      </c>
      <c r="BT22" s="279">
        <f t="shared" ca="1" si="79"/>
        <v>0</v>
      </c>
      <c r="BU22" s="279">
        <f t="shared" ca="1" si="80"/>
        <v>0</v>
      </c>
      <c r="BV22" s="279">
        <f t="shared" ca="1" si="81"/>
        <v>0</v>
      </c>
      <c r="BW22" s="279">
        <f t="shared" ca="1" si="82"/>
        <v>0</v>
      </c>
      <c r="BX22" s="279">
        <f t="shared" ca="1" si="45"/>
        <v>0</v>
      </c>
      <c r="BY22" s="279">
        <f t="shared" ca="1" si="46"/>
        <v>0</v>
      </c>
      <c r="BZ22" s="279">
        <f t="shared" ca="1" si="47"/>
        <v>0</v>
      </c>
      <c r="CA22" s="279">
        <f t="shared" ca="1" si="48"/>
        <v>0</v>
      </c>
      <c r="CB22" s="279">
        <f t="shared" ca="1" si="49"/>
        <v>0</v>
      </c>
      <c r="CC22" s="279">
        <f t="shared" ca="1" si="50"/>
        <v>0</v>
      </c>
      <c r="CD22" s="279">
        <f t="shared" ca="1" si="83"/>
        <v>0</v>
      </c>
      <c r="CE22" s="279">
        <f t="shared" ca="1" si="84"/>
        <v>0</v>
      </c>
      <c r="CF22" s="279">
        <f t="shared" ca="1" si="85"/>
        <v>0</v>
      </c>
      <c r="CG22" s="279">
        <f t="shared" ca="1" si="86"/>
        <v>0</v>
      </c>
      <c r="CH22" s="279">
        <f t="shared" ca="1" si="51"/>
        <v>0</v>
      </c>
      <c r="CI22" s="279">
        <f t="shared" ca="1" si="52"/>
        <v>0</v>
      </c>
      <c r="CJ22" s="279">
        <f t="shared" ca="1" si="87"/>
        <v>0</v>
      </c>
      <c r="CK22" s="279">
        <f t="shared" ca="1" si="88"/>
        <v>0</v>
      </c>
      <c r="CL22" s="279">
        <f t="shared" ca="1" si="53"/>
        <v>0</v>
      </c>
      <c r="CM22" s="279">
        <f t="shared" ca="1" si="54"/>
        <v>0</v>
      </c>
      <c r="CN22" s="279">
        <f t="shared" ca="1" si="55"/>
        <v>0</v>
      </c>
      <c r="CO22" s="279">
        <f t="shared" ca="1" si="56"/>
        <v>0</v>
      </c>
      <c r="CP22" s="279">
        <f t="shared" ca="1" si="89"/>
        <v>0</v>
      </c>
      <c r="CQ22" s="279">
        <f t="shared" ca="1" si="90"/>
        <v>0</v>
      </c>
      <c r="CR22" s="279">
        <f t="shared" ca="1" si="91"/>
        <v>0</v>
      </c>
      <c r="CS22" s="279">
        <f t="shared" ca="1" si="92"/>
        <v>0</v>
      </c>
      <c r="CT22" s="279">
        <f t="shared" ca="1" si="57"/>
        <v>0</v>
      </c>
      <c r="CU22" s="279">
        <f t="shared" ca="1" si="58"/>
        <v>0</v>
      </c>
      <c r="CV22" s="279">
        <f t="shared" ca="1" si="59"/>
        <v>0</v>
      </c>
      <c r="CW22" s="279">
        <f t="shared" ca="1" si="60"/>
        <v>0</v>
      </c>
      <c r="CX22" s="279">
        <f t="shared" ca="1" si="93"/>
        <v>0</v>
      </c>
      <c r="CY22" s="279">
        <f t="shared" ca="1" si="94"/>
        <v>0</v>
      </c>
      <c r="CZ22" s="279">
        <f t="shared" ca="1" si="95"/>
        <v>0</v>
      </c>
      <c r="DA22" s="279">
        <f t="shared" ca="1" si="96"/>
        <v>0</v>
      </c>
    </row>
    <row r="23" spans="1:105" s="276" customFormat="1" ht="15" customHeight="1">
      <c r="A23" s="63">
        <f t="array" aca="1" ref="A23" ca="1">IF(C23&lt;&gt;0,SUM(($C$11:C23&lt;&gt;0)*1),"")</f>
        <v>13</v>
      </c>
      <c r="B23" s="277" t="str">
        <f ca="1">IF(ROWS($1:13)&gt;COUNT(Dong6),"",OFFSET(TH!C$1,SMALL(Dong6,ROWS($1:13)),))</f>
        <v/>
      </c>
      <c r="C23" s="277" t="str">
        <f ca="1">IF(ROWS($1:13)&gt;COUNT(Dong6),"",OFFSET(TH!D$1,SMALL(Dong6,ROWS($1:13)),))</f>
        <v/>
      </c>
      <c r="D23" s="277" t="str">
        <f ca="1">IF(ROWS($1:13)&gt;COUNT(Dong6),"",OFFSET(TH!E$1,SMALL(Dong6,ROWS($1:13)),))</f>
        <v/>
      </c>
      <c r="E23" s="327" t="str">
        <f ca="1">IF(ROWS($1:13)&gt;COUNT(Dong6),"",OFFSET(TH!F$1,SMALL(Dong6,ROWS($1:13)),))</f>
        <v/>
      </c>
      <c r="F23" s="328" t="str">
        <f ca="1">IF(ROWS($1:13)&gt;COUNT(Dong6),"",OFFSET(TH!M$1,SMALL(Dong6,ROWS($1:13)),))</f>
        <v/>
      </c>
      <c r="G23" s="329" t="str">
        <f ca="1">IF(ROWS($1:13)&gt;COUNT(Dong6),"",OFFSET(TH!N$1,SMALL(Dong6,ROWS($1:13)),))</f>
        <v/>
      </c>
      <c r="H23" s="329" t="str">
        <f ca="1">IF(ROWS($1:13)&gt;COUNT(Dong6),"",OFFSET(TH!O$1,SMALL(Dong6,ROWS($1:13)),))</f>
        <v/>
      </c>
      <c r="I23" s="63">
        <f t="shared" ca="1" si="0"/>
        <v>13</v>
      </c>
      <c r="J23" s="279">
        <f t="shared" ca="1" si="61"/>
        <v>0</v>
      </c>
      <c r="K23" s="279">
        <f t="shared" ca="1" si="62"/>
        <v>0</v>
      </c>
      <c r="L23" s="279">
        <f t="shared" ca="1" si="1"/>
        <v>0</v>
      </c>
      <c r="M23" s="279">
        <f t="shared" ca="1" si="2"/>
        <v>0</v>
      </c>
      <c r="N23" s="279">
        <f t="shared" ca="1" si="3"/>
        <v>0</v>
      </c>
      <c r="O23" s="279">
        <f t="shared" ca="1" si="4"/>
        <v>0</v>
      </c>
      <c r="P23" s="279">
        <f t="shared" ca="1" si="5"/>
        <v>0</v>
      </c>
      <c r="Q23" s="279">
        <f t="shared" ca="1" si="6"/>
        <v>0</v>
      </c>
      <c r="R23" s="279">
        <f t="shared" ca="1" si="7"/>
        <v>0</v>
      </c>
      <c r="S23" s="279">
        <f t="shared" ca="1" si="8"/>
        <v>0</v>
      </c>
      <c r="T23" s="279">
        <f t="shared" ca="1" si="9"/>
        <v>0</v>
      </c>
      <c r="U23" s="279">
        <f t="shared" ca="1" si="10"/>
        <v>0</v>
      </c>
      <c r="V23" s="279">
        <f t="shared" ca="1" si="11"/>
        <v>0</v>
      </c>
      <c r="W23" s="279">
        <f t="shared" ca="1" si="12"/>
        <v>0</v>
      </c>
      <c r="X23" s="279">
        <f t="shared" ca="1" si="13"/>
        <v>0</v>
      </c>
      <c r="Y23" s="279">
        <f t="shared" ca="1" si="14"/>
        <v>0</v>
      </c>
      <c r="Z23" s="279">
        <f t="shared" ca="1" si="15"/>
        <v>0</v>
      </c>
      <c r="AA23" s="279">
        <f t="shared" ca="1" si="16"/>
        <v>0</v>
      </c>
      <c r="AB23" s="279">
        <f t="shared" ca="1" si="63"/>
        <v>0</v>
      </c>
      <c r="AC23" s="279">
        <f t="shared" ca="1" si="64"/>
        <v>0</v>
      </c>
      <c r="AD23" s="279">
        <f t="shared" ca="1" si="17"/>
        <v>0</v>
      </c>
      <c r="AE23" s="279">
        <f t="shared" ca="1" si="18"/>
        <v>0</v>
      </c>
      <c r="AF23" s="279">
        <f t="shared" ca="1" si="19"/>
        <v>0</v>
      </c>
      <c r="AG23" s="279">
        <f t="shared" ca="1" si="20"/>
        <v>0</v>
      </c>
      <c r="AH23" s="279">
        <f t="shared" ca="1" si="65"/>
        <v>0</v>
      </c>
      <c r="AI23" s="279">
        <f t="shared" ca="1" si="66"/>
        <v>0</v>
      </c>
      <c r="AJ23" s="279">
        <f t="shared" ca="1" si="67"/>
        <v>0</v>
      </c>
      <c r="AK23" s="279">
        <f t="shared" ca="1" si="68"/>
        <v>0</v>
      </c>
      <c r="AL23" s="279">
        <f t="shared" ca="1" si="69"/>
        <v>0</v>
      </c>
      <c r="AM23" s="279">
        <f t="shared" ca="1" si="70"/>
        <v>0</v>
      </c>
      <c r="AN23" s="279">
        <f t="shared" ca="1" si="71"/>
        <v>0</v>
      </c>
      <c r="AO23" s="279">
        <f t="shared" ca="1" si="72"/>
        <v>0</v>
      </c>
      <c r="AP23" s="279">
        <f t="shared" ca="1" si="21"/>
        <v>0</v>
      </c>
      <c r="AQ23" s="279">
        <f t="shared" ca="1" si="22"/>
        <v>0</v>
      </c>
      <c r="AR23" s="279">
        <f t="shared" ca="1" si="23"/>
        <v>0</v>
      </c>
      <c r="AS23" s="279">
        <f t="shared" ca="1" si="24"/>
        <v>0</v>
      </c>
      <c r="AT23" s="279">
        <f t="shared" ca="1" si="73"/>
        <v>0</v>
      </c>
      <c r="AU23" s="279">
        <f t="shared" ca="1" si="74"/>
        <v>0</v>
      </c>
      <c r="AV23" s="279">
        <f t="shared" ca="1" si="25"/>
        <v>0</v>
      </c>
      <c r="AW23" s="279">
        <f t="shared" ca="1" si="26"/>
        <v>0</v>
      </c>
      <c r="AX23" s="279">
        <f t="shared" ca="1" si="27"/>
        <v>0</v>
      </c>
      <c r="AY23" s="279">
        <f t="shared" ca="1" si="28"/>
        <v>0</v>
      </c>
      <c r="AZ23" s="279">
        <f t="shared" ca="1" si="29"/>
        <v>0</v>
      </c>
      <c r="BA23" s="279">
        <f t="shared" ca="1" si="30"/>
        <v>0</v>
      </c>
      <c r="BB23" s="279">
        <f t="shared" ca="1" si="31"/>
        <v>0</v>
      </c>
      <c r="BC23" s="279">
        <f t="shared" ca="1" si="32"/>
        <v>0</v>
      </c>
      <c r="BD23" s="279">
        <f t="shared" ca="1" si="33"/>
        <v>0</v>
      </c>
      <c r="BE23" s="279">
        <f t="shared" ca="1" si="34"/>
        <v>0</v>
      </c>
      <c r="BF23" s="279">
        <f t="shared" ca="1" si="35"/>
        <v>0</v>
      </c>
      <c r="BG23" s="279">
        <f t="shared" ca="1" si="36"/>
        <v>0</v>
      </c>
      <c r="BH23" s="279">
        <f t="shared" ca="1" si="75"/>
        <v>0</v>
      </c>
      <c r="BI23" s="279">
        <f t="shared" ca="1" si="76"/>
        <v>0</v>
      </c>
      <c r="BJ23" s="279">
        <f t="shared" ca="1" si="37"/>
        <v>0</v>
      </c>
      <c r="BK23" s="279">
        <f t="shared" ca="1" si="38"/>
        <v>0</v>
      </c>
      <c r="BL23" s="279">
        <f t="shared" ca="1" si="39"/>
        <v>0</v>
      </c>
      <c r="BM23" s="279">
        <f t="shared" ca="1" si="40"/>
        <v>0</v>
      </c>
      <c r="BN23" s="279">
        <f t="shared" ca="1" si="41"/>
        <v>0</v>
      </c>
      <c r="BO23" s="279">
        <f t="shared" ca="1" si="42"/>
        <v>0</v>
      </c>
      <c r="BP23" s="279">
        <f t="shared" ca="1" si="77"/>
        <v>0</v>
      </c>
      <c r="BQ23" s="279">
        <f t="shared" ca="1" si="78"/>
        <v>0</v>
      </c>
      <c r="BR23" s="279">
        <f t="shared" ca="1" si="43"/>
        <v>0</v>
      </c>
      <c r="BS23" s="279">
        <f t="shared" ca="1" si="44"/>
        <v>0</v>
      </c>
      <c r="BT23" s="279">
        <f t="shared" ca="1" si="79"/>
        <v>0</v>
      </c>
      <c r="BU23" s="279">
        <f t="shared" ca="1" si="80"/>
        <v>0</v>
      </c>
      <c r="BV23" s="279">
        <f t="shared" ca="1" si="81"/>
        <v>0</v>
      </c>
      <c r="BW23" s="279">
        <f t="shared" ca="1" si="82"/>
        <v>0</v>
      </c>
      <c r="BX23" s="279">
        <f t="shared" ca="1" si="45"/>
        <v>0</v>
      </c>
      <c r="BY23" s="279">
        <f t="shared" ca="1" si="46"/>
        <v>0</v>
      </c>
      <c r="BZ23" s="279">
        <f t="shared" ca="1" si="47"/>
        <v>0</v>
      </c>
      <c r="CA23" s="279">
        <f t="shared" ca="1" si="48"/>
        <v>0</v>
      </c>
      <c r="CB23" s="279">
        <f t="shared" ca="1" si="49"/>
        <v>0</v>
      </c>
      <c r="CC23" s="279">
        <f t="shared" ca="1" si="50"/>
        <v>0</v>
      </c>
      <c r="CD23" s="279">
        <f t="shared" ca="1" si="83"/>
        <v>0</v>
      </c>
      <c r="CE23" s="279">
        <f t="shared" ca="1" si="84"/>
        <v>0</v>
      </c>
      <c r="CF23" s="279">
        <f t="shared" ca="1" si="85"/>
        <v>0</v>
      </c>
      <c r="CG23" s="279">
        <f t="shared" ca="1" si="86"/>
        <v>0</v>
      </c>
      <c r="CH23" s="279">
        <f t="shared" ca="1" si="51"/>
        <v>0</v>
      </c>
      <c r="CI23" s="279">
        <f t="shared" ca="1" si="52"/>
        <v>0</v>
      </c>
      <c r="CJ23" s="279">
        <f t="shared" ca="1" si="87"/>
        <v>0</v>
      </c>
      <c r="CK23" s="279">
        <f t="shared" ca="1" si="88"/>
        <v>0</v>
      </c>
      <c r="CL23" s="279">
        <f t="shared" ca="1" si="53"/>
        <v>0</v>
      </c>
      <c r="CM23" s="279">
        <f t="shared" ca="1" si="54"/>
        <v>0</v>
      </c>
      <c r="CN23" s="279">
        <f t="shared" ca="1" si="55"/>
        <v>0</v>
      </c>
      <c r="CO23" s="279">
        <f t="shared" ca="1" si="56"/>
        <v>0</v>
      </c>
      <c r="CP23" s="279">
        <f t="shared" ca="1" si="89"/>
        <v>0</v>
      </c>
      <c r="CQ23" s="279">
        <f t="shared" ca="1" si="90"/>
        <v>0</v>
      </c>
      <c r="CR23" s="279">
        <f t="shared" ca="1" si="91"/>
        <v>0</v>
      </c>
      <c r="CS23" s="279">
        <f t="shared" ca="1" si="92"/>
        <v>0</v>
      </c>
      <c r="CT23" s="279">
        <f t="shared" ca="1" si="57"/>
        <v>0</v>
      </c>
      <c r="CU23" s="279">
        <f t="shared" ca="1" si="58"/>
        <v>0</v>
      </c>
      <c r="CV23" s="279">
        <f t="shared" ca="1" si="59"/>
        <v>0</v>
      </c>
      <c r="CW23" s="279">
        <f t="shared" ca="1" si="60"/>
        <v>0</v>
      </c>
      <c r="CX23" s="279">
        <f t="shared" ca="1" si="93"/>
        <v>0</v>
      </c>
      <c r="CY23" s="279">
        <f t="shared" ca="1" si="94"/>
        <v>0</v>
      </c>
      <c r="CZ23" s="279">
        <f t="shared" ca="1" si="95"/>
        <v>0</v>
      </c>
      <c r="DA23" s="279">
        <f t="shared" ca="1" si="96"/>
        <v>0</v>
      </c>
    </row>
    <row r="24" spans="1:105" s="276" customFormat="1" ht="15" customHeight="1">
      <c r="A24" s="63">
        <f t="array" aca="1" ref="A24" ca="1">IF(C24&lt;&gt;0,SUM(($C$11:C24&lt;&gt;0)*1),"")</f>
        <v>14</v>
      </c>
      <c r="B24" s="277" t="str">
        <f ca="1">IF(ROWS($1:14)&gt;COUNT(Dong6),"",OFFSET(TH!C$1,SMALL(Dong6,ROWS($1:14)),))</f>
        <v/>
      </c>
      <c r="C24" s="277" t="str">
        <f ca="1">IF(ROWS($1:14)&gt;COUNT(Dong6),"",OFFSET(TH!D$1,SMALL(Dong6,ROWS($1:14)),))</f>
        <v/>
      </c>
      <c r="D24" s="277" t="str">
        <f ca="1">IF(ROWS($1:14)&gt;COUNT(Dong6),"",OFFSET(TH!E$1,SMALL(Dong6,ROWS($1:14)),))</f>
        <v/>
      </c>
      <c r="E24" s="327" t="str">
        <f ca="1">IF(ROWS($1:14)&gt;COUNT(Dong6),"",OFFSET(TH!F$1,SMALL(Dong6,ROWS($1:14)),))</f>
        <v/>
      </c>
      <c r="F24" s="328" t="str">
        <f ca="1">IF(ROWS($1:14)&gt;COUNT(Dong6),"",OFFSET(TH!M$1,SMALL(Dong6,ROWS($1:14)),))</f>
        <v/>
      </c>
      <c r="G24" s="329" t="str">
        <f ca="1">IF(ROWS($1:14)&gt;COUNT(Dong6),"",OFFSET(TH!N$1,SMALL(Dong6,ROWS($1:14)),))</f>
        <v/>
      </c>
      <c r="H24" s="329" t="str">
        <f ca="1">IF(ROWS($1:14)&gt;COUNT(Dong6),"",OFFSET(TH!O$1,SMALL(Dong6,ROWS($1:14)),))</f>
        <v/>
      </c>
      <c r="I24" s="63">
        <f t="shared" ca="1" si="0"/>
        <v>14</v>
      </c>
      <c r="J24" s="279">
        <f t="shared" ca="1" si="61"/>
        <v>0</v>
      </c>
      <c r="K24" s="279">
        <f t="shared" ca="1" si="62"/>
        <v>0</v>
      </c>
      <c r="L24" s="279">
        <f t="shared" ca="1" si="1"/>
        <v>0</v>
      </c>
      <c r="M24" s="279">
        <f t="shared" ca="1" si="2"/>
        <v>0</v>
      </c>
      <c r="N24" s="279">
        <f t="shared" ca="1" si="3"/>
        <v>0</v>
      </c>
      <c r="O24" s="279">
        <f t="shared" ca="1" si="4"/>
        <v>0</v>
      </c>
      <c r="P24" s="279">
        <f t="shared" ca="1" si="5"/>
        <v>0</v>
      </c>
      <c r="Q24" s="279">
        <f t="shared" ca="1" si="6"/>
        <v>0</v>
      </c>
      <c r="R24" s="279">
        <f t="shared" ca="1" si="7"/>
        <v>0</v>
      </c>
      <c r="S24" s="279">
        <f t="shared" ca="1" si="8"/>
        <v>0</v>
      </c>
      <c r="T24" s="279">
        <f t="shared" ca="1" si="9"/>
        <v>0</v>
      </c>
      <c r="U24" s="279">
        <f t="shared" ca="1" si="10"/>
        <v>0</v>
      </c>
      <c r="V24" s="279">
        <f t="shared" ca="1" si="11"/>
        <v>0</v>
      </c>
      <c r="W24" s="279">
        <f t="shared" ca="1" si="12"/>
        <v>0</v>
      </c>
      <c r="X24" s="279">
        <f t="shared" ca="1" si="13"/>
        <v>0</v>
      </c>
      <c r="Y24" s="279">
        <f t="shared" ca="1" si="14"/>
        <v>0</v>
      </c>
      <c r="Z24" s="279">
        <f t="shared" ca="1" si="15"/>
        <v>0</v>
      </c>
      <c r="AA24" s="279">
        <f t="shared" ca="1" si="16"/>
        <v>0</v>
      </c>
      <c r="AB24" s="279">
        <f t="shared" ca="1" si="63"/>
        <v>0</v>
      </c>
      <c r="AC24" s="279">
        <f t="shared" ca="1" si="64"/>
        <v>0</v>
      </c>
      <c r="AD24" s="279">
        <f t="shared" ca="1" si="17"/>
        <v>0</v>
      </c>
      <c r="AE24" s="279">
        <f t="shared" ca="1" si="18"/>
        <v>0</v>
      </c>
      <c r="AF24" s="279">
        <f t="shared" ca="1" si="19"/>
        <v>0</v>
      </c>
      <c r="AG24" s="279">
        <f t="shared" ca="1" si="20"/>
        <v>0</v>
      </c>
      <c r="AH24" s="279">
        <f t="shared" ca="1" si="65"/>
        <v>0</v>
      </c>
      <c r="AI24" s="279">
        <f t="shared" ca="1" si="66"/>
        <v>0</v>
      </c>
      <c r="AJ24" s="279">
        <f t="shared" ca="1" si="67"/>
        <v>0</v>
      </c>
      <c r="AK24" s="279">
        <f t="shared" ca="1" si="68"/>
        <v>0</v>
      </c>
      <c r="AL24" s="279">
        <f t="shared" ca="1" si="69"/>
        <v>0</v>
      </c>
      <c r="AM24" s="279">
        <f t="shared" ca="1" si="70"/>
        <v>0</v>
      </c>
      <c r="AN24" s="279">
        <f t="shared" ca="1" si="71"/>
        <v>0</v>
      </c>
      <c r="AO24" s="279">
        <f t="shared" ca="1" si="72"/>
        <v>0</v>
      </c>
      <c r="AP24" s="279">
        <f t="shared" ca="1" si="21"/>
        <v>0</v>
      </c>
      <c r="AQ24" s="279">
        <f t="shared" ca="1" si="22"/>
        <v>0</v>
      </c>
      <c r="AR24" s="279">
        <f t="shared" ca="1" si="23"/>
        <v>0</v>
      </c>
      <c r="AS24" s="279">
        <f t="shared" ca="1" si="24"/>
        <v>0</v>
      </c>
      <c r="AT24" s="279">
        <f t="shared" ca="1" si="73"/>
        <v>0</v>
      </c>
      <c r="AU24" s="279">
        <f t="shared" ca="1" si="74"/>
        <v>0</v>
      </c>
      <c r="AV24" s="279">
        <f t="shared" ca="1" si="25"/>
        <v>0</v>
      </c>
      <c r="AW24" s="279">
        <f t="shared" ca="1" si="26"/>
        <v>0</v>
      </c>
      <c r="AX24" s="279">
        <f t="shared" ca="1" si="27"/>
        <v>0</v>
      </c>
      <c r="AY24" s="279">
        <f t="shared" ca="1" si="28"/>
        <v>0</v>
      </c>
      <c r="AZ24" s="279">
        <f t="shared" ca="1" si="29"/>
        <v>0</v>
      </c>
      <c r="BA24" s="279">
        <f t="shared" ca="1" si="30"/>
        <v>0</v>
      </c>
      <c r="BB24" s="279">
        <f t="shared" ca="1" si="31"/>
        <v>0</v>
      </c>
      <c r="BC24" s="279">
        <f t="shared" ca="1" si="32"/>
        <v>0</v>
      </c>
      <c r="BD24" s="279">
        <f t="shared" ca="1" si="33"/>
        <v>0</v>
      </c>
      <c r="BE24" s="279">
        <f t="shared" ca="1" si="34"/>
        <v>0</v>
      </c>
      <c r="BF24" s="279">
        <f t="shared" ca="1" si="35"/>
        <v>0</v>
      </c>
      <c r="BG24" s="279">
        <f t="shared" ca="1" si="36"/>
        <v>0</v>
      </c>
      <c r="BH24" s="279">
        <f t="shared" ca="1" si="75"/>
        <v>0</v>
      </c>
      <c r="BI24" s="279">
        <f t="shared" ca="1" si="76"/>
        <v>0</v>
      </c>
      <c r="BJ24" s="279">
        <f t="shared" ca="1" si="37"/>
        <v>0</v>
      </c>
      <c r="BK24" s="279">
        <f t="shared" ca="1" si="38"/>
        <v>0</v>
      </c>
      <c r="BL24" s="279">
        <f t="shared" ca="1" si="39"/>
        <v>0</v>
      </c>
      <c r="BM24" s="279">
        <f t="shared" ca="1" si="40"/>
        <v>0</v>
      </c>
      <c r="BN24" s="279">
        <f t="shared" ca="1" si="41"/>
        <v>0</v>
      </c>
      <c r="BO24" s="279">
        <f t="shared" ca="1" si="42"/>
        <v>0</v>
      </c>
      <c r="BP24" s="279">
        <f t="shared" ca="1" si="77"/>
        <v>0</v>
      </c>
      <c r="BQ24" s="279">
        <f t="shared" ca="1" si="78"/>
        <v>0</v>
      </c>
      <c r="BR24" s="279">
        <f t="shared" ca="1" si="43"/>
        <v>0</v>
      </c>
      <c r="BS24" s="279">
        <f t="shared" ca="1" si="44"/>
        <v>0</v>
      </c>
      <c r="BT24" s="279">
        <f t="shared" ca="1" si="79"/>
        <v>0</v>
      </c>
      <c r="BU24" s="279">
        <f t="shared" ca="1" si="80"/>
        <v>0</v>
      </c>
      <c r="BV24" s="279">
        <f t="shared" ca="1" si="81"/>
        <v>0</v>
      </c>
      <c r="BW24" s="279">
        <f t="shared" ca="1" si="82"/>
        <v>0</v>
      </c>
      <c r="BX24" s="279">
        <f t="shared" ca="1" si="45"/>
        <v>0</v>
      </c>
      <c r="BY24" s="279">
        <f t="shared" ca="1" si="46"/>
        <v>0</v>
      </c>
      <c r="BZ24" s="279">
        <f t="shared" ca="1" si="47"/>
        <v>0</v>
      </c>
      <c r="CA24" s="279">
        <f t="shared" ca="1" si="48"/>
        <v>0</v>
      </c>
      <c r="CB24" s="279">
        <f t="shared" ca="1" si="49"/>
        <v>0</v>
      </c>
      <c r="CC24" s="279">
        <f t="shared" ca="1" si="50"/>
        <v>0</v>
      </c>
      <c r="CD24" s="279">
        <f t="shared" ca="1" si="83"/>
        <v>0</v>
      </c>
      <c r="CE24" s="279">
        <f t="shared" ca="1" si="84"/>
        <v>0</v>
      </c>
      <c r="CF24" s="279">
        <f t="shared" ca="1" si="85"/>
        <v>0</v>
      </c>
      <c r="CG24" s="279">
        <f t="shared" ca="1" si="86"/>
        <v>0</v>
      </c>
      <c r="CH24" s="279">
        <f t="shared" ca="1" si="51"/>
        <v>0</v>
      </c>
      <c r="CI24" s="279">
        <f t="shared" ca="1" si="52"/>
        <v>0</v>
      </c>
      <c r="CJ24" s="279">
        <f t="shared" ca="1" si="87"/>
        <v>0</v>
      </c>
      <c r="CK24" s="279">
        <f t="shared" ca="1" si="88"/>
        <v>0</v>
      </c>
      <c r="CL24" s="279">
        <f t="shared" ca="1" si="53"/>
        <v>0</v>
      </c>
      <c r="CM24" s="279">
        <f t="shared" ca="1" si="54"/>
        <v>0</v>
      </c>
      <c r="CN24" s="279">
        <f t="shared" ca="1" si="55"/>
        <v>0</v>
      </c>
      <c r="CO24" s="279">
        <f t="shared" ca="1" si="56"/>
        <v>0</v>
      </c>
      <c r="CP24" s="279">
        <f t="shared" ca="1" si="89"/>
        <v>0</v>
      </c>
      <c r="CQ24" s="279">
        <f t="shared" ca="1" si="90"/>
        <v>0</v>
      </c>
      <c r="CR24" s="279">
        <f t="shared" ca="1" si="91"/>
        <v>0</v>
      </c>
      <c r="CS24" s="279">
        <f t="shared" ca="1" si="92"/>
        <v>0</v>
      </c>
      <c r="CT24" s="279">
        <f t="shared" ca="1" si="57"/>
        <v>0</v>
      </c>
      <c r="CU24" s="279">
        <f t="shared" ca="1" si="58"/>
        <v>0</v>
      </c>
      <c r="CV24" s="279">
        <f t="shared" ca="1" si="59"/>
        <v>0</v>
      </c>
      <c r="CW24" s="279">
        <f t="shared" ca="1" si="60"/>
        <v>0</v>
      </c>
      <c r="CX24" s="279">
        <f t="shared" ca="1" si="93"/>
        <v>0</v>
      </c>
      <c r="CY24" s="279">
        <f t="shared" ca="1" si="94"/>
        <v>0</v>
      </c>
      <c r="CZ24" s="279">
        <f t="shared" ca="1" si="95"/>
        <v>0</v>
      </c>
      <c r="DA24" s="279">
        <f t="shared" ca="1" si="96"/>
        <v>0</v>
      </c>
    </row>
    <row r="25" spans="1:105" s="276" customFormat="1" ht="15" customHeight="1">
      <c r="A25" s="63">
        <f t="array" aca="1" ref="A25" ca="1">IF(C25&lt;&gt;0,SUM(($C$11:C25&lt;&gt;0)*1),"")</f>
        <v>15</v>
      </c>
      <c r="B25" s="277" t="str">
        <f ca="1">IF(ROWS($1:15)&gt;COUNT(Dong6),"",OFFSET(TH!C$1,SMALL(Dong6,ROWS($1:15)),))</f>
        <v/>
      </c>
      <c r="C25" s="277" t="str">
        <f ca="1">IF(ROWS($1:15)&gt;COUNT(Dong6),"",OFFSET(TH!D$1,SMALL(Dong6,ROWS($1:15)),))</f>
        <v/>
      </c>
      <c r="D25" s="277" t="str">
        <f ca="1">IF(ROWS($1:15)&gt;COUNT(Dong6),"",OFFSET(TH!E$1,SMALL(Dong6,ROWS($1:15)),))</f>
        <v/>
      </c>
      <c r="E25" s="327" t="str">
        <f ca="1">IF(ROWS($1:15)&gt;COUNT(Dong6),"",OFFSET(TH!F$1,SMALL(Dong6,ROWS($1:15)),))</f>
        <v/>
      </c>
      <c r="F25" s="328" t="str">
        <f ca="1">IF(ROWS($1:15)&gt;COUNT(Dong6),"",OFFSET(TH!M$1,SMALL(Dong6,ROWS($1:15)),))</f>
        <v/>
      </c>
      <c r="G25" s="329" t="str">
        <f ca="1">IF(ROWS($1:15)&gt;COUNT(Dong6),"",OFFSET(TH!N$1,SMALL(Dong6,ROWS($1:15)),))</f>
        <v/>
      </c>
      <c r="H25" s="329" t="str">
        <f ca="1">IF(ROWS($1:15)&gt;COUNT(Dong6),"",OFFSET(TH!O$1,SMALL(Dong6,ROWS($1:15)),))</f>
        <v/>
      </c>
      <c r="I25" s="63">
        <f t="shared" ca="1" si="0"/>
        <v>15</v>
      </c>
      <c r="J25" s="279">
        <f t="shared" ca="1" si="61"/>
        <v>0</v>
      </c>
      <c r="K25" s="279">
        <f t="shared" ca="1" si="62"/>
        <v>0</v>
      </c>
      <c r="L25" s="279">
        <f t="shared" ca="1" si="1"/>
        <v>0</v>
      </c>
      <c r="M25" s="279">
        <f t="shared" ca="1" si="2"/>
        <v>0</v>
      </c>
      <c r="N25" s="279">
        <f t="shared" ca="1" si="3"/>
        <v>0</v>
      </c>
      <c r="O25" s="279">
        <f t="shared" ca="1" si="4"/>
        <v>0</v>
      </c>
      <c r="P25" s="279">
        <f t="shared" ca="1" si="5"/>
        <v>0</v>
      </c>
      <c r="Q25" s="279">
        <f t="shared" ca="1" si="6"/>
        <v>0</v>
      </c>
      <c r="R25" s="279">
        <f t="shared" ca="1" si="7"/>
        <v>0</v>
      </c>
      <c r="S25" s="279">
        <f t="shared" ca="1" si="8"/>
        <v>0</v>
      </c>
      <c r="T25" s="279">
        <f t="shared" ca="1" si="9"/>
        <v>0</v>
      </c>
      <c r="U25" s="279">
        <f t="shared" ca="1" si="10"/>
        <v>0</v>
      </c>
      <c r="V25" s="279">
        <f t="shared" ca="1" si="11"/>
        <v>0</v>
      </c>
      <c r="W25" s="279">
        <f t="shared" ca="1" si="12"/>
        <v>0</v>
      </c>
      <c r="X25" s="279">
        <f t="shared" ca="1" si="13"/>
        <v>0</v>
      </c>
      <c r="Y25" s="279">
        <f t="shared" ca="1" si="14"/>
        <v>0</v>
      </c>
      <c r="Z25" s="279">
        <f t="shared" ca="1" si="15"/>
        <v>0</v>
      </c>
      <c r="AA25" s="279">
        <f t="shared" ca="1" si="16"/>
        <v>0</v>
      </c>
      <c r="AB25" s="279">
        <f t="shared" ca="1" si="63"/>
        <v>0</v>
      </c>
      <c r="AC25" s="279">
        <f t="shared" ca="1" si="64"/>
        <v>0</v>
      </c>
      <c r="AD25" s="279">
        <f t="shared" ca="1" si="17"/>
        <v>0</v>
      </c>
      <c r="AE25" s="279">
        <f t="shared" ca="1" si="18"/>
        <v>0</v>
      </c>
      <c r="AF25" s="279">
        <f t="shared" ca="1" si="19"/>
        <v>0</v>
      </c>
      <c r="AG25" s="279">
        <f t="shared" ca="1" si="20"/>
        <v>0</v>
      </c>
      <c r="AH25" s="279">
        <f t="shared" ca="1" si="65"/>
        <v>0</v>
      </c>
      <c r="AI25" s="279">
        <f t="shared" ca="1" si="66"/>
        <v>0</v>
      </c>
      <c r="AJ25" s="279">
        <f t="shared" ca="1" si="67"/>
        <v>0</v>
      </c>
      <c r="AK25" s="279">
        <f t="shared" ca="1" si="68"/>
        <v>0</v>
      </c>
      <c r="AL25" s="279">
        <f t="shared" ca="1" si="69"/>
        <v>0</v>
      </c>
      <c r="AM25" s="279">
        <f t="shared" ca="1" si="70"/>
        <v>0</v>
      </c>
      <c r="AN25" s="279">
        <f t="shared" ca="1" si="71"/>
        <v>0</v>
      </c>
      <c r="AO25" s="279">
        <f t="shared" ca="1" si="72"/>
        <v>0</v>
      </c>
      <c r="AP25" s="279">
        <f t="shared" ca="1" si="21"/>
        <v>0</v>
      </c>
      <c r="AQ25" s="279">
        <f t="shared" ca="1" si="22"/>
        <v>0</v>
      </c>
      <c r="AR25" s="279">
        <f t="shared" ca="1" si="23"/>
        <v>0</v>
      </c>
      <c r="AS25" s="279">
        <f t="shared" ca="1" si="24"/>
        <v>0</v>
      </c>
      <c r="AT25" s="279">
        <f t="shared" ca="1" si="73"/>
        <v>0</v>
      </c>
      <c r="AU25" s="279">
        <f t="shared" ca="1" si="74"/>
        <v>0</v>
      </c>
      <c r="AV25" s="279">
        <f t="shared" ca="1" si="25"/>
        <v>0</v>
      </c>
      <c r="AW25" s="279">
        <f t="shared" ca="1" si="26"/>
        <v>0</v>
      </c>
      <c r="AX25" s="279">
        <f t="shared" ca="1" si="27"/>
        <v>0</v>
      </c>
      <c r="AY25" s="279">
        <f t="shared" ca="1" si="28"/>
        <v>0</v>
      </c>
      <c r="AZ25" s="279">
        <f t="shared" ca="1" si="29"/>
        <v>0</v>
      </c>
      <c r="BA25" s="279">
        <f t="shared" ca="1" si="30"/>
        <v>0</v>
      </c>
      <c r="BB25" s="279">
        <f t="shared" ca="1" si="31"/>
        <v>0</v>
      </c>
      <c r="BC25" s="279">
        <f t="shared" ca="1" si="32"/>
        <v>0</v>
      </c>
      <c r="BD25" s="279">
        <f t="shared" ca="1" si="33"/>
        <v>0</v>
      </c>
      <c r="BE25" s="279">
        <f t="shared" ca="1" si="34"/>
        <v>0</v>
      </c>
      <c r="BF25" s="279">
        <f t="shared" ca="1" si="35"/>
        <v>0</v>
      </c>
      <c r="BG25" s="279">
        <f t="shared" ca="1" si="36"/>
        <v>0</v>
      </c>
      <c r="BH25" s="279">
        <f t="shared" ca="1" si="75"/>
        <v>0</v>
      </c>
      <c r="BI25" s="279">
        <f t="shared" ca="1" si="76"/>
        <v>0</v>
      </c>
      <c r="BJ25" s="279">
        <f t="shared" ca="1" si="37"/>
        <v>0</v>
      </c>
      <c r="BK25" s="279">
        <f t="shared" ca="1" si="38"/>
        <v>0</v>
      </c>
      <c r="BL25" s="279">
        <f t="shared" ca="1" si="39"/>
        <v>0</v>
      </c>
      <c r="BM25" s="279">
        <f t="shared" ca="1" si="40"/>
        <v>0</v>
      </c>
      <c r="BN25" s="279">
        <f t="shared" ca="1" si="41"/>
        <v>0</v>
      </c>
      <c r="BO25" s="279">
        <f t="shared" ca="1" si="42"/>
        <v>0</v>
      </c>
      <c r="BP25" s="279">
        <f t="shared" ca="1" si="77"/>
        <v>0</v>
      </c>
      <c r="BQ25" s="279">
        <f t="shared" ca="1" si="78"/>
        <v>0</v>
      </c>
      <c r="BR25" s="279">
        <f t="shared" ca="1" si="43"/>
        <v>0</v>
      </c>
      <c r="BS25" s="279">
        <f t="shared" ca="1" si="44"/>
        <v>0</v>
      </c>
      <c r="BT25" s="279">
        <f t="shared" ca="1" si="79"/>
        <v>0</v>
      </c>
      <c r="BU25" s="279">
        <f t="shared" ca="1" si="80"/>
        <v>0</v>
      </c>
      <c r="BV25" s="279">
        <f t="shared" ca="1" si="81"/>
        <v>0</v>
      </c>
      <c r="BW25" s="279">
        <f t="shared" ca="1" si="82"/>
        <v>0</v>
      </c>
      <c r="BX25" s="279">
        <f t="shared" ca="1" si="45"/>
        <v>0</v>
      </c>
      <c r="BY25" s="279">
        <f t="shared" ca="1" si="46"/>
        <v>0</v>
      </c>
      <c r="BZ25" s="279">
        <f t="shared" ca="1" si="47"/>
        <v>0</v>
      </c>
      <c r="CA25" s="279">
        <f t="shared" ca="1" si="48"/>
        <v>0</v>
      </c>
      <c r="CB25" s="279">
        <f t="shared" ca="1" si="49"/>
        <v>0</v>
      </c>
      <c r="CC25" s="279">
        <f t="shared" ca="1" si="50"/>
        <v>0</v>
      </c>
      <c r="CD25" s="279">
        <f t="shared" ca="1" si="83"/>
        <v>0</v>
      </c>
      <c r="CE25" s="279">
        <f t="shared" ca="1" si="84"/>
        <v>0</v>
      </c>
      <c r="CF25" s="279">
        <f t="shared" ca="1" si="85"/>
        <v>0</v>
      </c>
      <c r="CG25" s="279">
        <f t="shared" ca="1" si="86"/>
        <v>0</v>
      </c>
      <c r="CH25" s="279">
        <f t="shared" ca="1" si="51"/>
        <v>0</v>
      </c>
      <c r="CI25" s="279">
        <f t="shared" ca="1" si="52"/>
        <v>0</v>
      </c>
      <c r="CJ25" s="279">
        <f t="shared" ca="1" si="87"/>
        <v>0</v>
      </c>
      <c r="CK25" s="279">
        <f t="shared" ca="1" si="88"/>
        <v>0</v>
      </c>
      <c r="CL25" s="279">
        <f t="shared" ca="1" si="53"/>
        <v>0</v>
      </c>
      <c r="CM25" s="279">
        <f t="shared" ca="1" si="54"/>
        <v>0</v>
      </c>
      <c r="CN25" s="279">
        <f t="shared" ca="1" si="55"/>
        <v>0</v>
      </c>
      <c r="CO25" s="279">
        <f t="shared" ca="1" si="56"/>
        <v>0</v>
      </c>
      <c r="CP25" s="279">
        <f t="shared" ca="1" si="89"/>
        <v>0</v>
      </c>
      <c r="CQ25" s="279">
        <f t="shared" ca="1" si="90"/>
        <v>0</v>
      </c>
      <c r="CR25" s="279">
        <f t="shared" ca="1" si="91"/>
        <v>0</v>
      </c>
      <c r="CS25" s="279">
        <f t="shared" ca="1" si="92"/>
        <v>0</v>
      </c>
      <c r="CT25" s="279">
        <f t="shared" ca="1" si="57"/>
        <v>0</v>
      </c>
      <c r="CU25" s="279">
        <f t="shared" ca="1" si="58"/>
        <v>0</v>
      </c>
      <c r="CV25" s="279">
        <f t="shared" ca="1" si="59"/>
        <v>0</v>
      </c>
      <c r="CW25" s="279">
        <f t="shared" ca="1" si="60"/>
        <v>0</v>
      </c>
      <c r="CX25" s="279">
        <f t="shared" ca="1" si="93"/>
        <v>0</v>
      </c>
      <c r="CY25" s="279">
        <f t="shared" ca="1" si="94"/>
        <v>0</v>
      </c>
      <c r="CZ25" s="279">
        <f t="shared" ca="1" si="95"/>
        <v>0</v>
      </c>
      <c r="DA25" s="279">
        <f t="shared" ca="1" si="96"/>
        <v>0</v>
      </c>
    </row>
    <row r="26" spans="1:105" s="276" customFormat="1" ht="15" customHeight="1">
      <c r="A26" s="63">
        <f t="array" aca="1" ref="A26" ca="1">IF(C26&lt;&gt;0,SUM(($C$11:C26&lt;&gt;0)*1),"")</f>
        <v>16</v>
      </c>
      <c r="B26" s="277" t="str">
        <f ca="1">IF(ROWS($1:16)&gt;COUNT(Dong6),"",OFFSET(TH!C$1,SMALL(Dong6,ROWS($1:16)),))</f>
        <v/>
      </c>
      <c r="C26" s="277" t="str">
        <f ca="1">IF(ROWS($1:16)&gt;COUNT(Dong6),"",OFFSET(TH!D$1,SMALL(Dong6,ROWS($1:16)),))</f>
        <v/>
      </c>
      <c r="D26" s="277" t="str">
        <f ca="1">IF(ROWS($1:16)&gt;COUNT(Dong6),"",OFFSET(TH!E$1,SMALL(Dong6,ROWS($1:16)),))</f>
        <v/>
      </c>
      <c r="E26" s="327" t="str">
        <f ca="1">IF(ROWS($1:16)&gt;COUNT(Dong6),"",OFFSET(TH!F$1,SMALL(Dong6,ROWS($1:16)),))</f>
        <v/>
      </c>
      <c r="F26" s="328" t="str">
        <f ca="1">IF(ROWS($1:16)&gt;COUNT(Dong6),"",OFFSET(TH!M$1,SMALL(Dong6,ROWS($1:16)),))</f>
        <v/>
      </c>
      <c r="G26" s="329" t="str">
        <f ca="1">IF(ROWS($1:16)&gt;COUNT(Dong6),"",OFFSET(TH!N$1,SMALL(Dong6,ROWS($1:16)),))</f>
        <v/>
      </c>
      <c r="H26" s="329" t="str">
        <f ca="1">IF(ROWS($1:16)&gt;COUNT(Dong6),"",OFFSET(TH!O$1,SMALL(Dong6,ROWS($1:16)),))</f>
        <v/>
      </c>
      <c r="I26" s="63">
        <f t="shared" ca="1" si="0"/>
        <v>16</v>
      </c>
      <c r="J26" s="279">
        <f t="shared" ca="1" si="61"/>
        <v>0</v>
      </c>
      <c r="K26" s="279">
        <f t="shared" ca="1" si="62"/>
        <v>0</v>
      </c>
      <c r="L26" s="279">
        <f t="shared" ca="1" si="1"/>
        <v>0</v>
      </c>
      <c r="M26" s="279">
        <f t="shared" ca="1" si="2"/>
        <v>0</v>
      </c>
      <c r="N26" s="279">
        <f t="shared" ca="1" si="3"/>
        <v>0</v>
      </c>
      <c r="O26" s="279">
        <f t="shared" ca="1" si="4"/>
        <v>0</v>
      </c>
      <c r="P26" s="279">
        <f t="shared" ca="1" si="5"/>
        <v>0</v>
      </c>
      <c r="Q26" s="279">
        <f t="shared" ca="1" si="6"/>
        <v>0</v>
      </c>
      <c r="R26" s="279">
        <f t="shared" ca="1" si="7"/>
        <v>0</v>
      </c>
      <c r="S26" s="279">
        <f t="shared" ca="1" si="8"/>
        <v>0</v>
      </c>
      <c r="T26" s="279">
        <f t="shared" ca="1" si="9"/>
        <v>0</v>
      </c>
      <c r="U26" s="279">
        <f t="shared" ca="1" si="10"/>
        <v>0</v>
      </c>
      <c r="V26" s="279">
        <f t="shared" ca="1" si="11"/>
        <v>0</v>
      </c>
      <c r="W26" s="279">
        <f t="shared" ca="1" si="12"/>
        <v>0</v>
      </c>
      <c r="X26" s="279">
        <f t="shared" ca="1" si="13"/>
        <v>0</v>
      </c>
      <c r="Y26" s="279">
        <f t="shared" ca="1" si="14"/>
        <v>0</v>
      </c>
      <c r="Z26" s="279">
        <f t="shared" ca="1" si="15"/>
        <v>0</v>
      </c>
      <c r="AA26" s="279">
        <f t="shared" ca="1" si="16"/>
        <v>0</v>
      </c>
      <c r="AB26" s="279">
        <f t="shared" ca="1" si="63"/>
        <v>0</v>
      </c>
      <c r="AC26" s="279">
        <f t="shared" ca="1" si="64"/>
        <v>0</v>
      </c>
      <c r="AD26" s="279">
        <f t="shared" ca="1" si="17"/>
        <v>0</v>
      </c>
      <c r="AE26" s="279">
        <f t="shared" ca="1" si="18"/>
        <v>0</v>
      </c>
      <c r="AF26" s="279">
        <f t="shared" ca="1" si="19"/>
        <v>0</v>
      </c>
      <c r="AG26" s="279">
        <f t="shared" ca="1" si="20"/>
        <v>0</v>
      </c>
      <c r="AH26" s="279">
        <f t="shared" ca="1" si="65"/>
        <v>0</v>
      </c>
      <c r="AI26" s="279">
        <f t="shared" ca="1" si="66"/>
        <v>0</v>
      </c>
      <c r="AJ26" s="279">
        <f t="shared" ca="1" si="67"/>
        <v>0</v>
      </c>
      <c r="AK26" s="279">
        <f t="shared" ca="1" si="68"/>
        <v>0</v>
      </c>
      <c r="AL26" s="279">
        <f t="shared" ca="1" si="69"/>
        <v>0</v>
      </c>
      <c r="AM26" s="279">
        <f t="shared" ca="1" si="70"/>
        <v>0</v>
      </c>
      <c r="AN26" s="279">
        <f t="shared" ca="1" si="71"/>
        <v>0</v>
      </c>
      <c r="AO26" s="279">
        <f t="shared" ca="1" si="72"/>
        <v>0</v>
      </c>
      <c r="AP26" s="279">
        <f t="shared" ca="1" si="21"/>
        <v>0</v>
      </c>
      <c r="AQ26" s="279">
        <f t="shared" ca="1" si="22"/>
        <v>0</v>
      </c>
      <c r="AR26" s="279">
        <f t="shared" ca="1" si="23"/>
        <v>0</v>
      </c>
      <c r="AS26" s="279">
        <f t="shared" ca="1" si="24"/>
        <v>0</v>
      </c>
      <c r="AT26" s="279">
        <f t="shared" ca="1" si="73"/>
        <v>0</v>
      </c>
      <c r="AU26" s="279">
        <f t="shared" ca="1" si="74"/>
        <v>0</v>
      </c>
      <c r="AV26" s="279">
        <f t="shared" ca="1" si="25"/>
        <v>0</v>
      </c>
      <c r="AW26" s="279">
        <f t="shared" ca="1" si="26"/>
        <v>0</v>
      </c>
      <c r="AX26" s="279">
        <f t="shared" ca="1" si="27"/>
        <v>0</v>
      </c>
      <c r="AY26" s="279">
        <f t="shared" ca="1" si="28"/>
        <v>0</v>
      </c>
      <c r="AZ26" s="279">
        <f t="shared" ca="1" si="29"/>
        <v>0</v>
      </c>
      <c r="BA26" s="279">
        <f t="shared" ca="1" si="30"/>
        <v>0</v>
      </c>
      <c r="BB26" s="279">
        <f t="shared" ca="1" si="31"/>
        <v>0</v>
      </c>
      <c r="BC26" s="279">
        <f t="shared" ca="1" si="32"/>
        <v>0</v>
      </c>
      <c r="BD26" s="279">
        <f t="shared" ca="1" si="33"/>
        <v>0</v>
      </c>
      <c r="BE26" s="279">
        <f t="shared" ca="1" si="34"/>
        <v>0</v>
      </c>
      <c r="BF26" s="279">
        <f t="shared" ca="1" si="35"/>
        <v>0</v>
      </c>
      <c r="BG26" s="279">
        <f t="shared" ca="1" si="36"/>
        <v>0</v>
      </c>
      <c r="BH26" s="279">
        <f t="shared" ca="1" si="75"/>
        <v>0</v>
      </c>
      <c r="BI26" s="279">
        <f t="shared" ca="1" si="76"/>
        <v>0</v>
      </c>
      <c r="BJ26" s="279">
        <f t="shared" ca="1" si="37"/>
        <v>0</v>
      </c>
      <c r="BK26" s="279">
        <f t="shared" ca="1" si="38"/>
        <v>0</v>
      </c>
      <c r="BL26" s="279">
        <f t="shared" ca="1" si="39"/>
        <v>0</v>
      </c>
      <c r="BM26" s="279">
        <f t="shared" ca="1" si="40"/>
        <v>0</v>
      </c>
      <c r="BN26" s="279">
        <f t="shared" ca="1" si="41"/>
        <v>0</v>
      </c>
      <c r="BO26" s="279">
        <f t="shared" ca="1" si="42"/>
        <v>0</v>
      </c>
      <c r="BP26" s="279">
        <f t="shared" ca="1" si="77"/>
        <v>0</v>
      </c>
      <c r="BQ26" s="279">
        <f t="shared" ca="1" si="78"/>
        <v>0</v>
      </c>
      <c r="BR26" s="279">
        <f t="shared" ca="1" si="43"/>
        <v>0</v>
      </c>
      <c r="BS26" s="279">
        <f t="shared" ca="1" si="44"/>
        <v>0</v>
      </c>
      <c r="BT26" s="279">
        <f t="shared" ca="1" si="79"/>
        <v>0</v>
      </c>
      <c r="BU26" s="279">
        <f t="shared" ca="1" si="80"/>
        <v>0</v>
      </c>
      <c r="BV26" s="279">
        <f t="shared" ca="1" si="81"/>
        <v>0</v>
      </c>
      <c r="BW26" s="279">
        <f t="shared" ca="1" si="82"/>
        <v>0</v>
      </c>
      <c r="BX26" s="279">
        <f t="shared" ca="1" si="45"/>
        <v>0</v>
      </c>
      <c r="BY26" s="279">
        <f t="shared" ca="1" si="46"/>
        <v>0</v>
      </c>
      <c r="BZ26" s="279">
        <f t="shared" ca="1" si="47"/>
        <v>0</v>
      </c>
      <c r="CA26" s="279">
        <f t="shared" ca="1" si="48"/>
        <v>0</v>
      </c>
      <c r="CB26" s="279">
        <f t="shared" ca="1" si="49"/>
        <v>0</v>
      </c>
      <c r="CC26" s="279">
        <f t="shared" ca="1" si="50"/>
        <v>0</v>
      </c>
      <c r="CD26" s="279">
        <f t="shared" ca="1" si="83"/>
        <v>0</v>
      </c>
      <c r="CE26" s="279">
        <f t="shared" ca="1" si="84"/>
        <v>0</v>
      </c>
      <c r="CF26" s="279">
        <f t="shared" ca="1" si="85"/>
        <v>0</v>
      </c>
      <c r="CG26" s="279">
        <f t="shared" ca="1" si="86"/>
        <v>0</v>
      </c>
      <c r="CH26" s="279">
        <f t="shared" ca="1" si="51"/>
        <v>0</v>
      </c>
      <c r="CI26" s="279">
        <f t="shared" ca="1" si="52"/>
        <v>0</v>
      </c>
      <c r="CJ26" s="279">
        <f t="shared" ca="1" si="87"/>
        <v>0</v>
      </c>
      <c r="CK26" s="279">
        <f t="shared" ca="1" si="88"/>
        <v>0</v>
      </c>
      <c r="CL26" s="279">
        <f t="shared" ca="1" si="53"/>
        <v>0</v>
      </c>
      <c r="CM26" s="279">
        <f t="shared" ca="1" si="54"/>
        <v>0</v>
      </c>
      <c r="CN26" s="279">
        <f t="shared" ca="1" si="55"/>
        <v>0</v>
      </c>
      <c r="CO26" s="279">
        <f t="shared" ca="1" si="56"/>
        <v>0</v>
      </c>
      <c r="CP26" s="279">
        <f t="shared" ca="1" si="89"/>
        <v>0</v>
      </c>
      <c r="CQ26" s="279">
        <f t="shared" ca="1" si="90"/>
        <v>0</v>
      </c>
      <c r="CR26" s="279">
        <f t="shared" ca="1" si="91"/>
        <v>0</v>
      </c>
      <c r="CS26" s="279">
        <f t="shared" ca="1" si="92"/>
        <v>0</v>
      </c>
      <c r="CT26" s="279">
        <f t="shared" ca="1" si="57"/>
        <v>0</v>
      </c>
      <c r="CU26" s="279">
        <f t="shared" ca="1" si="58"/>
        <v>0</v>
      </c>
      <c r="CV26" s="279">
        <f t="shared" ca="1" si="59"/>
        <v>0</v>
      </c>
      <c r="CW26" s="279">
        <f t="shared" ca="1" si="60"/>
        <v>0</v>
      </c>
      <c r="CX26" s="279">
        <f t="shared" ca="1" si="93"/>
        <v>0</v>
      </c>
      <c r="CY26" s="279">
        <f t="shared" ca="1" si="94"/>
        <v>0</v>
      </c>
      <c r="CZ26" s="279">
        <f t="shared" ca="1" si="95"/>
        <v>0</v>
      </c>
      <c r="DA26" s="279">
        <f t="shared" ca="1" si="96"/>
        <v>0</v>
      </c>
    </row>
    <row r="27" spans="1:105" s="276" customFormat="1" ht="15" customHeight="1">
      <c r="A27" s="63">
        <f t="array" aca="1" ref="A27" ca="1">IF(C27&lt;&gt;0,SUM(($C$11:C27&lt;&gt;0)*1),"")</f>
        <v>17</v>
      </c>
      <c r="B27" s="277" t="str">
        <f ca="1">IF(ROWS($1:17)&gt;COUNT(Dong6),"",OFFSET(TH!C$1,SMALL(Dong6,ROWS($1:17)),))</f>
        <v/>
      </c>
      <c r="C27" s="277" t="str">
        <f ca="1">IF(ROWS($1:17)&gt;COUNT(Dong6),"",OFFSET(TH!D$1,SMALL(Dong6,ROWS($1:17)),))</f>
        <v/>
      </c>
      <c r="D27" s="277" t="str">
        <f ca="1">IF(ROWS($1:17)&gt;COUNT(Dong6),"",OFFSET(TH!E$1,SMALL(Dong6,ROWS($1:17)),))</f>
        <v/>
      </c>
      <c r="E27" s="327" t="str">
        <f ca="1">IF(ROWS($1:17)&gt;COUNT(Dong6),"",OFFSET(TH!F$1,SMALL(Dong6,ROWS($1:17)),))</f>
        <v/>
      </c>
      <c r="F27" s="328" t="str">
        <f ca="1">IF(ROWS($1:17)&gt;COUNT(Dong6),"",OFFSET(TH!M$1,SMALL(Dong6,ROWS($1:17)),))</f>
        <v/>
      </c>
      <c r="G27" s="329" t="str">
        <f ca="1">IF(ROWS($1:17)&gt;COUNT(Dong6),"",OFFSET(TH!N$1,SMALL(Dong6,ROWS($1:17)),))</f>
        <v/>
      </c>
      <c r="H27" s="329" t="str">
        <f ca="1">IF(ROWS($1:17)&gt;COUNT(Dong6),"",OFFSET(TH!O$1,SMALL(Dong6,ROWS($1:17)),))</f>
        <v/>
      </c>
      <c r="I27" s="63">
        <f t="shared" ca="1" si="0"/>
        <v>17</v>
      </c>
      <c r="J27" s="279">
        <f t="shared" ca="1" si="61"/>
        <v>0</v>
      </c>
      <c r="K27" s="279">
        <f t="shared" ca="1" si="62"/>
        <v>0</v>
      </c>
      <c r="L27" s="279">
        <f t="shared" ca="1" si="1"/>
        <v>0</v>
      </c>
      <c r="M27" s="279">
        <f t="shared" ca="1" si="2"/>
        <v>0</v>
      </c>
      <c r="N27" s="279">
        <f t="shared" ca="1" si="3"/>
        <v>0</v>
      </c>
      <c r="O27" s="279">
        <f t="shared" ca="1" si="4"/>
        <v>0</v>
      </c>
      <c r="P27" s="279">
        <f t="shared" ca="1" si="5"/>
        <v>0</v>
      </c>
      <c r="Q27" s="279">
        <f t="shared" ca="1" si="6"/>
        <v>0</v>
      </c>
      <c r="R27" s="279">
        <f t="shared" ca="1" si="7"/>
        <v>0</v>
      </c>
      <c r="S27" s="279">
        <f t="shared" ca="1" si="8"/>
        <v>0</v>
      </c>
      <c r="T27" s="279">
        <f t="shared" ca="1" si="9"/>
        <v>0</v>
      </c>
      <c r="U27" s="279">
        <f t="shared" ca="1" si="10"/>
        <v>0</v>
      </c>
      <c r="V27" s="279">
        <f t="shared" ca="1" si="11"/>
        <v>0</v>
      </c>
      <c r="W27" s="279">
        <f t="shared" ca="1" si="12"/>
        <v>0</v>
      </c>
      <c r="X27" s="279">
        <f t="shared" ca="1" si="13"/>
        <v>0</v>
      </c>
      <c r="Y27" s="279">
        <f t="shared" ca="1" si="14"/>
        <v>0</v>
      </c>
      <c r="Z27" s="279">
        <f t="shared" ca="1" si="15"/>
        <v>0</v>
      </c>
      <c r="AA27" s="279">
        <f t="shared" ca="1" si="16"/>
        <v>0</v>
      </c>
      <c r="AB27" s="279">
        <f t="shared" ca="1" si="63"/>
        <v>0</v>
      </c>
      <c r="AC27" s="279">
        <f t="shared" ca="1" si="64"/>
        <v>0</v>
      </c>
      <c r="AD27" s="279">
        <f t="shared" ca="1" si="17"/>
        <v>0</v>
      </c>
      <c r="AE27" s="279">
        <f t="shared" ca="1" si="18"/>
        <v>0</v>
      </c>
      <c r="AF27" s="279">
        <f t="shared" ca="1" si="19"/>
        <v>0</v>
      </c>
      <c r="AG27" s="279">
        <f t="shared" ca="1" si="20"/>
        <v>0</v>
      </c>
      <c r="AH27" s="279">
        <f t="shared" ca="1" si="65"/>
        <v>0</v>
      </c>
      <c r="AI27" s="279">
        <f t="shared" ca="1" si="66"/>
        <v>0</v>
      </c>
      <c r="AJ27" s="279">
        <f t="shared" ca="1" si="67"/>
        <v>0</v>
      </c>
      <c r="AK27" s="279">
        <f t="shared" ca="1" si="68"/>
        <v>0</v>
      </c>
      <c r="AL27" s="279">
        <f t="shared" ca="1" si="69"/>
        <v>0</v>
      </c>
      <c r="AM27" s="279">
        <f t="shared" ca="1" si="70"/>
        <v>0</v>
      </c>
      <c r="AN27" s="279">
        <f t="shared" ca="1" si="71"/>
        <v>0</v>
      </c>
      <c r="AO27" s="279">
        <f t="shared" ca="1" si="72"/>
        <v>0</v>
      </c>
      <c r="AP27" s="279">
        <f t="shared" ca="1" si="21"/>
        <v>0</v>
      </c>
      <c r="AQ27" s="279">
        <f t="shared" ca="1" si="22"/>
        <v>0</v>
      </c>
      <c r="AR27" s="279">
        <f t="shared" ca="1" si="23"/>
        <v>0</v>
      </c>
      <c r="AS27" s="279">
        <f t="shared" ca="1" si="24"/>
        <v>0</v>
      </c>
      <c r="AT27" s="279">
        <f t="shared" ca="1" si="73"/>
        <v>0</v>
      </c>
      <c r="AU27" s="279">
        <f t="shared" ca="1" si="74"/>
        <v>0</v>
      </c>
      <c r="AV27" s="279">
        <f t="shared" ca="1" si="25"/>
        <v>0</v>
      </c>
      <c r="AW27" s="279">
        <f t="shared" ca="1" si="26"/>
        <v>0</v>
      </c>
      <c r="AX27" s="279">
        <f t="shared" ca="1" si="27"/>
        <v>0</v>
      </c>
      <c r="AY27" s="279">
        <f t="shared" ca="1" si="28"/>
        <v>0</v>
      </c>
      <c r="AZ27" s="279">
        <f t="shared" ca="1" si="29"/>
        <v>0</v>
      </c>
      <c r="BA27" s="279">
        <f t="shared" ca="1" si="30"/>
        <v>0</v>
      </c>
      <c r="BB27" s="279">
        <f t="shared" ca="1" si="31"/>
        <v>0</v>
      </c>
      <c r="BC27" s="279">
        <f t="shared" ca="1" si="32"/>
        <v>0</v>
      </c>
      <c r="BD27" s="279">
        <f t="shared" ca="1" si="33"/>
        <v>0</v>
      </c>
      <c r="BE27" s="279">
        <f t="shared" ca="1" si="34"/>
        <v>0</v>
      </c>
      <c r="BF27" s="279">
        <f t="shared" ca="1" si="35"/>
        <v>0</v>
      </c>
      <c r="BG27" s="279">
        <f t="shared" ca="1" si="36"/>
        <v>0</v>
      </c>
      <c r="BH27" s="279">
        <f t="shared" ca="1" si="75"/>
        <v>0</v>
      </c>
      <c r="BI27" s="279">
        <f t="shared" ca="1" si="76"/>
        <v>0</v>
      </c>
      <c r="BJ27" s="279">
        <f t="shared" ca="1" si="37"/>
        <v>0</v>
      </c>
      <c r="BK27" s="279">
        <f t="shared" ca="1" si="38"/>
        <v>0</v>
      </c>
      <c r="BL27" s="279">
        <f t="shared" ca="1" si="39"/>
        <v>0</v>
      </c>
      <c r="BM27" s="279">
        <f t="shared" ca="1" si="40"/>
        <v>0</v>
      </c>
      <c r="BN27" s="279">
        <f t="shared" ca="1" si="41"/>
        <v>0</v>
      </c>
      <c r="BO27" s="279">
        <f t="shared" ca="1" si="42"/>
        <v>0</v>
      </c>
      <c r="BP27" s="279">
        <f t="shared" ca="1" si="77"/>
        <v>0</v>
      </c>
      <c r="BQ27" s="279">
        <f t="shared" ca="1" si="78"/>
        <v>0</v>
      </c>
      <c r="BR27" s="279">
        <f t="shared" ca="1" si="43"/>
        <v>0</v>
      </c>
      <c r="BS27" s="279">
        <f t="shared" ca="1" si="44"/>
        <v>0</v>
      </c>
      <c r="BT27" s="279">
        <f t="shared" ca="1" si="79"/>
        <v>0</v>
      </c>
      <c r="BU27" s="279">
        <f t="shared" ca="1" si="80"/>
        <v>0</v>
      </c>
      <c r="BV27" s="279">
        <f t="shared" ca="1" si="81"/>
        <v>0</v>
      </c>
      <c r="BW27" s="279">
        <f t="shared" ca="1" si="82"/>
        <v>0</v>
      </c>
      <c r="BX27" s="279">
        <f t="shared" ca="1" si="45"/>
        <v>0</v>
      </c>
      <c r="BY27" s="279">
        <f t="shared" ca="1" si="46"/>
        <v>0</v>
      </c>
      <c r="BZ27" s="279">
        <f t="shared" ca="1" si="47"/>
        <v>0</v>
      </c>
      <c r="CA27" s="279">
        <f t="shared" ca="1" si="48"/>
        <v>0</v>
      </c>
      <c r="CB27" s="279">
        <f t="shared" ca="1" si="49"/>
        <v>0</v>
      </c>
      <c r="CC27" s="279">
        <f t="shared" ca="1" si="50"/>
        <v>0</v>
      </c>
      <c r="CD27" s="279">
        <f t="shared" ca="1" si="83"/>
        <v>0</v>
      </c>
      <c r="CE27" s="279">
        <f t="shared" ca="1" si="84"/>
        <v>0</v>
      </c>
      <c r="CF27" s="279">
        <f t="shared" ca="1" si="85"/>
        <v>0</v>
      </c>
      <c r="CG27" s="279">
        <f t="shared" ca="1" si="86"/>
        <v>0</v>
      </c>
      <c r="CH27" s="279">
        <f t="shared" ca="1" si="51"/>
        <v>0</v>
      </c>
      <c r="CI27" s="279">
        <f t="shared" ca="1" si="52"/>
        <v>0</v>
      </c>
      <c r="CJ27" s="279">
        <f t="shared" ca="1" si="87"/>
        <v>0</v>
      </c>
      <c r="CK27" s="279">
        <f t="shared" ca="1" si="88"/>
        <v>0</v>
      </c>
      <c r="CL27" s="279">
        <f t="shared" ca="1" si="53"/>
        <v>0</v>
      </c>
      <c r="CM27" s="279">
        <f t="shared" ca="1" si="54"/>
        <v>0</v>
      </c>
      <c r="CN27" s="279">
        <f t="shared" ca="1" si="55"/>
        <v>0</v>
      </c>
      <c r="CO27" s="279">
        <f t="shared" ca="1" si="56"/>
        <v>0</v>
      </c>
      <c r="CP27" s="279">
        <f t="shared" ca="1" si="89"/>
        <v>0</v>
      </c>
      <c r="CQ27" s="279">
        <f t="shared" ca="1" si="90"/>
        <v>0</v>
      </c>
      <c r="CR27" s="279">
        <f t="shared" ca="1" si="91"/>
        <v>0</v>
      </c>
      <c r="CS27" s="279">
        <f t="shared" ca="1" si="92"/>
        <v>0</v>
      </c>
      <c r="CT27" s="279">
        <f t="shared" ca="1" si="57"/>
        <v>0</v>
      </c>
      <c r="CU27" s="279">
        <f t="shared" ca="1" si="58"/>
        <v>0</v>
      </c>
      <c r="CV27" s="279">
        <f t="shared" ca="1" si="59"/>
        <v>0</v>
      </c>
      <c r="CW27" s="279">
        <f t="shared" ca="1" si="60"/>
        <v>0</v>
      </c>
      <c r="CX27" s="279">
        <f t="shared" ca="1" si="93"/>
        <v>0</v>
      </c>
      <c r="CY27" s="279">
        <f t="shared" ca="1" si="94"/>
        <v>0</v>
      </c>
      <c r="CZ27" s="279">
        <f t="shared" ca="1" si="95"/>
        <v>0</v>
      </c>
      <c r="DA27" s="279">
        <f t="shared" ca="1" si="96"/>
        <v>0</v>
      </c>
    </row>
    <row r="28" spans="1:105" s="276" customFormat="1" ht="15" customHeight="1">
      <c r="A28" s="63">
        <f t="array" aca="1" ref="A28" ca="1">IF(C28&lt;&gt;0,SUM(($C$11:C28&lt;&gt;0)*1),"")</f>
        <v>18</v>
      </c>
      <c r="B28" s="277" t="str">
        <f ca="1">IF(ROWS($1:18)&gt;COUNT(Dong6),"",OFFSET(TH!C$1,SMALL(Dong6,ROWS($1:18)),))</f>
        <v/>
      </c>
      <c r="C28" s="277" t="str">
        <f ca="1">IF(ROWS($1:18)&gt;COUNT(Dong6),"",OFFSET(TH!D$1,SMALL(Dong6,ROWS($1:18)),))</f>
        <v/>
      </c>
      <c r="D28" s="277" t="str">
        <f ca="1">IF(ROWS($1:18)&gt;COUNT(Dong6),"",OFFSET(TH!E$1,SMALL(Dong6,ROWS($1:18)),))</f>
        <v/>
      </c>
      <c r="E28" s="327" t="str">
        <f ca="1">IF(ROWS($1:18)&gt;COUNT(Dong6),"",OFFSET(TH!F$1,SMALL(Dong6,ROWS($1:18)),))</f>
        <v/>
      </c>
      <c r="F28" s="328" t="str">
        <f ca="1">IF(ROWS($1:18)&gt;COUNT(Dong6),"",OFFSET(TH!M$1,SMALL(Dong6,ROWS($1:18)),))</f>
        <v/>
      </c>
      <c r="G28" s="329" t="str">
        <f ca="1">IF(ROWS($1:18)&gt;COUNT(Dong6),"",OFFSET(TH!N$1,SMALL(Dong6,ROWS($1:18)),))</f>
        <v/>
      </c>
      <c r="H28" s="329" t="str">
        <f ca="1">IF(ROWS($1:18)&gt;COUNT(Dong6),"",OFFSET(TH!O$1,SMALL(Dong6,ROWS($1:18)),))</f>
        <v/>
      </c>
      <c r="I28" s="63">
        <f t="shared" ca="1" si="0"/>
        <v>18</v>
      </c>
      <c r="J28" s="279">
        <f t="shared" ca="1" si="61"/>
        <v>0</v>
      </c>
      <c r="K28" s="279">
        <f t="shared" ca="1" si="62"/>
        <v>0</v>
      </c>
      <c r="L28" s="279">
        <f t="shared" ca="1" si="1"/>
        <v>0</v>
      </c>
      <c r="M28" s="279">
        <f t="shared" ca="1" si="2"/>
        <v>0</v>
      </c>
      <c r="N28" s="279">
        <f t="shared" ca="1" si="3"/>
        <v>0</v>
      </c>
      <c r="O28" s="279">
        <f t="shared" ca="1" si="4"/>
        <v>0</v>
      </c>
      <c r="P28" s="279">
        <f t="shared" ca="1" si="5"/>
        <v>0</v>
      </c>
      <c r="Q28" s="279">
        <f t="shared" ca="1" si="6"/>
        <v>0</v>
      </c>
      <c r="R28" s="279">
        <f t="shared" ca="1" si="7"/>
        <v>0</v>
      </c>
      <c r="S28" s="279">
        <f t="shared" ca="1" si="8"/>
        <v>0</v>
      </c>
      <c r="T28" s="279">
        <f t="shared" ca="1" si="9"/>
        <v>0</v>
      </c>
      <c r="U28" s="279">
        <f t="shared" ca="1" si="10"/>
        <v>0</v>
      </c>
      <c r="V28" s="279">
        <f t="shared" ca="1" si="11"/>
        <v>0</v>
      </c>
      <c r="W28" s="279">
        <f t="shared" ca="1" si="12"/>
        <v>0</v>
      </c>
      <c r="X28" s="279">
        <f t="shared" ca="1" si="13"/>
        <v>0</v>
      </c>
      <c r="Y28" s="279">
        <f t="shared" ca="1" si="14"/>
        <v>0</v>
      </c>
      <c r="Z28" s="279">
        <f t="shared" ca="1" si="15"/>
        <v>0</v>
      </c>
      <c r="AA28" s="279">
        <f t="shared" ca="1" si="16"/>
        <v>0</v>
      </c>
      <c r="AB28" s="279">
        <f t="shared" ca="1" si="63"/>
        <v>0</v>
      </c>
      <c r="AC28" s="279">
        <f t="shared" ca="1" si="64"/>
        <v>0</v>
      </c>
      <c r="AD28" s="279">
        <f t="shared" ca="1" si="17"/>
        <v>0</v>
      </c>
      <c r="AE28" s="279">
        <f t="shared" ca="1" si="18"/>
        <v>0</v>
      </c>
      <c r="AF28" s="279">
        <f t="shared" ca="1" si="19"/>
        <v>0</v>
      </c>
      <c r="AG28" s="279">
        <f t="shared" ca="1" si="20"/>
        <v>0</v>
      </c>
      <c r="AH28" s="279">
        <f t="shared" ca="1" si="65"/>
        <v>0</v>
      </c>
      <c r="AI28" s="279">
        <f t="shared" ca="1" si="66"/>
        <v>0</v>
      </c>
      <c r="AJ28" s="279">
        <f t="shared" ca="1" si="67"/>
        <v>0</v>
      </c>
      <c r="AK28" s="279">
        <f t="shared" ca="1" si="68"/>
        <v>0</v>
      </c>
      <c r="AL28" s="279">
        <f t="shared" ca="1" si="69"/>
        <v>0</v>
      </c>
      <c r="AM28" s="279">
        <f t="shared" ca="1" si="70"/>
        <v>0</v>
      </c>
      <c r="AN28" s="279">
        <f t="shared" ca="1" si="71"/>
        <v>0</v>
      </c>
      <c r="AO28" s="279">
        <f t="shared" ca="1" si="72"/>
        <v>0</v>
      </c>
      <c r="AP28" s="279">
        <f t="shared" ca="1" si="21"/>
        <v>0</v>
      </c>
      <c r="AQ28" s="279">
        <f t="shared" ca="1" si="22"/>
        <v>0</v>
      </c>
      <c r="AR28" s="279">
        <f t="shared" ca="1" si="23"/>
        <v>0</v>
      </c>
      <c r="AS28" s="279">
        <f t="shared" ca="1" si="24"/>
        <v>0</v>
      </c>
      <c r="AT28" s="279">
        <f t="shared" ca="1" si="73"/>
        <v>0</v>
      </c>
      <c r="AU28" s="279">
        <f t="shared" ca="1" si="74"/>
        <v>0</v>
      </c>
      <c r="AV28" s="279">
        <f t="shared" ca="1" si="25"/>
        <v>0</v>
      </c>
      <c r="AW28" s="279">
        <f t="shared" ca="1" si="26"/>
        <v>0</v>
      </c>
      <c r="AX28" s="279">
        <f t="shared" ca="1" si="27"/>
        <v>0</v>
      </c>
      <c r="AY28" s="279">
        <f t="shared" ca="1" si="28"/>
        <v>0</v>
      </c>
      <c r="AZ28" s="279">
        <f t="shared" ca="1" si="29"/>
        <v>0</v>
      </c>
      <c r="BA28" s="279">
        <f t="shared" ca="1" si="30"/>
        <v>0</v>
      </c>
      <c r="BB28" s="279">
        <f t="shared" ca="1" si="31"/>
        <v>0</v>
      </c>
      <c r="BC28" s="279">
        <f t="shared" ca="1" si="32"/>
        <v>0</v>
      </c>
      <c r="BD28" s="279">
        <f t="shared" ca="1" si="33"/>
        <v>0</v>
      </c>
      <c r="BE28" s="279">
        <f t="shared" ca="1" si="34"/>
        <v>0</v>
      </c>
      <c r="BF28" s="279">
        <f t="shared" ca="1" si="35"/>
        <v>0</v>
      </c>
      <c r="BG28" s="279">
        <f t="shared" ca="1" si="36"/>
        <v>0</v>
      </c>
      <c r="BH28" s="279">
        <f t="shared" ca="1" si="75"/>
        <v>0</v>
      </c>
      <c r="BI28" s="279">
        <f t="shared" ca="1" si="76"/>
        <v>0</v>
      </c>
      <c r="BJ28" s="279">
        <f t="shared" ca="1" si="37"/>
        <v>0</v>
      </c>
      <c r="BK28" s="279">
        <f t="shared" ca="1" si="38"/>
        <v>0</v>
      </c>
      <c r="BL28" s="279">
        <f t="shared" ca="1" si="39"/>
        <v>0</v>
      </c>
      <c r="BM28" s="279">
        <f t="shared" ca="1" si="40"/>
        <v>0</v>
      </c>
      <c r="BN28" s="279">
        <f t="shared" ca="1" si="41"/>
        <v>0</v>
      </c>
      <c r="BO28" s="279">
        <f t="shared" ca="1" si="42"/>
        <v>0</v>
      </c>
      <c r="BP28" s="279">
        <f t="shared" ca="1" si="77"/>
        <v>0</v>
      </c>
      <c r="BQ28" s="279">
        <f t="shared" ca="1" si="78"/>
        <v>0</v>
      </c>
      <c r="BR28" s="279">
        <f t="shared" ca="1" si="43"/>
        <v>0</v>
      </c>
      <c r="BS28" s="279">
        <f t="shared" ca="1" si="44"/>
        <v>0</v>
      </c>
      <c r="BT28" s="279">
        <f t="shared" ca="1" si="79"/>
        <v>0</v>
      </c>
      <c r="BU28" s="279">
        <f t="shared" ca="1" si="80"/>
        <v>0</v>
      </c>
      <c r="BV28" s="279">
        <f t="shared" ca="1" si="81"/>
        <v>0</v>
      </c>
      <c r="BW28" s="279">
        <f t="shared" ca="1" si="82"/>
        <v>0</v>
      </c>
      <c r="BX28" s="279">
        <f t="shared" ca="1" si="45"/>
        <v>0</v>
      </c>
      <c r="BY28" s="279">
        <f t="shared" ca="1" si="46"/>
        <v>0</v>
      </c>
      <c r="BZ28" s="279">
        <f t="shared" ca="1" si="47"/>
        <v>0</v>
      </c>
      <c r="CA28" s="279">
        <f t="shared" ca="1" si="48"/>
        <v>0</v>
      </c>
      <c r="CB28" s="279">
        <f t="shared" ca="1" si="49"/>
        <v>0</v>
      </c>
      <c r="CC28" s="279">
        <f t="shared" ca="1" si="50"/>
        <v>0</v>
      </c>
      <c r="CD28" s="279">
        <f t="shared" ca="1" si="83"/>
        <v>0</v>
      </c>
      <c r="CE28" s="279">
        <f t="shared" ca="1" si="84"/>
        <v>0</v>
      </c>
      <c r="CF28" s="279">
        <f t="shared" ca="1" si="85"/>
        <v>0</v>
      </c>
      <c r="CG28" s="279">
        <f t="shared" ca="1" si="86"/>
        <v>0</v>
      </c>
      <c r="CH28" s="279">
        <f t="shared" ca="1" si="51"/>
        <v>0</v>
      </c>
      <c r="CI28" s="279">
        <f t="shared" ca="1" si="52"/>
        <v>0</v>
      </c>
      <c r="CJ28" s="279">
        <f t="shared" ca="1" si="87"/>
        <v>0</v>
      </c>
      <c r="CK28" s="279">
        <f t="shared" ca="1" si="88"/>
        <v>0</v>
      </c>
      <c r="CL28" s="279">
        <f t="shared" ca="1" si="53"/>
        <v>0</v>
      </c>
      <c r="CM28" s="279">
        <f t="shared" ca="1" si="54"/>
        <v>0</v>
      </c>
      <c r="CN28" s="279">
        <f t="shared" ca="1" si="55"/>
        <v>0</v>
      </c>
      <c r="CO28" s="279">
        <f t="shared" ca="1" si="56"/>
        <v>0</v>
      </c>
      <c r="CP28" s="279">
        <f t="shared" ca="1" si="89"/>
        <v>0</v>
      </c>
      <c r="CQ28" s="279">
        <f t="shared" ca="1" si="90"/>
        <v>0</v>
      </c>
      <c r="CR28" s="279">
        <f t="shared" ca="1" si="91"/>
        <v>0</v>
      </c>
      <c r="CS28" s="279">
        <f t="shared" ca="1" si="92"/>
        <v>0</v>
      </c>
      <c r="CT28" s="279">
        <f t="shared" ca="1" si="57"/>
        <v>0</v>
      </c>
      <c r="CU28" s="279">
        <f t="shared" ca="1" si="58"/>
        <v>0</v>
      </c>
      <c r="CV28" s="279">
        <f t="shared" ca="1" si="59"/>
        <v>0</v>
      </c>
      <c r="CW28" s="279">
        <f t="shared" ca="1" si="60"/>
        <v>0</v>
      </c>
      <c r="CX28" s="279">
        <f t="shared" ca="1" si="93"/>
        <v>0</v>
      </c>
      <c r="CY28" s="279">
        <f t="shared" ca="1" si="94"/>
        <v>0</v>
      </c>
      <c r="CZ28" s="279">
        <f t="shared" ca="1" si="95"/>
        <v>0</v>
      </c>
      <c r="DA28" s="279">
        <f t="shared" ca="1" si="96"/>
        <v>0</v>
      </c>
    </row>
    <row r="29" spans="1:105" s="276" customFormat="1" ht="15" customHeight="1">
      <c r="A29" s="63">
        <f t="array" aca="1" ref="A29" ca="1">IF(C29&lt;&gt;0,SUM(($C$11:C29&lt;&gt;0)*1),"")</f>
        <v>19</v>
      </c>
      <c r="B29" s="277" t="str">
        <f ca="1">IF(ROWS($1:19)&gt;COUNT(Dong6),"",OFFSET(TH!C$1,SMALL(Dong6,ROWS($1:19)),))</f>
        <v/>
      </c>
      <c r="C29" s="277" t="str">
        <f ca="1">IF(ROWS($1:19)&gt;COUNT(Dong6),"",OFFSET(TH!D$1,SMALL(Dong6,ROWS($1:19)),))</f>
        <v/>
      </c>
      <c r="D29" s="277" t="str">
        <f ca="1">IF(ROWS($1:19)&gt;COUNT(Dong6),"",OFFSET(TH!E$1,SMALL(Dong6,ROWS($1:19)),))</f>
        <v/>
      </c>
      <c r="E29" s="327" t="str">
        <f ca="1">IF(ROWS($1:19)&gt;COUNT(Dong6),"",OFFSET(TH!F$1,SMALL(Dong6,ROWS($1:19)),))</f>
        <v/>
      </c>
      <c r="F29" s="328" t="str">
        <f ca="1">IF(ROWS($1:19)&gt;COUNT(Dong6),"",OFFSET(TH!M$1,SMALL(Dong6,ROWS($1:19)),))</f>
        <v/>
      </c>
      <c r="G29" s="329" t="str">
        <f ca="1">IF(ROWS($1:19)&gt;COUNT(Dong6),"",OFFSET(TH!N$1,SMALL(Dong6,ROWS($1:19)),))</f>
        <v/>
      </c>
      <c r="H29" s="329" t="str">
        <f ca="1">IF(ROWS($1:19)&gt;COUNT(Dong6),"",OFFSET(TH!O$1,SMALL(Dong6,ROWS($1:19)),))</f>
        <v/>
      </c>
      <c r="I29" s="63">
        <f t="shared" ca="1" si="0"/>
        <v>19</v>
      </c>
      <c r="J29" s="279">
        <f t="shared" ca="1" si="61"/>
        <v>0</v>
      </c>
      <c r="K29" s="279">
        <f t="shared" ca="1" si="62"/>
        <v>0</v>
      </c>
      <c r="L29" s="279">
        <f t="shared" ca="1" si="1"/>
        <v>0</v>
      </c>
      <c r="M29" s="279">
        <f t="shared" ca="1" si="2"/>
        <v>0</v>
      </c>
      <c r="N29" s="279">
        <f t="shared" ca="1" si="3"/>
        <v>0</v>
      </c>
      <c r="O29" s="279">
        <f t="shared" ca="1" si="4"/>
        <v>0</v>
      </c>
      <c r="P29" s="279">
        <f t="shared" ca="1" si="5"/>
        <v>0</v>
      </c>
      <c r="Q29" s="279">
        <f t="shared" ca="1" si="6"/>
        <v>0</v>
      </c>
      <c r="R29" s="279">
        <f t="shared" ca="1" si="7"/>
        <v>0</v>
      </c>
      <c r="S29" s="279">
        <f t="shared" ca="1" si="8"/>
        <v>0</v>
      </c>
      <c r="T29" s="279">
        <f t="shared" ca="1" si="9"/>
        <v>0</v>
      </c>
      <c r="U29" s="279">
        <f t="shared" ca="1" si="10"/>
        <v>0</v>
      </c>
      <c r="V29" s="279">
        <f t="shared" ca="1" si="11"/>
        <v>0</v>
      </c>
      <c r="W29" s="279">
        <f t="shared" ca="1" si="12"/>
        <v>0</v>
      </c>
      <c r="X29" s="279">
        <f t="shared" ca="1" si="13"/>
        <v>0</v>
      </c>
      <c r="Y29" s="279">
        <f t="shared" ca="1" si="14"/>
        <v>0</v>
      </c>
      <c r="Z29" s="279">
        <f t="shared" ca="1" si="15"/>
        <v>0</v>
      </c>
      <c r="AA29" s="279">
        <f t="shared" ca="1" si="16"/>
        <v>0</v>
      </c>
      <c r="AB29" s="279">
        <f t="shared" ca="1" si="63"/>
        <v>0</v>
      </c>
      <c r="AC29" s="279">
        <f t="shared" ca="1" si="64"/>
        <v>0</v>
      </c>
      <c r="AD29" s="279">
        <f t="shared" ca="1" si="17"/>
        <v>0</v>
      </c>
      <c r="AE29" s="279">
        <f t="shared" ca="1" si="18"/>
        <v>0</v>
      </c>
      <c r="AF29" s="279">
        <f t="shared" ca="1" si="19"/>
        <v>0</v>
      </c>
      <c r="AG29" s="279">
        <f t="shared" ca="1" si="20"/>
        <v>0</v>
      </c>
      <c r="AH29" s="279">
        <f t="shared" ca="1" si="65"/>
        <v>0</v>
      </c>
      <c r="AI29" s="279">
        <f t="shared" ca="1" si="66"/>
        <v>0</v>
      </c>
      <c r="AJ29" s="279">
        <f t="shared" ca="1" si="67"/>
        <v>0</v>
      </c>
      <c r="AK29" s="279">
        <f t="shared" ca="1" si="68"/>
        <v>0</v>
      </c>
      <c r="AL29" s="279">
        <f t="shared" ca="1" si="69"/>
        <v>0</v>
      </c>
      <c r="AM29" s="279">
        <f t="shared" ca="1" si="70"/>
        <v>0</v>
      </c>
      <c r="AN29" s="279">
        <f t="shared" ca="1" si="71"/>
        <v>0</v>
      </c>
      <c r="AO29" s="279">
        <f t="shared" ca="1" si="72"/>
        <v>0</v>
      </c>
      <c r="AP29" s="279">
        <f t="shared" ca="1" si="21"/>
        <v>0</v>
      </c>
      <c r="AQ29" s="279">
        <f t="shared" ca="1" si="22"/>
        <v>0</v>
      </c>
      <c r="AR29" s="279">
        <f t="shared" ca="1" si="23"/>
        <v>0</v>
      </c>
      <c r="AS29" s="279">
        <f t="shared" ca="1" si="24"/>
        <v>0</v>
      </c>
      <c r="AT29" s="279">
        <f t="shared" ca="1" si="73"/>
        <v>0</v>
      </c>
      <c r="AU29" s="279">
        <f t="shared" ca="1" si="74"/>
        <v>0</v>
      </c>
      <c r="AV29" s="279">
        <f t="shared" ca="1" si="25"/>
        <v>0</v>
      </c>
      <c r="AW29" s="279">
        <f t="shared" ca="1" si="26"/>
        <v>0</v>
      </c>
      <c r="AX29" s="279">
        <f t="shared" ca="1" si="27"/>
        <v>0</v>
      </c>
      <c r="AY29" s="279">
        <f t="shared" ca="1" si="28"/>
        <v>0</v>
      </c>
      <c r="AZ29" s="279">
        <f t="shared" ca="1" si="29"/>
        <v>0</v>
      </c>
      <c r="BA29" s="279">
        <f t="shared" ca="1" si="30"/>
        <v>0</v>
      </c>
      <c r="BB29" s="279">
        <f t="shared" ca="1" si="31"/>
        <v>0</v>
      </c>
      <c r="BC29" s="279">
        <f t="shared" ca="1" si="32"/>
        <v>0</v>
      </c>
      <c r="BD29" s="279">
        <f t="shared" ca="1" si="33"/>
        <v>0</v>
      </c>
      <c r="BE29" s="279">
        <f t="shared" ca="1" si="34"/>
        <v>0</v>
      </c>
      <c r="BF29" s="279">
        <f t="shared" ca="1" si="35"/>
        <v>0</v>
      </c>
      <c r="BG29" s="279">
        <f t="shared" ca="1" si="36"/>
        <v>0</v>
      </c>
      <c r="BH29" s="279">
        <f t="shared" ca="1" si="75"/>
        <v>0</v>
      </c>
      <c r="BI29" s="279">
        <f t="shared" ca="1" si="76"/>
        <v>0</v>
      </c>
      <c r="BJ29" s="279">
        <f t="shared" ca="1" si="37"/>
        <v>0</v>
      </c>
      <c r="BK29" s="279">
        <f t="shared" ca="1" si="38"/>
        <v>0</v>
      </c>
      <c r="BL29" s="279">
        <f t="shared" ca="1" si="39"/>
        <v>0</v>
      </c>
      <c r="BM29" s="279">
        <f t="shared" ca="1" si="40"/>
        <v>0</v>
      </c>
      <c r="BN29" s="279">
        <f t="shared" ca="1" si="41"/>
        <v>0</v>
      </c>
      <c r="BO29" s="279">
        <f t="shared" ca="1" si="42"/>
        <v>0</v>
      </c>
      <c r="BP29" s="279">
        <f t="shared" ca="1" si="77"/>
        <v>0</v>
      </c>
      <c r="BQ29" s="279">
        <f t="shared" ca="1" si="78"/>
        <v>0</v>
      </c>
      <c r="BR29" s="279">
        <f t="shared" ca="1" si="43"/>
        <v>0</v>
      </c>
      <c r="BS29" s="279">
        <f t="shared" ca="1" si="44"/>
        <v>0</v>
      </c>
      <c r="BT29" s="279">
        <f t="shared" ca="1" si="79"/>
        <v>0</v>
      </c>
      <c r="BU29" s="279">
        <f t="shared" ca="1" si="80"/>
        <v>0</v>
      </c>
      <c r="BV29" s="279">
        <f t="shared" ca="1" si="81"/>
        <v>0</v>
      </c>
      <c r="BW29" s="279">
        <f t="shared" ca="1" si="82"/>
        <v>0</v>
      </c>
      <c r="BX29" s="279">
        <f t="shared" ca="1" si="45"/>
        <v>0</v>
      </c>
      <c r="BY29" s="279">
        <f t="shared" ca="1" si="46"/>
        <v>0</v>
      </c>
      <c r="BZ29" s="279">
        <f t="shared" ca="1" si="47"/>
        <v>0</v>
      </c>
      <c r="CA29" s="279">
        <f t="shared" ca="1" si="48"/>
        <v>0</v>
      </c>
      <c r="CB29" s="279">
        <f t="shared" ca="1" si="49"/>
        <v>0</v>
      </c>
      <c r="CC29" s="279">
        <f t="shared" ca="1" si="50"/>
        <v>0</v>
      </c>
      <c r="CD29" s="279">
        <f t="shared" ca="1" si="83"/>
        <v>0</v>
      </c>
      <c r="CE29" s="279">
        <f t="shared" ca="1" si="84"/>
        <v>0</v>
      </c>
      <c r="CF29" s="279">
        <f t="shared" ca="1" si="85"/>
        <v>0</v>
      </c>
      <c r="CG29" s="279">
        <f t="shared" ca="1" si="86"/>
        <v>0</v>
      </c>
      <c r="CH29" s="279">
        <f t="shared" ca="1" si="51"/>
        <v>0</v>
      </c>
      <c r="CI29" s="279">
        <f t="shared" ca="1" si="52"/>
        <v>0</v>
      </c>
      <c r="CJ29" s="279">
        <f t="shared" ca="1" si="87"/>
        <v>0</v>
      </c>
      <c r="CK29" s="279">
        <f t="shared" ca="1" si="88"/>
        <v>0</v>
      </c>
      <c r="CL29" s="279">
        <f t="shared" ca="1" si="53"/>
        <v>0</v>
      </c>
      <c r="CM29" s="279">
        <f t="shared" ca="1" si="54"/>
        <v>0</v>
      </c>
      <c r="CN29" s="279">
        <f t="shared" ca="1" si="55"/>
        <v>0</v>
      </c>
      <c r="CO29" s="279">
        <f t="shared" ca="1" si="56"/>
        <v>0</v>
      </c>
      <c r="CP29" s="279">
        <f t="shared" ca="1" si="89"/>
        <v>0</v>
      </c>
      <c r="CQ29" s="279">
        <f t="shared" ca="1" si="90"/>
        <v>0</v>
      </c>
      <c r="CR29" s="279">
        <f t="shared" ca="1" si="91"/>
        <v>0</v>
      </c>
      <c r="CS29" s="279">
        <f t="shared" ca="1" si="92"/>
        <v>0</v>
      </c>
      <c r="CT29" s="279">
        <f t="shared" ca="1" si="57"/>
        <v>0</v>
      </c>
      <c r="CU29" s="279">
        <f t="shared" ca="1" si="58"/>
        <v>0</v>
      </c>
      <c r="CV29" s="279">
        <f t="shared" ca="1" si="59"/>
        <v>0</v>
      </c>
      <c r="CW29" s="279">
        <f t="shared" ca="1" si="60"/>
        <v>0</v>
      </c>
      <c r="CX29" s="279">
        <f t="shared" ca="1" si="93"/>
        <v>0</v>
      </c>
      <c r="CY29" s="279">
        <f t="shared" ca="1" si="94"/>
        <v>0</v>
      </c>
      <c r="CZ29" s="279">
        <f t="shared" ca="1" si="95"/>
        <v>0</v>
      </c>
      <c r="DA29" s="279">
        <f t="shared" ca="1" si="96"/>
        <v>0</v>
      </c>
    </row>
    <row r="30" spans="1:105" s="276" customFormat="1" ht="15" customHeight="1">
      <c r="A30" s="63">
        <f t="array" aca="1" ref="A30" ca="1">IF(C30&lt;&gt;0,SUM(($C$11:C30&lt;&gt;0)*1),"")</f>
        <v>20</v>
      </c>
      <c r="B30" s="277" t="str">
        <f ca="1">IF(ROWS($1:20)&gt;COUNT(Dong6),"",OFFSET(TH!C$1,SMALL(Dong6,ROWS($1:20)),))</f>
        <v/>
      </c>
      <c r="C30" s="277" t="str">
        <f ca="1">IF(ROWS($1:20)&gt;COUNT(Dong6),"",OFFSET(TH!D$1,SMALL(Dong6,ROWS($1:20)),))</f>
        <v/>
      </c>
      <c r="D30" s="277" t="str">
        <f ca="1">IF(ROWS($1:20)&gt;COUNT(Dong6),"",OFFSET(TH!E$1,SMALL(Dong6,ROWS($1:20)),))</f>
        <v/>
      </c>
      <c r="E30" s="327" t="str">
        <f ca="1">IF(ROWS($1:20)&gt;COUNT(Dong6),"",OFFSET(TH!F$1,SMALL(Dong6,ROWS($1:20)),))</f>
        <v/>
      </c>
      <c r="F30" s="328" t="str">
        <f ca="1">IF(ROWS($1:20)&gt;COUNT(Dong6),"",OFFSET(TH!M$1,SMALL(Dong6,ROWS($1:20)),))</f>
        <v/>
      </c>
      <c r="G30" s="329" t="str">
        <f ca="1">IF(ROWS($1:20)&gt;COUNT(Dong6),"",OFFSET(TH!N$1,SMALL(Dong6,ROWS($1:20)),))</f>
        <v/>
      </c>
      <c r="H30" s="329" t="str">
        <f ca="1">IF(ROWS($1:20)&gt;COUNT(Dong6),"",OFFSET(TH!O$1,SMALL(Dong6,ROWS($1:20)),))</f>
        <v/>
      </c>
      <c r="I30" s="63">
        <f t="shared" ca="1" si="0"/>
        <v>20</v>
      </c>
      <c r="J30" s="279">
        <f t="shared" ca="1" si="61"/>
        <v>0</v>
      </c>
      <c r="K30" s="279">
        <f t="shared" ca="1" si="62"/>
        <v>0</v>
      </c>
      <c r="L30" s="279">
        <f t="shared" ca="1" si="1"/>
        <v>0</v>
      </c>
      <c r="M30" s="279">
        <f t="shared" ca="1" si="2"/>
        <v>0</v>
      </c>
      <c r="N30" s="279">
        <f t="shared" ca="1" si="3"/>
        <v>0</v>
      </c>
      <c r="O30" s="279">
        <f t="shared" ca="1" si="4"/>
        <v>0</v>
      </c>
      <c r="P30" s="279">
        <f t="shared" ca="1" si="5"/>
        <v>0</v>
      </c>
      <c r="Q30" s="279">
        <f t="shared" ca="1" si="6"/>
        <v>0</v>
      </c>
      <c r="R30" s="279">
        <f t="shared" ca="1" si="7"/>
        <v>0</v>
      </c>
      <c r="S30" s="279">
        <f t="shared" ca="1" si="8"/>
        <v>0</v>
      </c>
      <c r="T30" s="279">
        <f t="shared" ca="1" si="9"/>
        <v>0</v>
      </c>
      <c r="U30" s="279">
        <f t="shared" ca="1" si="10"/>
        <v>0</v>
      </c>
      <c r="V30" s="279">
        <f t="shared" ca="1" si="11"/>
        <v>0</v>
      </c>
      <c r="W30" s="279">
        <f t="shared" ca="1" si="12"/>
        <v>0</v>
      </c>
      <c r="X30" s="279">
        <f t="shared" ca="1" si="13"/>
        <v>0</v>
      </c>
      <c r="Y30" s="279">
        <f t="shared" ca="1" si="14"/>
        <v>0</v>
      </c>
      <c r="Z30" s="279">
        <f t="shared" ca="1" si="15"/>
        <v>0</v>
      </c>
      <c r="AA30" s="279">
        <f t="shared" ca="1" si="16"/>
        <v>0</v>
      </c>
      <c r="AB30" s="279">
        <f t="shared" ca="1" si="63"/>
        <v>0</v>
      </c>
      <c r="AC30" s="279">
        <f t="shared" ca="1" si="64"/>
        <v>0</v>
      </c>
      <c r="AD30" s="279">
        <f t="shared" ca="1" si="17"/>
        <v>0</v>
      </c>
      <c r="AE30" s="279">
        <f t="shared" ca="1" si="18"/>
        <v>0</v>
      </c>
      <c r="AF30" s="279">
        <f t="shared" ca="1" si="19"/>
        <v>0</v>
      </c>
      <c r="AG30" s="279">
        <f t="shared" ca="1" si="20"/>
        <v>0</v>
      </c>
      <c r="AH30" s="279">
        <f t="shared" ca="1" si="65"/>
        <v>0</v>
      </c>
      <c r="AI30" s="279">
        <f t="shared" ca="1" si="66"/>
        <v>0</v>
      </c>
      <c r="AJ30" s="279">
        <f t="shared" ca="1" si="67"/>
        <v>0</v>
      </c>
      <c r="AK30" s="279">
        <f t="shared" ca="1" si="68"/>
        <v>0</v>
      </c>
      <c r="AL30" s="279">
        <f t="shared" ca="1" si="69"/>
        <v>0</v>
      </c>
      <c r="AM30" s="279">
        <f t="shared" ca="1" si="70"/>
        <v>0</v>
      </c>
      <c r="AN30" s="279">
        <f t="shared" ca="1" si="71"/>
        <v>0</v>
      </c>
      <c r="AO30" s="279">
        <f t="shared" ca="1" si="72"/>
        <v>0</v>
      </c>
      <c r="AP30" s="279">
        <f t="shared" ca="1" si="21"/>
        <v>0</v>
      </c>
      <c r="AQ30" s="279">
        <f t="shared" ca="1" si="22"/>
        <v>0</v>
      </c>
      <c r="AR30" s="279">
        <f t="shared" ca="1" si="23"/>
        <v>0</v>
      </c>
      <c r="AS30" s="279">
        <f t="shared" ca="1" si="24"/>
        <v>0</v>
      </c>
      <c r="AT30" s="279">
        <f t="shared" ca="1" si="73"/>
        <v>0</v>
      </c>
      <c r="AU30" s="279">
        <f t="shared" ca="1" si="74"/>
        <v>0</v>
      </c>
      <c r="AV30" s="279">
        <f t="shared" ca="1" si="25"/>
        <v>0</v>
      </c>
      <c r="AW30" s="279">
        <f t="shared" ca="1" si="26"/>
        <v>0</v>
      </c>
      <c r="AX30" s="279">
        <f t="shared" ca="1" si="27"/>
        <v>0</v>
      </c>
      <c r="AY30" s="279">
        <f t="shared" ca="1" si="28"/>
        <v>0</v>
      </c>
      <c r="AZ30" s="279">
        <f t="shared" ca="1" si="29"/>
        <v>0</v>
      </c>
      <c r="BA30" s="279">
        <f t="shared" ca="1" si="30"/>
        <v>0</v>
      </c>
      <c r="BB30" s="279">
        <f t="shared" ca="1" si="31"/>
        <v>0</v>
      </c>
      <c r="BC30" s="279">
        <f t="shared" ca="1" si="32"/>
        <v>0</v>
      </c>
      <c r="BD30" s="279">
        <f t="shared" ca="1" si="33"/>
        <v>0</v>
      </c>
      <c r="BE30" s="279">
        <f t="shared" ca="1" si="34"/>
        <v>0</v>
      </c>
      <c r="BF30" s="279">
        <f t="shared" ca="1" si="35"/>
        <v>0</v>
      </c>
      <c r="BG30" s="279">
        <f t="shared" ca="1" si="36"/>
        <v>0</v>
      </c>
      <c r="BH30" s="279">
        <f t="shared" ca="1" si="75"/>
        <v>0</v>
      </c>
      <c r="BI30" s="279">
        <f t="shared" ca="1" si="76"/>
        <v>0</v>
      </c>
      <c r="BJ30" s="279">
        <f t="shared" ca="1" si="37"/>
        <v>0</v>
      </c>
      <c r="BK30" s="279">
        <f t="shared" ca="1" si="38"/>
        <v>0</v>
      </c>
      <c r="BL30" s="279">
        <f t="shared" ca="1" si="39"/>
        <v>0</v>
      </c>
      <c r="BM30" s="279">
        <f t="shared" ca="1" si="40"/>
        <v>0</v>
      </c>
      <c r="BN30" s="279">
        <f t="shared" ca="1" si="41"/>
        <v>0</v>
      </c>
      <c r="BO30" s="279">
        <f t="shared" ca="1" si="42"/>
        <v>0</v>
      </c>
      <c r="BP30" s="279">
        <f t="shared" ca="1" si="77"/>
        <v>0</v>
      </c>
      <c r="BQ30" s="279">
        <f t="shared" ca="1" si="78"/>
        <v>0</v>
      </c>
      <c r="BR30" s="279">
        <f t="shared" ca="1" si="43"/>
        <v>0</v>
      </c>
      <c r="BS30" s="279">
        <f t="shared" ca="1" si="44"/>
        <v>0</v>
      </c>
      <c r="BT30" s="279">
        <f t="shared" ca="1" si="79"/>
        <v>0</v>
      </c>
      <c r="BU30" s="279">
        <f t="shared" ca="1" si="80"/>
        <v>0</v>
      </c>
      <c r="BV30" s="279">
        <f t="shared" ca="1" si="81"/>
        <v>0</v>
      </c>
      <c r="BW30" s="279">
        <f t="shared" ca="1" si="82"/>
        <v>0</v>
      </c>
      <c r="BX30" s="279">
        <f t="shared" ca="1" si="45"/>
        <v>0</v>
      </c>
      <c r="BY30" s="279">
        <f t="shared" ca="1" si="46"/>
        <v>0</v>
      </c>
      <c r="BZ30" s="279">
        <f t="shared" ca="1" si="47"/>
        <v>0</v>
      </c>
      <c r="CA30" s="279">
        <f t="shared" ca="1" si="48"/>
        <v>0</v>
      </c>
      <c r="CB30" s="279">
        <f t="shared" ca="1" si="49"/>
        <v>0</v>
      </c>
      <c r="CC30" s="279">
        <f t="shared" ca="1" si="50"/>
        <v>0</v>
      </c>
      <c r="CD30" s="279">
        <f t="shared" ca="1" si="83"/>
        <v>0</v>
      </c>
      <c r="CE30" s="279">
        <f t="shared" ca="1" si="84"/>
        <v>0</v>
      </c>
      <c r="CF30" s="279">
        <f t="shared" ca="1" si="85"/>
        <v>0</v>
      </c>
      <c r="CG30" s="279">
        <f t="shared" ca="1" si="86"/>
        <v>0</v>
      </c>
      <c r="CH30" s="279">
        <f t="shared" ca="1" si="51"/>
        <v>0</v>
      </c>
      <c r="CI30" s="279">
        <f t="shared" ca="1" si="52"/>
        <v>0</v>
      </c>
      <c r="CJ30" s="279">
        <f t="shared" ca="1" si="87"/>
        <v>0</v>
      </c>
      <c r="CK30" s="279">
        <f t="shared" ca="1" si="88"/>
        <v>0</v>
      </c>
      <c r="CL30" s="279">
        <f t="shared" ca="1" si="53"/>
        <v>0</v>
      </c>
      <c r="CM30" s="279">
        <f t="shared" ca="1" si="54"/>
        <v>0</v>
      </c>
      <c r="CN30" s="279">
        <f t="shared" ca="1" si="55"/>
        <v>0</v>
      </c>
      <c r="CO30" s="279">
        <f t="shared" ca="1" si="56"/>
        <v>0</v>
      </c>
      <c r="CP30" s="279">
        <f t="shared" ca="1" si="89"/>
        <v>0</v>
      </c>
      <c r="CQ30" s="279">
        <f t="shared" ca="1" si="90"/>
        <v>0</v>
      </c>
      <c r="CR30" s="279">
        <f t="shared" ca="1" si="91"/>
        <v>0</v>
      </c>
      <c r="CS30" s="279">
        <f t="shared" ca="1" si="92"/>
        <v>0</v>
      </c>
      <c r="CT30" s="279">
        <f t="shared" ca="1" si="57"/>
        <v>0</v>
      </c>
      <c r="CU30" s="279">
        <f t="shared" ca="1" si="58"/>
        <v>0</v>
      </c>
      <c r="CV30" s="279">
        <f t="shared" ca="1" si="59"/>
        <v>0</v>
      </c>
      <c r="CW30" s="279">
        <f t="shared" ca="1" si="60"/>
        <v>0</v>
      </c>
      <c r="CX30" s="279">
        <f t="shared" ca="1" si="93"/>
        <v>0</v>
      </c>
      <c r="CY30" s="279">
        <f t="shared" ca="1" si="94"/>
        <v>0</v>
      </c>
      <c r="CZ30" s="279">
        <f t="shared" ca="1" si="95"/>
        <v>0</v>
      </c>
      <c r="DA30" s="279">
        <f t="shared" ca="1" si="96"/>
        <v>0</v>
      </c>
    </row>
    <row r="31" spans="1:105" s="276" customFormat="1" ht="15" customHeight="1">
      <c r="A31" s="63">
        <f t="array" aca="1" ref="A31" ca="1">IF(C31&lt;&gt;0,SUM(($C$11:C31&lt;&gt;0)*1),"")</f>
        <v>21</v>
      </c>
      <c r="B31" s="277" t="str">
        <f ca="1">IF(ROWS($1:21)&gt;COUNT(Dong6),"",OFFSET(TH!C$1,SMALL(Dong6,ROWS($1:21)),))</f>
        <v/>
      </c>
      <c r="C31" s="277" t="str">
        <f ca="1">IF(ROWS($1:21)&gt;COUNT(Dong6),"",OFFSET(TH!D$1,SMALL(Dong6,ROWS($1:21)),))</f>
        <v/>
      </c>
      <c r="D31" s="277" t="str">
        <f ca="1">IF(ROWS($1:21)&gt;COUNT(Dong6),"",OFFSET(TH!E$1,SMALL(Dong6,ROWS($1:21)),))</f>
        <v/>
      </c>
      <c r="E31" s="327" t="str">
        <f ca="1">IF(ROWS($1:21)&gt;COUNT(Dong6),"",OFFSET(TH!F$1,SMALL(Dong6,ROWS($1:21)),))</f>
        <v/>
      </c>
      <c r="F31" s="328" t="str">
        <f ca="1">IF(ROWS($1:21)&gt;COUNT(Dong6),"",OFFSET(TH!M$1,SMALL(Dong6,ROWS($1:21)),))</f>
        <v/>
      </c>
      <c r="G31" s="329" t="str">
        <f ca="1">IF(ROWS($1:21)&gt;COUNT(Dong6),"",OFFSET(TH!N$1,SMALL(Dong6,ROWS($1:21)),))</f>
        <v/>
      </c>
      <c r="H31" s="329" t="str">
        <f ca="1">IF(ROWS($1:21)&gt;COUNT(Dong6),"",OFFSET(TH!O$1,SMALL(Dong6,ROWS($1:21)),))</f>
        <v/>
      </c>
      <c r="I31" s="63">
        <f t="shared" ca="1" si="0"/>
        <v>21</v>
      </c>
      <c r="J31" s="279">
        <f t="shared" ca="1" si="61"/>
        <v>0</v>
      </c>
      <c r="K31" s="279">
        <f t="shared" ca="1" si="62"/>
        <v>0</v>
      </c>
      <c r="L31" s="279">
        <f t="shared" ca="1" si="1"/>
        <v>0</v>
      </c>
      <c r="M31" s="279">
        <f t="shared" ca="1" si="2"/>
        <v>0</v>
      </c>
      <c r="N31" s="279">
        <f t="shared" ca="1" si="3"/>
        <v>0</v>
      </c>
      <c r="O31" s="279">
        <f t="shared" ca="1" si="4"/>
        <v>0</v>
      </c>
      <c r="P31" s="279">
        <f t="shared" ca="1" si="5"/>
        <v>0</v>
      </c>
      <c r="Q31" s="279">
        <f t="shared" ca="1" si="6"/>
        <v>0</v>
      </c>
      <c r="R31" s="279">
        <f t="shared" ca="1" si="7"/>
        <v>0</v>
      </c>
      <c r="S31" s="279">
        <f t="shared" ca="1" si="8"/>
        <v>0</v>
      </c>
      <c r="T31" s="279">
        <f t="shared" ca="1" si="9"/>
        <v>0</v>
      </c>
      <c r="U31" s="279">
        <f t="shared" ca="1" si="10"/>
        <v>0</v>
      </c>
      <c r="V31" s="279">
        <f t="shared" ca="1" si="11"/>
        <v>0</v>
      </c>
      <c r="W31" s="279">
        <f t="shared" ca="1" si="12"/>
        <v>0</v>
      </c>
      <c r="X31" s="279">
        <f t="shared" ca="1" si="13"/>
        <v>0</v>
      </c>
      <c r="Y31" s="279">
        <f t="shared" ca="1" si="14"/>
        <v>0</v>
      </c>
      <c r="Z31" s="279">
        <f t="shared" ca="1" si="15"/>
        <v>0</v>
      </c>
      <c r="AA31" s="279">
        <f t="shared" ca="1" si="16"/>
        <v>0</v>
      </c>
      <c r="AB31" s="279">
        <f t="shared" ca="1" si="63"/>
        <v>0</v>
      </c>
      <c r="AC31" s="279">
        <f t="shared" ca="1" si="64"/>
        <v>0</v>
      </c>
      <c r="AD31" s="279">
        <f t="shared" ca="1" si="17"/>
        <v>0</v>
      </c>
      <c r="AE31" s="279">
        <f t="shared" ca="1" si="18"/>
        <v>0</v>
      </c>
      <c r="AF31" s="279">
        <f t="shared" ca="1" si="19"/>
        <v>0</v>
      </c>
      <c r="AG31" s="279">
        <f t="shared" ca="1" si="20"/>
        <v>0</v>
      </c>
      <c r="AH31" s="279">
        <f t="shared" ca="1" si="65"/>
        <v>0</v>
      </c>
      <c r="AI31" s="279">
        <f t="shared" ca="1" si="66"/>
        <v>0</v>
      </c>
      <c r="AJ31" s="279">
        <f t="shared" ca="1" si="67"/>
        <v>0</v>
      </c>
      <c r="AK31" s="279">
        <f t="shared" ca="1" si="68"/>
        <v>0</v>
      </c>
      <c r="AL31" s="279">
        <f t="shared" ca="1" si="69"/>
        <v>0</v>
      </c>
      <c r="AM31" s="279">
        <f t="shared" ca="1" si="70"/>
        <v>0</v>
      </c>
      <c r="AN31" s="279">
        <f t="shared" ca="1" si="71"/>
        <v>0</v>
      </c>
      <c r="AO31" s="279">
        <f t="shared" ca="1" si="72"/>
        <v>0</v>
      </c>
      <c r="AP31" s="279">
        <f t="shared" ca="1" si="21"/>
        <v>0</v>
      </c>
      <c r="AQ31" s="279">
        <f t="shared" ca="1" si="22"/>
        <v>0</v>
      </c>
      <c r="AR31" s="279">
        <f t="shared" ca="1" si="23"/>
        <v>0</v>
      </c>
      <c r="AS31" s="279">
        <f t="shared" ca="1" si="24"/>
        <v>0</v>
      </c>
      <c r="AT31" s="279">
        <f t="shared" ca="1" si="73"/>
        <v>0</v>
      </c>
      <c r="AU31" s="279">
        <f t="shared" ca="1" si="74"/>
        <v>0</v>
      </c>
      <c r="AV31" s="279">
        <f t="shared" ca="1" si="25"/>
        <v>0</v>
      </c>
      <c r="AW31" s="279">
        <f t="shared" ca="1" si="26"/>
        <v>0</v>
      </c>
      <c r="AX31" s="279">
        <f t="shared" ca="1" si="27"/>
        <v>0</v>
      </c>
      <c r="AY31" s="279">
        <f t="shared" ca="1" si="28"/>
        <v>0</v>
      </c>
      <c r="AZ31" s="279">
        <f t="shared" ca="1" si="29"/>
        <v>0</v>
      </c>
      <c r="BA31" s="279">
        <f t="shared" ca="1" si="30"/>
        <v>0</v>
      </c>
      <c r="BB31" s="279">
        <f t="shared" ca="1" si="31"/>
        <v>0</v>
      </c>
      <c r="BC31" s="279">
        <f t="shared" ca="1" si="32"/>
        <v>0</v>
      </c>
      <c r="BD31" s="279">
        <f t="shared" ca="1" si="33"/>
        <v>0</v>
      </c>
      <c r="BE31" s="279">
        <f t="shared" ca="1" si="34"/>
        <v>0</v>
      </c>
      <c r="BF31" s="279">
        <f t="shared" ca="1" si="35"/>
        <v>0</v>
      </c>
      <c r="BG31" s="279">
        <f t="shared" ca="1" si="36"/>
        <v>0</v>
      </c>
      <c r="BH31" s="279">
        <f t="shared" ca="1" si="75"/>
        <v>0</v>
      </c>
      <c r="BI31" s="279">
        <f t="shared" ca="1" si="76"/>
        <v>0</v>
      </c>
      <c r="BJ31" s="279">
        <f t="shared" ca="1" si="37"/>
        <v>0</v>
      </c>
      <c r="BK31" s="279">
        <f t="shared" ca="1" si="38"/>
        <v>0</v>
      </c>
      <c r="BL31" s="279">
        <f t="shared" ca="1" si="39"/>
        <v>0</v>
      </c>
      <c r="BM31" s="279">
        <f t="shared" ca="1" si="40"/>
        <v>0</v>
      </c>
      <c r="BN31" s="279">
        <f t="shared" ca="1" si="41"/>
        <v>0</v>
      </c>
      <c r="BO31" s="279">
        <f t="shared" ca="1" si="42"/>
        <v>0</v>
      </c>
      <c r="BP31" s="279">
        <f t="shared" ca="1" si="77"/>
        <v>0</v>
      </c>
      <c r="BQ31" s="279">
        <f t="shared" ca="1" si="78"/>
        <v>0</v>
      </c>
      <c r="BR31" s="279">
        <f t="shared" ca="1" si="43"/>
        <v>0</v>
      </c>
      <c r="BS31" s="279">
        <f t="shared" ca="1" si="44"/>
        <v>0</v>
      </c>
      <c r="BT31" s="279">
        <f t="shared" ca="1" si="79"/>
        <v>0</v>
      </c>
      <c r="BU31" s="279">
        <f t="shared" ca="1" si="80"/>
        <v>0</v>
      </c>
      <c r="BV31" s="279">
        <f t="shared" ca="1" si="81"/>
        <v>0</v>
      </c>
      <c r="BW31" s="279">
        <f t="shared" ca="1" si="82"/>
        <v>0</v>
      </c>
      <c r="BX31" s="279">
        <f t="shared" ca="1" si="45"/>
        <v>0</v>
      </c>
      <c r="BY31" s="279">
        <f t="shared" ca="1" si="46"/>
        <v>0</v>
      </c>
      <c r="BZ31" s="279">
        <f t="shared" ca="1" si="47"/>
        <v>0</v>
      </c>
      <c r="CA31" s="279">
        <f t="shared" ca="1" si="48"/>
        <v>0</v>
      </c>
      <c r="CB31" s="279">
        <f t="shared" ca="1" si="49"/>
        <v>0</v>
      </c>
      <c r="CC31" s="279">
        <f t="shared" ca="1" si="50"/>
        <v>0</v>
      </c>
      <c r="CD31" s="279">
        <f t="shared" ca="1" si="83"/>
        <v>0</v>
      </c>
      <c r="CE31" s="279">
        <f t="shared" ca="1" si="84"/>
        <v>0</v>
      </c>
      <c r="CF31" s="279">
        <f t="shared" ca="1" si="85"/>
        <v>0</v>
      </c>
      <c r="CG31" s="279">
        <f t="shared" ca="1" si="86"/>
        <v>0</v>
      </c>
      <c r="CH31" s="279">
        <f t="shared" ca="1" si="51"/>
        <v>0</v>
      </c>
      <c r="CI31" s="279">
        <f t="shared" ca="1" si="52"/>
        <v>0</v>
      </c>
      <c r="CJ31" s="279">
        <f t="shared" ca="1" si="87"/>
        <v>0</v>
      </c>
      <c r="CK31" s="279">
        <f t="shared" ca="1" si="88"/>
        <v>0</v>
      </c>
      <c r="CL31" s="279">
        <f t="shared" ca="1" si="53"/>
        <v>0</v>
      </c>
      <c r="CM31" s="279">
        <f t="shared" ca="1" si="54"/>
        <v>0</v>
      </c>
      <c r="CN31" s="279">
        <f t="shared" ca="1" si="55"/>
        <v>0</v>
      </c>
      <c r="CO31" s="279">
        <f t="shared" ca="1" si="56"/>
        <v>0</v>
      </c>
      <c r="CP31" s="279">
        <f t="shared" ca="1" si="89"/>
        <v>0</v>
      </c>
      <c r="CQ31" s="279">
        <f t="shared" ca="1" si="90"/>
        <v>0</v>
      </c>
      <c r="CR31" s="279">
        <f t="shared" ca="1" si="91"/>
        <v>0</v>
      </c>
      <c r="CS31" s="279">
        <f t="shared" ca="1" si="92"/>
        <v>0</v>
      </c>
      <c r="CT31" s="279">
        <f t="shared" ca="1" si="57"/>
        <v>0</v>
      </c>
      <c r="CU31" s="279">
        <f t="shared" ca="1" si="58"/>
        <v>0</v>
      </c>
      <c r="CV31" s="279">
        <f t="shared" ca="1" si="59"/>
        <v>0</v>
      </c>
      <c r="CW31" s="279">
        <f t="shared" ca="1" si="60"/>
        <v>0</v>
      </c>
      <c r="CX31" s="279">
        <f t="shared" ca="1" si="93"/>
        <v>0</v>
      </c>
      <c r="CY31" s="279">
        <f t="shared" ca="1" si="94"/>
        <v>0</v>
      </c>
      <c r="CZ31" s="279">
        <f t="shared" ca="1" si="95"/>
        <v>0</v>
      </c>
      <c r="DA31" s="279">
        <f t="shared" ca="1" si="96"/>
        <v>0</v>
      </c>
    </row>
    <row r="32" spans="1:105" s="276" customFormat="1" ht="15" customHeight="1">
      <c r="A32" s="63">
        <f t="array" aca="1" ref="A32" ca="1">IF(C32&lt;&gt;0,SUM(($C$11:C32&lt;&gt;0)*1),"")</f>
        <v>22</v>
      </c>
      <c r="B32" s="277" t="str">
        <f ca="1">IF(ROWS($1:22)&gt;COUNT(Dong6),"",OFFSET(TH!C$1,SMALL(Dong6,ROWS($1:22)),))</f>
        <v/>
      </c>
      <c r="C32" s="277" t="str">
        <f ca="1">IF(ROWS($1:22)&gt;COUNT(Dong6),"",OFFSET(TH!D$1,SMALL(Dong6,ROWS($1:22)),))</f>
        <v/>
      </c>
      <c r="D32" s="277" t="str">
        <f ca="1">IF(ROWS($1:22)&gt;COUNT(Dong6),"",OFFSET(TH!E$1,SMALL(Dong6,ROWS($1:22)),))</f>
        <v/>
      </c>
      <c r="E32" s="327" t="str">
        <f ca="1">IF(ROWS($1:22)&gt;COUNT(Dong6),"",OFFSET(TH!F$1,SMALL(Dong6,ROWS($1:22)),))</f>
        <v/>
      </c>
      <c r="F32" s="328" t="str">
        <f ca="1">IF(ROWS($1:22)&gt;COUNT(Dong6),"",OFFSET(TH!M$1,SMALL(Dong6,ROWS($1:22)),))</f>
        <v/>
      </c>
      <c r="G32" s="329" t="str">
        <f ca="1">IF(ROWS($1:22)&gt;COUNT(Dong6),"",OFFSET(TH!N$1,SMALL(Dong6,ROWS($1:22)),))</f>
        <v/>
      </c>
      <c r="H32" s="329" t="str">
        <f ca="1">IF(ROWS($1:22)&gt;COUNT(Dong6),"",OFFSET(TH!O$1,SMALL(Dong6,ROWS($1:22)),))</f>
        <v/>
      </c>
      <c r="I32" s="63">
        <f t="shared" ca="1" si="0"/>
        <v>22</v>
      </c>
      <c r="J32" s="279">
        <f t="shared" ca="1" si="61"/>
        <v>0</v>
      </c>
      <c r="K32" s="279">
        <f t="shared" ca="1" si="62"/>
        <v>0</v>
      </c>
      <c r="L32" s="279">
        <f t="shared" ca="1" si="1"/>
        <v>0</v>
      </c>
      <c r="M32" s="279">
        <f t="shared" ca="1" si="2"/>
        <v>0</v>
      </c>
      <c r="N32" s="279">
        <f t="shared" ca="1" si="3"/>
        <v>0</v>
      </c>
      <c r="O32" s="279">
        <f t="shared" ca="1" si="4"/>
        <v>0</v>
      </c>
      <c r="P32" s="279">
        <f t="shared" ca="1" si="5"/>
        <v>0</v>
      </c>
      <c r="Q32" s="279">
        <f t="shared" ca="1" si="6"/>
        <v>0</v>
      </c>
      <c r="R32" s="279">
        <f t="shared" ca="1" si="7"/>
        <v>0</v>
      </c>
      <c r="S32" s="279">
        <f t="shared" ca="1" si="8"/>
        <v>0</v>
      </c>
      <c r="T32" s="279">
        <f t="shared" ca="1" si="9"/>
        <v>0</v>
      </c>
      <c r="U32" s="279">
        <f t="shared" ca="1" si="10"/>
        <v>0</v>
      </c>
      <c r="V32" s="279">
        <f t="shared" ca="1" si="11"/>
        <v>0</v>
      </c>
      <c r="W32" s="279">
        <f t="shared" ca="1" si="12"/>
        <v>0</v>
      </c>
      <c r="X32" s="279">
        <f t="shared" ca="1" si="13"/>
        <v>0</v>
      </c>
      <c r="Y32" s="279">
        <f t="shared" ca="1" si="14"/>
        <v>0</v>
      </c>
      <c r="Z32" s="279">
        <f t="shared" ca="1" si="15"/>
        <v>0</v>
      </c>
      <c r="AA32" s="279">
        <f t="shared" ca="1" si="16"/>
        <v>0</v>
      </c>
      <c r="AB32" s="279">
        <f t="shared" ca="1" si="63"/>
        <v>0</v>
      </c>
      <c r="AC32" s="279">
        <f t="shared" ca="1" si="64"/>
        <v>0</v>
      </c>
      <c r="AD32" s="279">
        <f t="shared" ca="1" si="17"/>
        <v>0</v>
      </c>
      <c r="AE32" s="279">
        <f t="shared" ca="1" si="18"/>
        <v>0</v>
      </c>
      <c r="AF32" s="279">
        <f t="shared" ca="1" si="19"/>
        <v>0</v>
      </c>
      <c r="AG32" s="279">
        <f t="shared" ca="1" si="20"/>
        <v>0</v>
      </c>
      <c r="AH32" s="279">
        <f t="shared" ca="1" si="65"/>
        <v>0</v>
      </c>
      <c r="AI32" s="279">
        <f t="shared" ca="1" si="66"/>
        <v>0</v>
      </c>
      <c r="AJ32" s="279">
        <f t="shared" ca="1" si="67"/>
        <v>0</v>
      </c>
      <c r="AK32" s="279">
        <f t="shared" ca="1" si="68"/>
        <v>0</v>
      </c>
      <c r="AL32" s="279">
        <f t="shared" ca="1" si="69"/>
        <v>0</v>
      </c>
      <c r="AM32" s="279">
        <f t="shared" ca="1" si="70"/>
        <v>0</v>
      </c>
      <c r="AN32" s="279">
        <f t="shared" ca="1" si="71"/>
        <v>0</v>
      </c>
      <c r="AO32" s="279">
        <f t="shared" ca="1" si="72"/>
        <v>0</v>
      </c>
      <c r="AP32" s="279">
        <f t="shared" ca="1" si="21"/>
        <v>0</v>
      </c>
      <c r="AQ32" s="279">
        <f t="shared" ca="1" si="22"/>
        <v>0</v>
      </c>
      <c r="AR32" s="279">
        <f t="shared" ca="1" si="23"/>
        <v>0</v>
      </c>
      <c r="AS32" s="279">
        <f t="shared" ca="1" si="24"/>
        <v>0</v>
      </c>
      <c r="AT32" s="279">
        <f t="shared" ca="1" si="73"/>
        <v>0</v>
      </c>
      <c r="AU32" s="279">
        <f t="shared" ca="1" si="74"/>
        <v>0</v>
      </c>
      <c r="AV32" s="279">
        <f t="shared" ca="1" si="25"/>
        <v>0</v>
      </c>
      <c r="AW32" s="279">
        <f t="shared" ca="1" si="26"/>
        <v>0</v>
      </c>
      <c r="AX32" s="279">
        <f t="shared" ca="1" si="27"/>
        <v>0</v>
      </c>
      <c r="AY32" s="279">
        <f t="shared" ca="1" si="28"/>
        <v>0</v>
      </c>
      <c r="AZ32" s="279">
        <f t="shared" ca="1" si="29"/>
        <v>0</v>
      </c>
      <c r="BA32" s="279">
        <f t="shared" ca="1" si="30"/>
        <v>0</v>
      </c>
      <c r="BB32" s="279">
        <f t="shared" ca="1" si="31"/>
        <v>0</v>
      </c>
      <c r="BC32" s="279">
        <f t="shared" ca="1" si="32"/>
        <v>0</v>
      </c>
      <c r="BD32" s="279">
        <f t="shared" ca="1" si="33"/>
        <v>0</v>
      </c>
      <c r="BE32" s="279">
        <f t="shared" ca="1" si="34"/>
        <v>0</v>
      </c>
      <c r="BF32" s="279">
        <f t="shared" ca="1" si="35"/>
        <v>0</v>
      </c>
      <c r="BG32" s="279">
        <f t="shared" ca="1" si="36"/>
        <v>0</v>
      </c>
      <c r="BH32" s="279">
        <f t="shared" ca="1" si="75"/>
        <v>0</v>
      </c>
      <c r="BI32" s="279">
        <f t="shared" ca="1" si="76"/>
        <v>0</v>
      </c>
      <c r="BJ32" s="279">
        <f t="shared" ca="1" si="37"/>
        <v>0</v>
      </c>
      <c r="BK32" s="279">
        <f t="shared" ca="1" si="38"/>
        <v>0</v>
      </c>
      <c r="BL32" s="279">
        <f t="shared" ca="1" si="39"/>
        <v>0</v>
      </c>
      <c r="BM32" s="279">
        <f t="shared" ca="1" si="40"/>
        <v>0</v>
      </c>
      <c r="BN32" s="279">
        <f t="shared" ca="1" si="41"/>
        <v>0</v>
      </c>
      <c r="BO32" s="279">
        <f t="shared" ca="1" si="42"/>
        <v>0</v>
      </c>
      <c r="BP32" s="279">
        <f t="shared" ca="1" si="77"/>
        <v>0</v>
      </c>
      <c r="BQ32" s="279">
        <f t="shared" ca="1" si="78"/>
        <v>0</v>
      </c>
      <c r="BR32" s="279">
        <f t="shared" ca="1" si="43"/>
        <v>0</v>
      </c>
      <c r="BS32" s="279">
        <f t="shared" ca="1" si="44"/>
        <v>0</v>
      </c>
      <c r="BT32" s="279">
        <f t="shared" ca="1" si="79"/>
        <v>0</v>
      </c>
      <c r="BU32" s="279">
        <f t="shared" ca="1" si="80"/>
        <v>0</v>
      </c>
      <c r="BV32" s="279">
        <f t="shared" ca="1" si="81"/>
        <v>0</v>
      </c>
      <c r="BW32" s="279">
        <f t="shared" ca="1" si="82"/>
        <v>0</v>
      </c>
      <c r="BX32" s="279">
        <f t="shared" ca="1" si="45"/>
        <v>0</v>
      </c>
      <c r="BY32" s="279">
        <f t="shared" ca="1" si="46"/>
        <v>0</v>
      </c>
      <c r="BZ32" s="279">
        <f t="shared" ca="1" si="47"/>
        <v>0</v>
      </c>
      <c r="CA32" s="279">
        <f t="shared" ca="1" si="48"/>
        <v>0</v>
      </c>
      <c r="CB32" s="279">
        <f t="shared" ca="1" si="49"/>
        <v>0</v>
      </c>
      <c r="CC32" s="279">
        <f t="shared" ca="1" si="50"/>
        <v>0</v>
      </c>
      <c r="CD32" s="279">
        <f t="shared" ca="1" si="83"/>
        <v>0</v>
      </c>
      <c r="CE32" s="279">
        <f t="shared" ca="1" si="84"/>
        <v>0</v>
      </c>
      <c r="CF32" s="279">
        <f t="shared" ca="1" si="85"/>
        <v>0</v>
      </c>
      <c r="CG32" s="279">
        <f t="shared" ca="1" si="86"/>
        <v>0</v>
      </c>
      <c r="CH32" s="279">
        <f t="shared" ca="1" si="51"/>
        <v>0</v>
      </c>
      <c r="CI32" s="279">
        <f t="shared" ca="1" si="52"/>
        <v>0</v>
      </c>
      <c r="CJ32" s="279">
        <f t="shared" ca="1" si="87"/>
        <v>0</v>
      </c>
      <c r="CK32" s="279">
        <f t="shared" ca="1" si="88"/>
        <v>0</v>
      </c>
      <c r="CL32" s="279">
        <f t="shared" ca="1" si="53"/>
        <v>0</v>
      </c>
      <c r="CM32" s="279">
        <f t="shared" ca="1" si="54"/>
        <v>0</v>
      </c>
      <c r="CN32" s="279">
        <f t="shared" ca="1" si="55"/>
        <v>0</v>
      </c>
      <c r="CO32" s="279">
        <f t="shared" ca="1" si="56"/>
        <v>0</v>
      </c>
      <c r="CP32" s="279">
        <f t="shared" ca="1" si="89"/>
        <v>0</v>
      </c>
      <c r="CQ32" s="279">
        <f t="shared" ca="1" si="90"/>
        <v>0</v>
      </c>
      <c r="CR32" s="279">
        <f t="shared" ca="1" si="91"/>
        <v>0</v>
      </c>
      <c r="CS32" s="279">
        <f t="shared" ca="1" si="92"/>
        <v>0</v>
      </c>
      <c r="CT32" s="279">
        <f t="shared" ca="1" si="57"/>
        <v>0</v>
      </c>
      <c r="CU32" s="279">
        <f t="shared" ca="1" si="58"/>
        <v>0</v>
      </c>
      <c r="CV32" s="279">
        <f t="shared" ca="1" si="59"/>
        <v>0</v>
      </c>
      <c r="CW32" s="279">
        <f t="shared" ca="1" si="60"/>
        <v>0</v>
      </c>
      <c r="CX32" s="279">
        <f t="shared" ca="1" si="93"/>
        <v>0</v>
      </c>
      <c r="CY32" s="279">
        <f t="shared" ca="1" si="94"/>
        <v>0</v>
      </c>
      <c r="CZ32" s="279">
        <f t="shared" ca="1" si="95"/>
        <v>0</v>
      </c>
      <c r="DA32" s="279">
        <f t="shared" ca="1" si="96"/>
        <v>0</v>
      </c>
    </row>
    <row r="33" spans="1:105" s="276" customFormat="1" ht="15" customHeight="1">
      <c r="A33" s="63">
        <f t="array" aca="1" ref="A33" ca="1">IF(C33&lt;&gt;0,SUM(($C$11:C33&lt;&gt;0)*1),"")</f>
        <v>23</v>
      </c>
      <c r="B33" s="277" t="str">
        <f ca="1">IF(ROWS($1:23)&gt;COUNT(Dong6),"",OFFSET(TH!C$1,SMALL(Dong6,ROWS($1:23)),))</f>
        <v/>
      </c>
      <c r="C33" s="277" t="str">
        <f ca="1">IF(ROWS($1:23)&gt;COUNT(Dong6),"",OFFSET(TH!D$1,SMALL(Dong6,ROWS($1:23)),))</f>
        <v/>
      </c>
      <c r="D33" s="277" t="str">
        <f ca="1">IF(ROWS($1:23)&gt;COUNT(Dong6),"",OFFSET(TH!E$1,SMALL(Dong6,ROWS($1:23)),))</f>
        <v/>
      </c>
      <c r="E33" s="327" t="str">
        <f ca="1">IF(ROWS($1:23)&gt;COUNT(Dong6),"",OFFSET(TH!F$1,SMALL(Dong6,ROWS($1:23)),))</f>
        <v/>
      </c>
      <c r="F33" s="328" t="str">
        <f ca="1">IF(ROWS($1:23)&gt;COUNT(Dong6),"",OFFSET(TH!M$1,SMALL(Dong6,ROWS($1:23)),))</f>
        <v/>
      </c>
      <c r="G33" s="329" t="str">
        <f ca="1">IF(ROWS($1:23)&gt;COUNT(Dong6),"",OFFSET(TH!N$1,SMALL(Dong6,ROWS($1:23)),))</f>
        <v/>
      </c>
      <c r="H33" s="329" t="str">
        <f ca="1">IF(ROWS($1:23)&gt;COUNT(Dong6),"",OFFSET(TH!O$1,SMALL(Dong6,ROWS($1:23)),))</f>
        <v/>
      </c>
      <c r="I33" s="63">
        <f t="shared" ca="1" si="0"/>
        <v>23</v>
      </c>
      <c r="J33" s="279">
        <f t="shared" ca="1" si="61"/>
        <v>0</v>
      </c>
      <c r="K33" s="279">
        <f t="shared" ca="1" si="62"/>
        <v>0</v>
      </c>
      <c r="L33" s="279">
        <f t="shared" ca="1" si="1"/>
        <v>0</v>
      </c>
      <c r="M33" s="279">
        <f t="shared" ca="1" si="2"/>
        <v>0</v>
      </c>
      <c r="N33" s="279">
        <f t="shared" ca="1" si="3"/>
        <v>0</v>
      </c>
      <c r="O33" s="279">
        <f t="shared" ca="1" si="4"/>
        <v>0</v>
      </c>
      <c r="P33" s="279">
        <f t="shared" ca="1" si="5"/>
        <v>0</v>
      </c>
      <c r="Q33" s="279">
        <f t="shared" ca="1" si="6"/>
        <v>0</v>
      </c>
      <c r="R33" s="279">
        <f t="shared" ca="1" si="7"/>
        <v>0</v>
      </c>
      <c r="S33" s="279">
        <f t="shared" ca="1" si="8"/>
        <v>0</v>
      </c>
      <c r="T33" s="279">
        <f t="shared" ca="1" si="9"/>
        <v>0</v>
      </c>
      <c r="U33" s="279">
        <f t="shared" ca="1" si="10"/>
        <v>0</v>
      </c>
      <c r="V33" s="279">
        <f t="shared" ca="1" si="11"/>
        <v>0</v>
      </c>
      <c r="W33" s="279">
        <f t="shared" ca="1" si="12"/>
        <v>0</v>
      </c>
      <c r="X33" s="279">
        <f t="shared" ca="1" si="13"/>
        <v>0</v>
      </c>
      <c r="Y33" s="279">
        <f t="shared" ca="1" si="14"/>
        <v>0</v>
      </c>
      <c r="Z33" s="279">
        <f t="shared" ca="1" si="15"/>
        <v>0</v>
      </c>
      <c r="AA33" s="279">
        <f t="shared" ca="1" si="16"/>
        <v>0</v>
      </c>
      <c r="AB33" s="279">
        <f t="shared" ca="1" si="63"/>
        <v>0</v>
      </c>
      <c r="AC33" s="279">
        <f t="shared" ca="1" si="64"/>
        <v>0</v>
      </c>
      <c r="AD33" s="279">
        <f t="shared" ca="1" si="17"/>
        <v>0</v>
      </c>
      <c r="AE33" s="279">
        <f t="shared" ca="1" si="18"/>
        <v>0</v>
      </c>
      <c r="AF33" s="279">
        <f t="shared" ca="1" si="19"/>
        <v>0</v>
      </c>
      <c r="AG33" s="279">
        <f t="shared" ca="1" si="20"/>
        <v>0</v>
      </c>
      <c r="AH33" s="279">
        <f t="shared" ca="1" si="65"/>
        <v>0</v>
      </c>
      <c r="AI33" s="279">
        <f t="shared" ca="1" si="66"/>
        <v>0</v>
      </c>
      <c r="AJ33" s="279">
        <f t="shared" ca="1" si="67"/>
        <v>0</v>
      </c>
      <c r="AK33" s="279">
        <f t="shared" ca="1" si="68"/>
        <v>0</v>
      </c>
      <c r="AL33" s="279">
        <f t="shared" ca="1" si="69"/>
        <v>0</v>
      </c>
      <c r="AM33" s="279">
        <f t="shared" ca="1" si="70"/>
        <v>0</v>
      </c>
      <c r="AN33" s="279">
        <f t="shared" ca="1" si="71"/>
        <v>0</v>
      </c>
      <c r="AO33" s="279">
        <f t="shared" ca="1" si="72"/>
        <v>0</v>
      </c>
      <c r="AP33" s="279">
        <f t="shared" ca="1" si="21"/>
        <v>0</v>
      </c>
      <c r="AQ33" s="279">
        <f t="shared" ca="1" si="22"/>
        <v>0</v>
      </c>
      <c r="AR33" s="279">
        <f t="shared" ca="1" si="23"/>
        <v>0</v>
      </c>
      <c r="AS33" s="279">
        <f t="shared" ca="1" si="24"/>
        <v>0</v>
      </c>
      <c r="AT33" s="279">
        <f t="shared" ca="1" si="73"/>
        <v>0</v>
      </c>
      <c r="AU33" s="279">
        <f t="shared" ca="1" si="74"/>
        <v>0</v>
      </c>
      <c r="AV33" s="279">
        <f t="shared" ca="1" si="25"/>
        <v>0</v>
      </c>
      <c r="AW33" s="279">
        <f t="shared" ca="1" si="26"/>
        <v>0</v>
      </c>
      <c r="AX33" s="279">
        <f t="shared" ca="1" si="27"/>
        <v>0</v>
      </c>
      <c r="AY33" s="279">
        <f t="shared" ca="1" si="28"/>
        <v>0</v>
      </c>
      <c r="AZ33" s="279">
        <f t="shared" ca="1" si="29"/>
        <v>0</v>
      </c>
      <c r="BA33" s="279">
        <f t="shared" ca="1" si="30"/>
        <v>0</v>
      </c>
      <c r="BB33" s="279">
        <f t="shared" ca="1" si="31"/>
        <v>0</v>
      </c>
      <c r="BC33" s="279">
        <f t="shared" ca="1" si="32"/>
        <v>0</v>
      </c>
      <c r="BD33" s="279">
        <f t="shared" ca="1" si="33"/>
        <v>0</v>
      </c>
      <c r="BE33" s="279">
        <f t="shared" ca="1" si="34"/>
        <v>0</v>
      </c>
      <c r="BF33" s="279">
        <f t="shared" ca="1" si="35"/>
        <v>0</v>
      </c>
      <c r="BG33" s="279">
        <f t="shared" ca="1" si="36"/>
        <v>0</v>
      </c>
      <c r="BH33" s="279">
        <f t="shared" ca="1" si="75"/>
        <v>0</v>
      </c>
      <c r="BI33" s="279">
        <f t="shared" ca="1" si="76"/>
        <v>0</v>
      </c>
      <c r="BJ33" s="279">
        <f t="shared" ca="1" si="37"/>
        <v>0</v>
      </c>
      <c r="BK33" s="279">
        <f t="shared" ca="1" si="38"/>
        <v>0</v>
      </c>
      <c r="BL33" s="279">
        <f t="shared" ca="1" si="39"/>
        <v>0</v>
      </c>
      <c r="BM33" s="279">
        <f t="shared" ca="1" si="40"/>
        <v>0</v>
      </c>
      <c r="BN33" s="279">
        <f t="shared" ca="1" si="41"/>
        <v>0</v>
      </c>
      <c r="BO33" s="279">
        <f t="shared" ca="1" si="42"/>
        <v>0</v>
      </c>
      <c r="BP33" s="279">
        <f t="shared" ca="1" si="77"/>
        <v>0</v>
      </c>
      <c r="BQ33" s="279">
        <f t="shared" ca="1" si="78"/>
        <v>0</v>
      </c>
      <c r="BR33" s="279">
        <f t="shared" ca="1" si="43"/>
        <v>0</v>
      </c>
      <c r="BS33" s="279">
        <f t="shared" ca="1" si="44"/>
        <v>0</v>
      </c>
      <c r="BT33" s="279">
        <f t="shared" ca="1" si="79"/>
        <v>0</v>
      </c>
      <c r="BU33" s="279">
        <f t="shared" ca="1" si="80"/>
        <v>0</v>
      </c>
      <c r="BV33" s="279">
        <f t="shared" ca="1" si="81"/>
        <v>0</v>
      </c>
      <c r="BW33" s="279">
        <f t="shared" ca="1" si="82"/>
        <v>0</v>
      </c>
      <c r="BX33" s="279">
        <f t="shared" ca="1" si="45"/>
        <v>0</v>
      </c>
      <c r="BY33" s="279">
        <f t="shared" ca="1" si="46"/>
        <v>0</v>
      </c>
      <c r="BZ33" s="279">
        <f t="shared" ca="1" si="47"/>
        <v>0</v>
      </c>
      <c r="CA33" s="279">
        <f t="shared" ca="1" si="48"/>
        <v>0</v>
      </c>
      <c r="CB33" s="279">
        <f t="shared" ca="1" si="49"/>
        <v>0</v>
      </c>
      <c r="CC33" s="279">
        <f t="shared" ca="1" si="50"/>
        <v>0</v>
      </c>
      <c r="CD33" s="279">
        <f t="shared" ca="1" si="83"/>
        <v>0</v>
      </c>
      <c r="CE33" s="279">
        <f t="shared" ca="1" si="84"/>
        <v>0</v>
      </c>
      <c r="CF33" s="279">
        <f t="shared" ca="1" si="85"/>
        <v>0</v>
      </c>
      <c r="CG33" s="279">
        <f t="shared" ca="1" si="86"/>
        <v>0</v>
      </c>
      <c r="CH33" s="279">
        <f t="shared" ca="1" si="51"/>
        <v>0</v>
      </c>
      <c r="CI33" s="279">
        <f t="shared" ca="1" si="52"/>
        <v>0</v>
      </c>
      <c r="CJ33" s="279">
        <f t="shared" ca="1" si="87"/>
        <v>0</v>
      </c>
      <c r="CK33" s="279">
        <f t="shared" ca="1" si="88"/>
        <v>0</v>
      </c>
      <c r="CL33" s="279">
        <f t="shared" ca="1" si="53"/>
        <v>0</v>
      </c>
      <c r="CM33" s="279">
        <f t="shared" ca="1" si="54"/>
        <v>0</v>
      </c>
      <c r="CN33" s="279">
        <f t="shared" ca="1" si="55"/>
        <v>0</v>
      </c>
      <c r="CO33" s="279">
        <f t="shared" ca="1" si="56"/>
        <v>0</v>
      </c>
      <c r="CP33" s="279">
        <f t="shared" ca="1" si="89"/>
        <v>0</v>
      </c>
      <c r="CQ33" s="279">
        <f t="shared" ca="1" si="90"/>
        <v>0</v>
      </c>
      <c r="CR33" s="279">
        <f t="shared" ca="1" si="91"/>
        <v>0</v>
      </c>
      <c r="CS33" s="279">
        <f t="shared" ca="1" si="92"/>
        <v>0</v>
      </c>
      <c r="CT33" s="279">
        <f t="shared" ca="1" si="57"/>
        <v>0</v>
      </c>
      <c r="CU33" s="279">
        <f t="shared" ca="1" si="58"/>
        <v>0</v>
      </c>
      <c r="CV33" s="279">
        <f t="shared" ca="1" si="59"/>
        <v>0</v>
      </c>
      <c r="CW33" s="279">
        <f t="shared" ca="1" si="60"/>
        <v>0</v>
      </c>
      <c r="CX33" s="279">
        <f t="shared" ca="1" si="93"/>
        <v>0</v>
      </c>
      <c r="CY33" s="279">
        <f t="shared" ca="1" si="94"/>
        <v>0</v>
      </c>
      <c r="CZ33" s="279">
        <f t="shared" ca="1" si="95"/>
        <v>0</v>
      </c>
      <c r="DA33" s="279">
        <f t="shared" ca="1" si="96"/>
        <v>0</v>
      </c>
    </row>
    <row r="34" spans="1:105" s="276" customFormat="1" ht="15" customHeight="1">
      <c r="A34" s="63">
        <f t="array" aca="1" ref="A34" ca="1">IF(C34&lt;&gt;0,SUM(($C$11:C34&lt;&gt;0)*1),"")</f>
        <v>24</v>
      </c>
      <c r="B34" s="277" t="str">
        <f ca="1">IF(ROWS($1:24)&gt;COUNT(Dong6),"",OFFSET(TH!C$1,SMALL(Dong6,ROWS($1:24)),))</f>
        <v/>
      </c>
      <c r="C34" s="277" t="str">
        <f ca="1">IF(ROWS($1:24)&gt;COUNT(Dong6),"",OFFSET(TH!D$1,SMALL(Dong6,ROWS($1:24)),))</f>
        <v/>
      </c>
      <c r="D34" s="277" t="str">
        <f ca="1">IF(ROWS($1:24)&gt;COUNT(Dong6),"",OFFSET(TH!E$1,SMALL(Dong6,ROWS($1:24)),))</f>
        <v/>
      </c>
      <c r="E34" s="327" t="str">
        <f ca="1">IF(ROWS($1:24)&gt;COUNT(Dong6),"",OFFSET(TH!F$1,SMALL(Dong6,ROWS($1:24)),))</f>
        <v/>
      </c>
      <c r="F34" s="328" t="str">
        <f ca="1">IF(ROWS($1:24)&gt;COUNT(Dong6),"",OFFSET(TH!M$1,SMALL(Dong6,ROWS($1:24)),))</f>
        <v/>
      </c>
      <c r="G34" s="329" t="str">
        <f ca="1">IF(ROWS($1:24)&gt;COUNT(Dong6),"",OFFSET(TH!N$1,SMALL(Dong6,ROWS($1:24)),))</f>
        <v/>
      </c>
      <c r="H34" s="329" t="str">
        <f ca="1">IF(ROWS($1:24)&gt;COUNT(Dong6),"",OFFSET(TH!O$1,SMALL(Dong6,ROWS($1:24)),))</f>
        <v/>
      </c>
      <c r="I34" s="63">
        <f t="shared" ca="1" si="0"/>
        <v>24</v>
      </c>
      <c r="J34" s="279">
        <f t="shared" ca="1" si="61"/>
        <v>0</v>
      </c>
      <c r="K34" s="279">
        <f t="shared" ca="1" si="62"/>
        <v>0</v>
      </c>
      <c r="L34" s="279">
        <f t="shared" ca="1" si="1"/>
        <v>0</v>
      </c>
      <c r="M34" s="279">
        <f t="shared" ca="1" si="2"/>
        <v>0</v>
      </c>
      <c r="N34" s="279">
        <f t="shared" ca="1" si="3"/>
        <v>0</v>
      </c>
      <c r="O34" s="279">
        <f t="shared" ca="1" si="4"/>
        <v>0</v>
      </c>
      <c r="P34" s="279">
        <f t="shared" ca="1" si="5"/>
        <v>0</v>
      </c>
      <c r="Q34" s="279">
        <f t="shared" ca="1" si="6"/>
        <v>0</v>
      </c>
      <c r="R34" s="279">
        <f t="shared" ca="1" si="7"/>
        <v>0</v>
      </c>
      <c r="S34" s="279">
        <f t="shared" ca="1" si="8"/>
        <v>0</v>
      </c>
      <c r="T34" s="279">
        <f t="shared" ca="1" si="9"/>
        <v>0</v>
      </c>
      <c r="U34" s="279">
        <f t="shared" ca="1" si="10"/>
        <v>0</v>
      </c>
      <c r="V34" s="279">
        <f t="shared" ca="1" si="11"/>
        <v>0</v>
      </c>
      <c r="W34" s="279">
        <f t="shared" ca="1" si="12"/>
        <v>0</v>
      </c>
      <c r="X34" s="279">
        <f t="shared" ca="1" si="13"/>
        <v>0</v>
      </c>
      <c r="Y34" s="279">
        <f t="shared" ca="1" si="14"/>
        <v>0</v>
      </c>
      <c r="Z34" s="279">
        <f t="shared" ca="1" si="15"/>
        <v>0</v>
      </c>
      <c r="AA34" s="279">
        <f t="shared" ca="1" si="16"/>
        <v>0</v>
      </c>
      <c r="AB34" s="279">
        <f t="shared" ca="1" si="63"/>
        <v>0</v>
      </c>
      <c r="AC34" s="279">
        <f t="shared" ca="1" si="64"/>
        <v>0</v>
      </c>
      <c r="AD34" s="279">
        <f t="shared" ca="1" si="17"/>
        <v>0</v>
      </c>
      <c r="AE34" s="279">
        <f t="shared" ca="1" si="18"/>
        <v>0</v>
      </c>
      <c r="AF34" s="279">
        <f t="shared" ca="1" si="19"/>
        <v>0</v>
      </c>
      <c r="AG34" s="279">
        <f t="shared" ca="1" si="20"/>
        <v>0</v>
      </c>
      <c r="AH34" s="279">
        <f t="shared" ca="1" si="65"/>
        <v>0</v>
      </c>
      <c r="AI34" s="279">
        <f t="shared" ca="1" si="66"/>
        <v>0</v>
      </c>
      <c r="AJ34" s="279">
        <f t="shared" ca="1" si="67"/>
        <v>0</v>
      </c>
      <c r="AK34" s="279">
        <f t="shared" ca="1" si="68"/>
        <v>0</v>
      </c>
      <c r="AL34" s="279">
        <f t="shared" ca="1" si="69"/>
        <v>0</v>
      </c>
      <c r="AM34" s="279">
        <f t="shared" ca="1" si="70"/>
        <v>0</v>
      </c>
      <c r="AN34" s="279">
        <f t="shared" ca="1" si="71"/>
        <v>0</v>
      </c>
      <c r="AO34" s="279">
        <f t="shared" ca="1" si="72"/>
        <v>0</v>
      </c>
      <c r="AP34" s="279">
        <f t="shared" ca="1" si="21"/>
        <v>0</v>
      </c>
      <c r="AQ34" s="279">
        <f t="shared" ca="1" si="22"/>
        <v>0</v>
      </c>
      <c r="AR34" s="279">
        <f t="shared" ca="1" si="23"/>
        <v>0</v>
      </c>
      <c r="AS34" s="279">
        <f t="shared" ca="1" si="24"/>
        <v>0</v>
      </c>
      <c r="AT34" s="279">
        <f t="shared" ca="1" si="73"/>
        <v>0</v>
      </c>
      <c r="AU34" s="279">
        <f t="shared" ca="1" si="74"/>
        <v>0</v>
      </c>
      <c r="AV34" s="279">
        <f t="shared" ca="1" si="25"/>
        <v>0</v>
      </c>
      <c r="AW34" s="279">
        <f t="shared" ca="1" si="26"/>
        <v>0</v>
      </c>
      <c r="AX34" s="279">
        <f t="shared" ca="1" si="27"/>
        <v>0</v>
      </c>
      <c r="AY34" s="279">
        <f t="shared" ca="1" si="28"/>
        <v>0</v>
      </c>
      <c r="AZ34" s="279">
        <f t="shared" ca="1" si="29"/>
        <v>0</v>
      </c>
      <c r="BA34" s="279">
        <f t="shared" ca="1" si="30"/>
        <v>0</v>
      </c>
      <c r="BB34" s="279">
        <f t="shared" ca="1" si="31"/>
        <v>0</v>
      </c>
      <c r="BC34" s="279">
        <f t="shared" ca="1" si="32"/>
        <v>0</v>
      </c>
      <c r="BD34" s="279">
        <f t="shared" ca="1" si="33"/>
        <v>0</v>
      </c>
      <c r="BE34" s="279">
        <f t="shared" ca="1" si="34"/>
        <v>0</v>
      </c>
      <c r="BF34" s="279">
        <f t="shared" ca="1" si="35"/>
        <v>0</v>
      </c>
      <c r="BG34" s="279">
        <f t="shared" ca="1" si="36"/>
        <v>0</v>
      </c>
      <c r="BH34" s="279">
        <f t="shared" ca="1" si="75"/>
        <v>0</v>
      </c>
      <c r="BI34" s="279">
        <f t="shared" ca="1" si="76"/>
        <v>0</v>
      </c>
      <c r="BJ34" s="279">
        <f t="shared" ca="1" si="37"/>
        <v>0</v>
      </c>
      <c r="BK34" s="279">
        <f t="shared" ca="1" si="38"/>
        <v>0</v>
      </c>
      <c r="BL34" s="279">
        <f t="shared" ca="1" si="39"/>
        <v>0</v>
      </c>
      <c r="BM34" s="279">
        <f t="shared" ca="1" si="40"/>
        <v>0</v>
      </c>
      <c r="BN34" s="279">
        <f t="shared" ca="1" si="41"/>
        <v>0</v>
      </c>
      <c r="BO34" s="279">
        <f t="shared" ca="1" si="42"/>
        <v>0</v>
      </c>
      <c r="BP34" s="279">
        <f t="shared" ca="1" si="77"/>
        <v>0</v>
      </c>
      <c r="BQ34" s="279">
        <f t="shared" ca="1" si="78"/>
        <v>0</v>
      </c>
      <c r="BR34" s="279">
        <f t="shared" ca="1" si="43"/>
        <v>0</v>
      </c>
      <c r="BS34" s="279">
        <f t="shared" ca="1" si="44"/>
        <v>0</v>
      </c>
      <c r="BT34" s="279">
        <f t="shared" ca="1" si="79"/>
        <v>0</v>
      </c>
      <c r="BU34" s="279">
        <f t="shared" ca="1" si="80"/>
        <v>0</v>
      </c>
      <c r="BV34" s="279">
        <f t="shared" ca="1" si="81"/>
        <v>0</v>
      </c>
      <c r="BW34" s="279">
        <f t="shared" ca="1" si="82"/>
        <v>0</v>
      </c>
      <c r="BX34" s="279">
        <f t="shared" ca="1" si="45"/>
        <v>0</v>
      </c>
      <c r="BY34" s="279">
        <f t="shared" ca="1" si="46"/>
        <v>0</v>
      </c>
      <c r="BZ34" s="279">
        <f t="shared" ca="1" si="47"/>
        <v>0</v>
      </c>
      <c r="CA34" s="279">
        <f t="shared" ca="1" si="48"/>
        <v>0</v>
      </c>
      <c r="CB34" s="279">
        <f t="shared" ca="1" si="49"/>
        <v>0</v>
      </c>
      <c r="CC34" s="279">
        <f t="shared" ca="1" si="50"/>
        <v>0</v>
      </c>
      <c r="CD34" s="279">
        <f t="shared" ca="1" si="83"/>
        <v>0</v>
      </c>
      <c r="CE34" s="279">
        <f t="shared" ca="1" si="84"/>
        <v>0</v>
      </c>
      <c r="CF34" s="279">
        <f t="shared" ca="1" si="85"/>
        <v>0</v>
      </c>
      <c r="CG34" s="279">
        <f t="shared" ca="1" si="86"/>
        <v>0</v>
      </c>
      <c r="CH34" s="279">
        <f t="shared" ca="1" si="51"/>
        <v>0</v>
      </c>
      <c r="CI34" s="279">
        <f t="shared" ca="1" si="52"/>
        <v>0</v>
      </c>
      <c r="CJ34" s="279">
        <f t="shared" ca="1" si="87"/>
        <v>0</v>
      </c>
      <c r="CK34" s="279">
        <f t="shared" ca="1" si="88"/>
        <v>0</v>
      </c>
      <c r="CL34" s="279">
        <f t="shared" ca="1" si="53"/>
        <v>0</v>
      </c>
      <c r="CM34" s="279">
        <f t="shared" ca="1" si="54"/>
        <v>0</v>
      </c>
      <c r="CN34" s="279">
        <f t="shared" ca="1" si="55"/>
        <v>0</v>
      </c>
      <c r="CO34" s="279">
        <f t="shared" ca="1" si="56"/>
        <v>0</v>
      </c>
      <c r="CP34" s="279">
        <f t="shared" ca="1" si="89"/>
        <v>0</v>
      </c>
      <c r="CQ34" s="279">
        <f t="shared" ca="1" si="90"/>
        <v>0</v>
      </c>
      <c r="CR34" s="279">
        <f t="shared" ca="1" si="91"/>
        <v>0</v>
      </c>
      <c r="CS34" s="279">
        <f t="shared" ca="1" si="92"/>
        <v>0</v>
      </c>
      <c r="CT34" s="279">
        <f t="shared" ca="1" si="57"/>
        <v>0</v>
      </c>
      <c r="CU34" s="279">
        <f t="shared" ca="1" si="58"/>
        <v>0</v>
      </c>
      <c r="CV34" s="279">
        <f t="shared" ca="1" si="59"/>
        <v>0</v>
      </c>
      <c r="CW34" s="279">
        <f t="shared" ca="1" si="60"/>
        <v>0</v>
      </c>
      <c r="CX34" s="279">
        <f t="shared" ca="1" si="93"/>
        <v>0</v>
      </c>
      <c r="CY34" s="279">
        <f t="shared" ca="1" si="94"/>
        <v>0</v>
      </c>
      <c r="CZ34" s="279">
        <f t="shared" ca="1" si="95"/>
        <v>0</v>
      </c>
      <c r="DA34" s="279">
        <f t="shared" ca="1" si="96"/>
        <v>0</v>
      </c>
    </row>
    <row r="35" spans="1:105" s="276" customFormat="1" ht="15" customHeight="1">
      <c r="A35" s="63">
        <f t="array" aca="1" ref="A35" ca="1">IF(C35&lt;&gt;0,SUM(($C$11:C35&lt;&gt;0)*1),"")</f>
        <v>25</v>
      </c>
      <c r="B35" s="277" t="str">
        <f ca="1">IF(ROWS($1:25)&gt;COUNT(Dong6),"",OFFSET(TH!C$1,SMALL(Dong6,ROWS($1:25)),))</f>
        <v/>
      </c>
      <c r="C35" s="277" t="str">
        <f ca="1">IF(ROWS($1:25)&gt;COUNT(Dong6),"",OFFSET(TH!D$1,SMALL(Dong6,ROWS($1:25)),))</f>
        <v/>
      </c>
      <c r="D35" s="277" t="str">
        <f ca="1">IF(ROWS($1:25)&gt;COUNT(Dong6),"",OFFSET(TH!E$1,SMALL(Dong6,ROWS($1:25)),))</f>
        <v/>
      </c>
      <c r="E35" s="327" t="str">
        <f ca="1">IF(ROWS($1:25)&gt;COUNT(Dong6),"",OFFSET(TH!F$1,SMALL(Dong6,ROWS($1:25)),))</f>
        <v/>
      </c>
      <c r="F35" s="328" t="str">
        <f ca="1">IF(ROWS($1:25)&gt;COUNT(Dong6),"",OFFSET(TH!M$1,SMALL(Dong6,ROWS($1:25)),))</f>
        <v/>
      </c>
      <c r="G35" s="329" t="str">
        <f ca="1">IF(ROWS($1:25)&gt;COUNT(Dong6),"",OFFSET(TH!N$1,SMALL(Dong6,ROWS($1:25)),))</f>
        <v/>
      </c>
      <c r="H35" s="329" t="str">
        <f ca="1">IF(ROWS($1:25)&gt;COUNT(Dong6),"",OFFSET(TH!O$1,SMALL(Dong6,ROWS($1:25)),))</f>
        <v/>
      </c>
      <c r="I35" s="63">
        <f ca="1">A35</f>
        <v>25</v>
      </c>
      <c r="J35" s="279">
        <f t="shared" ca="1" si="61"/>
        <v>0</v>
      </c>
      <c r="K35" s="279">
        <f t="shared" ca="1" si="62"/>
        <v>0</v>
      </c>
      <c r="L35" s="279">
        <f t="shared" ca="1" si="1"/>
        <v>0</v>
      </c>
      <c r="M35" s="279">
        <f t="shared" ca="1" si="2"/>
        <v>0</v>
      </c>
      <c r="N35" s="279">
        <f t="shared" ca="1" si="3"/>
        <v>0</v>
      </c>
      <c r="O35" s="279">
        <f t="shared" ca="1" si="4"/>
        <v>0</v>
      </c>
      <c r="P35" s="279">
        <f t="shared" ca="1" si="5"/>
        <v>0</v>
      </c>
      <c r="Q35" s="279">
        <f t="shared" ca="1" si="6"/>
        <v>0</v>
      </c>
      <c r="R35" s="279">
        <f t="shared" ca="1" si="7"/>
        <v>0</v>
      </c>
      <c r="S35" s="279">
        <f t="shared" ca="1" si="8"/>
        <v>0</v>
      </c>
      <c r="T35" s="279">
        <f t="shared" ca="1" si="9"/>
        <v>0</v>
      </c>
      <c r="U35" s="279">
        <f t="shared" ca="1" si="10"/>
        <v>0</v>
      </c>
      <c r="V35" s="279">
        <f t="shared" ca="1" si="11"/>
        <v>0</v>
      </c>
      <c r="W35" s="279">
        <f t="shared" ca="1" si="12"/>
        <v>0</v>
      </c>
      <c r="X35" s="279">
        <f t="shared" ca="1" si="13"/>
        <v>0</v>
      </c>
      <c r="Y35" s="279">
        <f t="shared" ca="1" si="14"/>
        <v>0</v>
      </c>
      <c r="Z35" s="279">
        <f t="shared" ca="1" si="15"/>
        <v>0</v>
      </c>
      <c r="AA35" s="279">
        <f t="shared" ca="1" si="16"/>
        <v>0</v>
      </c>
      <c r="AB35" s="279">
        <f t="shared" ca="1" si="63"/>
        <v>0</v>
      </c>
      <c r="AC35" s="279">
        <f t="shared" ca="1" si="64"/>
        <v>0</v>
      </c>
      <c r="AD35" s="279">
        <f t="shared" ca="1" si="17"/>
        <v>0</v>
      </c>
      <c r="AE35" s="279">
        <f t="shared" ca="1" si="18"/>
        <v>0</v>
      </c>
      <c r="AF35" s="279">
        <f t="shared" ca="1" si="19"/>
        <v>0</v>
      </c>
      <c r="AG35" s="279">
        <f t="shared" ca="1" si="20"/>
        <v>0</v>
      </c>
      <c r="AH35" s="279">
        <f t="shared" ca="1" si="65"/>
        <v>0</v>
      </c>
      <c r="AI35" s="279">
        <f t="shared" ca="1" si="66"/>
        <v>0</v>
      </c>
      <c r="AJ35" s="279">
        <f t="shared" ca="1" si="67"/>
        <v>0</v>
      </c>
      <c r="AK35" s="279">
        <f t="shared" ca="1" si="68"/>
        <v>0</v>
      </c>
      <c r="AL35" s="279">
        <f t="shared" ca="1" si="69"/>
        <v>0</v>
      </c>
      <c r="AM35" s="279">
        <f t="shared" ca="1" si="70"/>
        <v>0</v>
      </c>
      <c r="AN35" s="279">
        <f t="shared" ca="1" si="71"/>
        <v>0</v>
      </c>
      <c r="AO35" s="279">
        <f t="shared" ca="1" si="72"/>
        <v>0</v>
      </c>
      <c r="AP35" s="279">
        <f t="shared" ca="1" si="21"/>
        <v>0</v>
      </c>
      <c r="AQ35" s="279">
        <f t="shared" ca="1" si="22"/>
        <v>0</v>
      </c>
      <c r="AR35" s="279">
        <f t="shared" ca="1" si="23"/>
        <v>0</v>
      </c>
      <c r="AS35" s="279">
        <f t="shared" ca="1" si="24"/>
        <v>0</v>
      </c>
      <c r="AT35" s="279">
        <f t="shared" ca="1" si="73"/>
        <v>0</v>
      </c>
      <c r="AU35" s="279">
        <f t="shared" ca="1" si="74"/>
        <v>0</v>
      </c>
      <c r="AV35" s="279">
        <f t="shared" ca="1" si="25"/>
        <v>0</v>
      </c>
      <c r="AW35" s="279">
        <f t="shared" ca="1" si="26"/>
        <v>0</v>
      </c>
      <c r="AX35" s="279">
        <f t="shared" ca="1" si="27"/>
        <v>0</v>
      </c>
      <c r="AY35" s="279">
        <f t="shared" ca="1" si="28"/>
        <v>0</v>
      </c>
      <c r="AZ35" s="279">
        <f t="shared" ca="1" si="29"/>
        <v>0</v>
      </c>
      <c r="BA35" s="279">
        <f t="shared" ca="1" si="30"/>
        <v>0</v>
      </c>
      <c r="BB35" s="279">
        <f t="shared" ca="1" si="31"/>
        <v>0</v>
      </c>
      <c r="BC35" s="279">
        <f t="shared" ca="1" si="32"/>
        <v>0</v>
      </c>
      <c r="BD35" s="279">
        <f t="shared" ca="1" si="33"/>
        <v>0</v>
      </c>
      <c r="BE35" s="279">
        <f t="shared" ca="1" si="34"/>
        <v>0</v>
      </c>
      <c r="BF35" s="279">
        <f t="shared" ca="1" si="35"/>
        <v>0</v>
      </c>
      <c r="BG35" s="279">
        <f t="shared" ca="1" si="36"/>
        <v>0</v>
      </c>
      <c r="BH35" s="279">
        <f t="shared" ca="1" si="75"/>
        <v>0</v>
      </c>
      <c r="BI35" s="279">
        <f t="shared" ca="1" si="76"/>
        <v>0</v>
      </c>
      <c r="BJ35" s="279">
        <f t="shared" ca="1" si="37"/>
        <v>0</v>
      </c>
      <c r="BK35" s="279">
        <f t="shared" ca="1" si="38"/>
        <v>0</v>
      </c>
      <c r="BL35" s="279">
        <f t="shared" ca="1" si="39"/>
        <v>0</v>
      </c>
      <c r="BM35" s="279">
        <f t="shared" ca="1" si="40"/>
        <v>0</v>
      </c>
      <c r="BN35" s="279">
        <f t="shared" ca="1" si="41"/>
        <v>0</v>
      </c>
      <c r="BO35" s="279">
        <f t="shared" ca="1" si="42"/>
        <v>0</v>
      </c>
      <c r="BP35" s="279">
        <f t="shared" ca="1" si="77"/>
        <v>0</v>
      </c>
      <c r="BQ35" s="279">
        <f t="shared" ca="1" si="78"/>
        <v>0</v>
      </c>
      <c r="BR35" s="279">
        <f t="shared" ca="1" si="43"/>
        <v>0</v>
      </c>
      <c r="BS35" s="279">
        <f t="shared" ca="1" si="44"/>
        <v>0</v>
      </c>
      <c r="BT35" s="279">
        <f t="shared" ca="1" si="79"/>
        <v>0</v>
      </c>
      <c r="BU35" s="279">
        <f t="shared" ca="1" si="80"/>
        <v>0</v>
      </c>
      <c r="BV35" s="279">
        <f t="shared" ca="1" si="81"/>
        <v>0</v>
      </c>
      <c r="BW35" s="279">
        <f t="shared" ca="1" si="82"/>
        <v>0</v>
      </c>
      <c r="BX35" s="279">
        <f t="shared" ca="1" si="45"/>
        <v>0</v>
      </c>
      <c r="BY35" s="279">
        <f t="shared" ca="1" si="46"/>
        <v>0</v>
      </c>
      <c r="BZ35" s="279">
        <f t="shared" ca="1" si="47"/>
        <v>0</v>
      </c>
      <c r="CA35" s="279">
        <f t="shared" ca="1" si="48"/>
        <v>0</v>
      </c>
      <c r="CB35" s="279">
        <f t="shared" ca="1" si="49"/>
        <v>0</v>
      </c>
      <c r="CC35" s="279">
        <f t="shared" ca="1" si="50"/>
        <v>0</v>
      </c>
      <c r="CD35" s="279">
        <f t="shared" ca="1" si="83"/>
        <v>0</v>
      </c>
      <c r="CE35" s="279">
        <f t="shared" ca="1" si="84"/>
        <v>0</v>
      </c>
      <c r="CF35" s="279">
        <f t="shared" ca="1" si="85"/>
        <v>0</v>
      </c>
      <c r="CG35" s="279">
        <f t="shared" ca="1" si="86"/>
        <v>0</v>
      </c>
      <c r="CH35" s="279">
        <f t="shared" ca="1" si="51"/>
        <v>0</v>
      </c>
      <c r="CI35" s="279">
        <f t="shared" ca="1" si="52"/>
        <v>0</v>
      </c>
      <c r="CJ35" s="279">
        <f t="shared" ca="1" si="87"/>
        <v>0</v>
      </c>
      <c r="CK35" s="279">
        <f t="shared" ca="1" si="88"/>
        <v>0</v>
      </c>
      <c r="CL35" s="279">
        <f t="shared" ca="1" si="53"/>
        <v>0</v>
      </c>
      <c r="CM35" s="279">
        <f t="shared" ca="1" si="54"/>
        <v>0</v>
      </c>
      <c r="CN35" s="279">
        <f t="shared" ca="1" si="55"/>
        <v>0</v>
      </c>
      <c r="CO35" s="279">
        <f t="shared" ca="1" si="56"/>
        <v>0</v>
      </c>
      <c r="CP35" s="279">
        <f t="shared" ca="1" si="89"/>
        <v>0</v>
      </c>
      <c r="CQ35" s="279">
        <f t="shared" ca="1" si="90"/>
        <v>0</v>
      </c>
      <c r="CR35" s="279">
        <f t="shared" ca="1" si="91"/>
        <v>0</v>
      </c>
      <c r="CS35" s="279">
        <f t="shared" ca="1" si="92"/>
        <v>0</v>
      </c>
      <c r="CT35" s="279">
        <f t="shared" ca="1" si="57"/>
        <v>0</v>
      </c>
      <c r="CU35" s="279">
        <f t="shared" ca="1" si="58"/>
        <v>0</v>
      </c>
      <c r="CV35" s="279">
        <f t="shared" ca="1" si="59"/>
        <v>0</v>
      </c>
      <c r="CW35" s="279">
        <f t="shared" ca="1" si="60"/>
        <v>0</v>
      </c>
      <c r="CX35" s="279">
        <f t="shared" ca="1" si="93"/>
        <v>0</v>
      </c>
      <c r="CY35" s="279">
        <f t="shared" ca="1" si="94"/>
        <v>0</v>
      </c>
      <c r="CZ35" s="279">
        <f t="shared" ca="1" si="95"/>
        <v>0</v>
      </c>
      <c r="DA35" s="279">
        <f t="shared" ca="1" si="96"/>
        <v>0</v>
      </c>
    </row>
    <row r="36" spans="1:105" s="276" customFormat="1" ht="15" customHeight="1">
      <c r="A36" s="63">
        <f t="array" aca="1" ref="A36" ca="1">IF(C36&lt;&gt;0,SUM(($C$11:C36&lt;&gt;0)*1),"")</f>
        <v>26</v>
      </c>
      <c r="B36" s="277" t="str">
        <f ca="1">IF(ROWS($1:26)&gt;COUNT(Dong6),"",OFFSET(TH!C$1,SMALL(Dong6,ROWS($1:26)),))</f>
        <v/>
      </c>
      <c r="C36" s="277" t="str">
        <f ca="1">IF(ROWS($1:26)&gt;COUNT(Dong6),"",OFFSET(TH!D$1,SMALL(Dong6,ROWS($1:26)),))</f>
        <v/>
      </c>
      <c r="D36" s="277" t="str">
        <f ca="1">IF(ROWS($1:26)&gt;COUNT(Dong6),"",OFFSET(TH!E$1,SMALL(Dong6,ROWS($1:26)),))</f>
        <v/>
      </c>
      <c r="E36" s="327" t="str">
        <f ca="1">IF(ROWS($1:26)&gt;COUNT(Dong6),"",OFFSET(TH!F$1,SMALL(Dong6,ROWS($1:26)),))</f>
        <v/>
      </c>
      <c r="F36" s="328" t="str">
        <f ca="1">IF(ROWS($1:26)&gt;COUNT(Dong6),"",OFFSET(TH!M$1,SMALL(Dong6,ROWS($1:26)),))</f>
        <v/>
      </c>
      <c r="G36" s="329" t="str">
        <f ca="1">IF(ROWS($1:26)&gt;COUNT(Dong6),"",OFFSET(TH!N$1,SMALL(Dong6,ROWS($1:26)),))</f>
        <v/>
      </c>
      <c r="H36" s="329" t="str">
        <f ca="1">IF(ROWS($1:26)&gt;COUNT(Dong6),"",OFFSET(TH!O$1,SMALL(Dong6,ROWS($1:26)),))</f>
        <v/>
      </c>
      <c r="I36" s="63">
        <f ca="1">A36</f>
        <v>26</v>
      </c>
      <c r="J36" s="279">
        <f t="shared" ca="1" si="61"/>
        <v>0</v>
      </c>
      <c r="K36" s="279">
        <f t="shared" ca="1" si="62"/>
        <v>0</v>
      </c>
      <c r="L36" s="279">
        <f t="shared" ca="1" si="1"/>
        <v>0</v>
      </c>
      <c r="M36" s="279">
        <f t="shared" ca="1" si="2"/>
        <v>0</v>
      </c>
      <c r="N36" s="279">
        <f t="shared" ca="1" si="3"/>
        <v>0</v>
      </c>
      <c r="O36" s="279">
        <f t="shared" ca="1" si="4"/>
        <v>0</v>
      </c>
      <c r="P36" s="279">
        <f t="shared" ca="1" si="5"/>
        <v>0</v>
      </c>
      <c r="Q36" s="279">
        <f t="shared" ca="1" si="6"/>
        <v>0</v>
      </c>
      <c r="R36" s="279">
        <f t="shared" ca="1" si="7"/>
        <v>0</v>
      </c>
      <c r="S36" s="279">
        <f t="shared" ca="1" si="8"/>
        <v>0</v>
      </c>
      <c r="T36" s="279">
        <f t="shared" ca="1" si="9"/>
        <v>0</v>
      </c>
      <c r="U36" s="279">
        <f t="shared" ca="1" si="10"/>
        <v>0</v>
      </c>
      <c r="V36" s="279">
        <f t="shared" ca="1" si="11"/>
        <v>0</v>
      </c>
      <c r="W36" s="279">
        <f t="shared" ca="1" si="12"/>
        <v>0</v>
      </c>
      <c r="X36" s="279">
        <f t="shared" ca="1" si="13"/>
        <v>0</v>
      </c>
      <c r="Y36" s="279">
        <f t="shared" ca="1" si="14"/>
        <v>0</v>
      </c>
      <c r="Z36" s="279">
        <f t="shared" ca="1" si="15"/>
        <v>0</v>
      </c>
      <c r="AA36" s="279">
        <f t="shared" ca="1" si="16"/>
        <v>0</v>
      </c>
      <c r="AB36" s="279">
        <f t="shared" ca="1" si="63"/>
        <v>0</v>
      </c>
      <c r="AC36" s="279">
        <f t="shared" ca="1" si="64"/>
        <v>0</v>
      </c>
      <c r="AD36" s="279">
        <f t="shared" ca="1" si="17"/>
        <v>0</v>
      </c>
      <c r="AE36" s="279">
        <f t="shared" ca="1" si="18"/>
        <v>0</v>
      </c>
      <c r="AF36" s="279">
        <f t="shared" ca="1" si="19"/>
        <v>0</v>
      </c>
      <c r="AG36" s="279">
        <f t="shared" ca="1" si="20"/>
        <v>0</v>
      </c>
      <c r="AH36" s="279">
        <f t="shared" ca="1" si="65"/>
        <v>0</v>
      </c>
      <c r="AI36" s="279">
        <f t="shared" ca="1" si="66"/>
        <v>0</v>
      </c>
      <c r="AJ36" s="279">
        <f t="shared" ca="1" si="67"/>
        <v>0</v>
      </c>
      <c r="AK36" s="279">
        <f t="shared" ca="1" si="68"/>
        <v>0</v>
      </c>
      <c r="AL36" s="279">
        <f t="shared" ca="1" si="69"/>
        <v>0</v>
      </c>
      <c r="AM36" s="279">
        <f t="shared" ca="1" si="70"/>
        <v>0</v>
      </c>
      <c r="AN36" s="279">
        <f t="shared" ca="1" si="71"/>
        <v>0</v>
      </c>
      <c r="AO36" s="279">
        <f t="shared" ca="1" si="72"/>
        <v>0</v>
      </c>
      <c r="AP36" s="279">
        <f t="shared" ca="1" si="21"/>
        <v>0</v>
      </c>
      <c r="AQ36" s="279">
        <f t="shared" ca="1" si="22"/>
        <v>0</v>
      </c>
      <c r="AR36" s="279">
        <f t="shared" ca="1" si="23"/>
        <v>0</v>
      </c>
      <c r="AS36" s="279">
        <f t="shared" ca="1" si="24"/>
        <v>0</v>
      </c>
      <c r="AT36" s="279">
        <f t="shared" ca="1" si="73"/>
        <v>0</v>
      </c>
      <c r="AU36" s="279">
        <f t="shared" ca="1" si="74"/>
        <v>0</v>
      </c>
      <c r="AV36" s="279">
        <f t="shared" ca="1" si="25"/>
        <v>0</v>
      </c>
      <c r="AW36" s="279">
        <f t="shared" ca="1" si="26"/>
        <v>0</v>
      </c>
      <c r="AX36" s="279">
        <f t="shared" ca="1" si="27"/>
        <v>0</v>
      </c>
      <c r="AY36" s="279">
        <f t="shared" ca="1" si="28"/>
        <v>0</v>
      </c>
      <c r="AZ36" s="279">
        <f t="shared" ca="1" si="29"/>
        <v>0</v>
      </c>
      <c r="BA36" s="279">
        <f t="shared" ca="1" si="30"/>
        <v>0</v>
      </c>
      <c r="BB36" s="279">
        <f t="shared" ca="1" si="31"/>
        <v>0</v>
      </c>
      <c r="BC36" s="279">
        <f t="shared" ca="1" si="32"/>
        <v>0</v>
      </c>
      <c r="BD36" s="279">
        <f t="shared" ca="1" si="33"/>
        <v>0</v>
      </c>
      <c r="BE36" s="279">
        <f t="shared" ca="1" si="34"/>
        <v>0</v>
      </c>
      <c r="BF36" s="279">
        <f t="shared" ca="1" si="35"/>
        <v>0</v>
      </c>
      <c r="BG36" s="279">
        <f t="shared" ca="1" si="36"/>
        <v>0</v>
      </c>
      <c r="BH36" s="279">
        <f t="shared" ca="1" si="75"/>
        <v>0</v>
      </c>
      <c r="BI36" s="279">
        <f t="shared" ca="1" si="76"/>
        <v>0</v>
      </c>
      <c r="BJ36" s="279">
        <f t="shared" ca="1" si="37"/>
        <v>0</v>
      </c>
      <c r="BK36" s="279">
        <f t="shared" ca="1" si="38"/>
        <v>0</v>
      </c>
      <c r="BL36" s="279">
        <f t="shared" ca="1" si="39"/>
        <v>0</v>
      </c>
      <c r="BM36" s="279">
        <f t="shared" ca="1" si="40"/>
        <v>0</v>
      </c>
      <c r="BN36" s="279">
        <f t="shared" ca="1" si="41"/>
        <v>0</v>
      </c>
      <c r="BO36" s="279">
        <f t="shared" ca="1" si="42"/>
        <v>0</v>
      </c>
      <c r="BP36" s="279">
        <f t="shared" ca="1" si="77"/>
        <v>0</v>
      </c>
      <c r="BQ36" s="279">
        <f t="shared" ca="1" si="78"/>
        <v>0</v>
      </c>
      <c r="BR36" s="279">
        <f t="shared" ca="1" si="43"/>
        <v>0</v>
      </c>
      <c r="BS36" s="279">
        <f t="shared" ca="1" si="44"/>
        <v>0</v>
      </c>
      <c r="BT36" s="279">
        <f t="shared" ca="1" si="79"/>
        <v>0</v>
      </c>
      <c r="BU36" s="279">
        <f t="shared" ca="1" si="80"/>
        <v>0</v>
      </c>
      <c r="BV36" s="279">
        <f t="shared" ca="1" si="81"/>
        <v>0</v>
      </c>
      <c r="BW36" s="279">
        <f t="shared" ca="1" si="82"/>
        <v>0</v>
      </c>
      <c r="BX36" s="279">
        <f t="shared" ca="1" si="45"/>
        <v>0</v>
      </c>
      <c r="BY36" s="279">
        <f t="shared" ca="1" si="46"/>
        <v>0</v>
      </c>
      <c r="BZ36" s="279">
        <f t="shared" ca="1" si="47"/>
        <v>0</v>
      </c>
      <c r="CA36" s="279">
        <f t="shared" ca="1" si="48"/>
        <v>0</v>
      </c>
      <c r="CB36" s="279">
        <f t="shared" ca="1" si="49"/>
        <v>0</v>
      </c>
      <c r="CC36" s="279">
        <f t="shared" ca="1" si="50"/>
        <v>0</v>
      </c>
      <c r="CD36" s="279">
        <f t="shared" ca="1" si="83"/>
        <v>0</v>
      </c>
      <c r="CE36" s="279">
        <f t="shared" ca="1" si="84"/>
        <v>0</v>
      </c>
      <c r="CF36" s="279">
        <f t="shared" ca="1" si="85"/>
        <v>0</v>
      </c>
      <c r="CG36" s="279">
        <f t="shared" ca="1" si="86"/>
        <v>0</v>
      </c>
      <c r="CH36" s="279">
        <f t="shared" ca="1" si="51"/>
        <v>0</v>
      </c>
      <c r="CI36" s="279">
        <f t="shared" ca="1" si="52"/>
        <v>0</v>
      </c>
      <c r="CJ36" s="279">
        <f t="shared" ca="1" si="87"/>
        <v>0</v>
      </c>
      <c r="CK36" s="279">
        <f t="shared" ca="1" si="88"/>
        <v>0</v>
      </c>
      <c r="CL36" s="279">
        <f t="shared" ca="1" si="53"/>
        <v>0</v>
      </c>
      <c r="CM36" s="279">
        <f t="shared" ca="1" si="54"/>
        <v>0</v>
      </c>
      <c r="CN36" s="279">
        <f t="shared" ca="1" si="55"/>
        <v>0</v>
      </c>
      <c r="CO36" s="279">
        <f t="shared" ca="1" si="56"/>
        <v>0</v>
      </c>
      <c r="CP36" s="279">
        <f t="shared" ca="1" si="89"/>
        <v>0</v>
      </c>
      <c r="CQ36" s="279">
        <f t="shared" ca="1" si="90"/>
        <v>0</v>
      </c>
      <c r="CR36" s="279">
        <f t="shared" ca="1" si="91"/>
        <v>0</v>
      </c>
      <c r="CS36" s="279">
        <f t="shared" ca="1" si="92"/>
        <v>0</v>
      </c>
      <c r="CT36" s="279">
        <f t="shared" ca="1" si="57"/>
        <v>0</v>
      </c>
      <c r="CU36" s="279">
        <f t="shared" ca="1" si="58"/>
        <v>0</v>
      </c>
      <c r="CV36" s="279">
        <f t="shared" ca="1" si="59"/>
        <v>0</v>
      </c>
      <c r="CW36" s="279">
        <f t="shared" ca="1" si="60"/>
        <v>0</v>
      </c>
      <c r="CX36" s="279">
        <f t="shared" ca="1" si="93"/>
        <v>0</v>
      </c>
      <c r="CY36" s="279">
        <f t="shared" ca="1" si="94"/>
        <v>0</v>
      </c>
      <c r="CZ36" s="279">
        <f t="shared" ca="1" si="95"/>
        <v>0</v>
      </c>
      <c r="DA36" s="279">
        <f t="shared" ca="1" si="96"/>
        <v>0</v>
      </c>
    </row>
    <row r="37" spans="1:105" s="276" customFormat="1" ht="15" customHeight="1">
      <c r="A37" s="63">
        <f t="array" aca="1" ref="A37" ca="1">IF(C37&lt;&gt;0,SUM(($C$11:C37&lt;&gt;0)*1),"")</f>
        <v>27</v>
      </c>
      <c r="B37" s="277" t="str">
        <f ca="1">IF(ROWS($1:27)&gt;COUNT(Dong6),"",OFFSET(TH!C$1,SMALL(Dong6,ROWS($1:27)),))</f>
        <v/>
      </c>
      <c r="C37" s="277" t="str">
        <f ca="1">IF(ROWS($1:27)&gt;COUNT(Dong6),"",OFFSET(TH!D$1,SMALL(Dong6,ROWS($1:27)),))</f>
        <v/>
      </c>
      <c r="D37" s="277" t="str">
        <f ca="1">IF(ROWS($1:27)&gt;COUNT(Dong6),"",OFFSET(TH!E$1,SMALL(Dong6,ROWS($1:27)),))</f>
        <v/>
      </c>
      <c r="E37" s="327" t="str">
        <f ca="1">IF(ROWS($1:27)&gt;COUNT(Dong6),"",OFFSET(TH!F$1,SMALL(Dong6,ROWS($1:27)),))</f>
        <v/>
      </c>
      <c r="F37" s="328" t="str">
        <f ca="1">IF(ROWS($1:27)&gt;COUNT(Dong6),"",OFFSET(TH!M$1,SMALL(Dong6,ROWS($1:27)),))</f>
        <v/>
      </c>
      <c r="G37" s="329" t="str">
        <f ca="1">IF(ROWS($1:27)&gt;COUNT(Dong6),"",OFFSET(TH!N$1,SMALL(Dong6,ROWS($1:27)),))</f>
        <v/>
      </c>
      <c r="H37" s="329" t="str">
        <f ca="1">IF(ROWS($1:27)&gt;COUNT(Dong6),"",OFFSET(TH!O$1,SMALL(Dong6,ROWS($1:27)),))</f>
        <v/>
      </c>
      <c r="I37" s="63">
        <f ca="1">A37</f>
        <v>27</v>
      </c>
      <c r="J37" s="279">
        <f t="shared" ca="1" si="61"/>
        <v>0</v>
      </c>
      <c r="K37" s="279">
        <f t="shared" ca="1" si="62"/>
        <v>0</v>
      </c>
      <c r="L37" s="279">
        <f t="shared" ca="1" si="1"/>
        <v>0</v>
      </c>
      <c r="M37" s="279">
        <f t="shared" ca="1" si="2"/>
        <v>0</v>
      </c>
      <c r="N37" s="279">
        <f t="shared" ca="1" si="3"/>
        <v>0</v>
      </c>
      <c r="O37" s="279">
        <f t="shared" ca="1" si="4"/>
        <v>0</v>
      </c>
      <c r="P37" s="279">
        <f t="shared" ca="1" si="5"/>
        <v>0</v>
      </c>
      <c r="Q37" s="279">
        <f t="shared" ca="1" si="6"/>
        <v>0</v>
      </c>
      <c r="R37" s="279">
        <f t="shared" ca="1" si="7"/>
        <v>0</v>
      </c>
      <c r="S37" s="279">
        <f t="shared" ca="1" si="8"/>
        <v>0</v>
      </c>
      <c r="T37" s="279">
        <f t="shared" ca="1" si="9"/>
        <v>0</v>
      </c>
      <c r="U37" s="279">
        <f t="shared" ca="1" si="10"/>
        <v>0</v>
      </c>
      <c r="V37" s="279">
        <f t="shared" ca="1" si="11"/>
        <v>0</v>
      </c>
      <c r="W37" s="279">
        <f t="shared" ca="1" si="12"/>
        <v>0</v>
      </c>
      <c r="X37" s="279">
        <f t="shared" ca="1" si="13"/>
        <v>0</v>
      </c>
      <c r="Y37" s="279">
        <f t="shared" ca="1" si="14"/>
        <v>0</v>
      </c>
      <c r="Z37" s="279">
        <f t="shared" ca="1" si="15"/>
        <v>0</v>
      </c>
      <c r="AA37" s="279">
        <f t="shared" ca="1" si="16"/>
        <v>0</v>
      </c>
      <c r="AB37" s="279">
        <f t="shared" ca="1" si="63"/>
        <v>0</v>
      </c>
      <c r="AC37" s="279">
        <f t="shared" ca="1" si="64"/>
        <v>0</v>
      </c>
      <c r="AD37" s="279">
        <f t="shared" ca="1" si="17"/>
        <v>0</v>
      </c>
      <c r="AE37" s="279">
        <f t="shared" ca="1" si="18"/>
        <v>0</v>
      </c>
      <c r="AF37" s="279">
        <f t="shared" ca="1" si="19"/>
        <v>0</v>
      </c>
      <c r="AG37" s="279">
        <f t="shared" ca="1" si="20"/>
        <v>0</v>
      </c>
      <c r="AH37" s="279">
        <f t="shared" ca="1" si="65"/>
        <v>0</v>
      </c>
      <c r="AI37" s="279">
        <f t="shared" ca="1" si="66"/>
        <v>0</v>
      </c>
      <c r="AJ37" s="279">
        <f t="shared" ca="1" si="67"/>
        <v>0</v>
      </c>
      <c r="AK37" s="279">
        <f t="shared" ca="1" si="68"/>
        <v>0</v>
      </c>
      <c r="AL37" s="279">
        <f t="shared" ca="1" si="69"/>
        <v>0</v>
      </c>
      <c r="AM37" s="279">
        <f t="shared" ca="1" si="70"/>
        <v>0</v>
      </c>
      <c r="AN37" s="279">
        <f t="shared" ca="1" si="71"/>
        <v>0</v>
      </c>
      <c r="AO37" s="279">
        <f t="shared" ca="1" si="72"/>
        <v>0</v>
      </c>
      <c r="AP37" s="279">
        <f t="shared" ca="1" si="21"/>
        <v>0</v>
      </c>
      <c r="AQ37" s="279">
        <f t="shared" ca="1" si="22"/>
        <v>0</v>
      </c>
      <c r="AR37" s="279">
        <f t="shared" ca="1" si="23"/>
        <v>0</v>
      </c>
      <c r="AS37" s="279">
        <f t="shared" ca="1" si="24"/>
        <v>0</v>
      </c>
      <c r="AT37" s="279">
        <f t="shared" ca="1" si="73"/>
        <v>0</v>
      </c>
      <c r="AU37" s="279">
        <f t="shared" ca="1" si="74"/>
        <v>0</v>
      </c>
      <c r="AV37" s="279">
        <f t="shared" ca="1" si="25"/>
        <v>0</v>
      </c>
      <c r="AW37" s="279">
        <f t="shared" ca="1" si="26"/>
        <v>0</v>
      </c>
      <c r="AX37" s="279">
        <f t="shared" ca="1" si="27"/>
        <v>0</v>
      </c>
      <c r="AY37" s="279">
        <f t="shared" ca="1" si="28"/>
        <v>0</v>
      </c>
      <c r="AZ37" s="279">
        <f t="shared" ca="1" si="29"/>
        <v>0</v>
      </c>
      <c r="BA37" s="279">
        <f t="shared" ca="1" si="30"/>
        <v>0</v>
      </c>
      <c r="BB37" s="279">
        <f t="shared" ca="1" si="31"/>
        <v>0</v>
      </c>
      <c r="BC37" s="279">
        <f t="shared" ca="1" si="32"/>
        <v>0</v>
      </c>
      <c r="BD37" s="279">
        <f t="shared" ca="1" si="33"/>
        <v>0</v>
      </c>
      <c r="BE37" s="279">
        <f t="shared" ca="1" si="34"/>
        <v>0</v>
      </c>
      <c r="BF37" s="279">
        <f t="shared" ca="1" si="35"/>
        <v>0</v>
      </c>
      <c r="BG37" s="279">
        <f t="shared" ca="1" si="36"/>
        <v>0</v>
      </c>
      <c r="BH37" s="279">
        <f t="shared" ca="1" si="75"/>
        <v>0</v>
      </c>
      <c r="BI37" s="279">
        <f t="shared" ca="1" si="76"/>
        <v>0</v>
      </c>
      <c r="BJ37" s="279">
        <f t="shared" ca="1" si="37"/>
        <v>0</v>
      </c>
      <c r="BK37" s="279">
        <f t="shared" ca="1" si="38"/>
        <v>0</v>
      </c>
      <c r="BL37" s="279">
        <f t="shared" ca="1" si="39"/>
        <v>0</v>
      </c>
      <c r="BM37" s="279">
        <f t="shared" ca="1" si="40"/>
        <v>0</v>
      </c>
      <c r="BN37" s="279">
        <f t="shared" ca="1" si="41"/>
        <v>0</v>
      </c>
      <c r="BO37" s="279">
        <f t="shared" ca="1" si="42"/>
        <v>0</v>
      </c>
      <c r="BP37" s="279">
        <f t="shared" ca="1" si="77"/>
        <v>0</v>
      </c>
      <c r="BQ37" s="279">
        <f t="shared" ca="1" si="78"/>
        <v>0</v>
      </c>
      <c r="BR37" s="279">
        <f t="shared" ca="1" si="43"/>
        <v>0</v>
      </c>
      <c r="BS37" s="279">
        <f t="shared" ca="1" si="44"/>
        <v>0</v>
      </c>
      <c r="BT37" s="279">
        <f t="shared" ca="1" si="79"/>
        <v>0</v>
      </c>
      <c r="BU37" s="279">
        <f t="shared" ca="1" si="80"/>
        <v>0</v>
      </c>
      <c r="BV37" s="279">
        <f t="shared" ca="1" si="81"/>
        <v>0</v>
      </c>
      <c r="BW37" s="279">
        <f t="shared" ca="1" si="82"/>
        <v>0</v>
      </c>
      <c r="BX37" s="279">
        <f t="shared" ca="1" si="45"/>
        <v>0</v>
      </c>
      <c r="BY37" s="279">
        <f t="shared" ca="1" si="46"/>
        <v>0</v>
      </c>
      <c r="BZ37" s="279">
        <f t="shared" ca="1" si="47"/>
        <v>0</v>
      </c>
      <c r="CA37" s="279">
        <f t="shared" ca="1" si="48"/>
        <v>0</v>
      </c>
      <c r="CB37" s="279">
        <f t="shared" ca="1" si="49"/>
        <v>0</v>
      </c>
      <c r="CC37" s="279">
        <f t="shared" ca="1" si="50"/>
        <v>0</v>
      </c>
      <c r="CD37" s="279">
        <f t="shared" ca="1" si="83"/>
        <v>0</v>
      </c>
      <c r="CE37" s="279">
        <f t="shared" ca="1" si="84"/>
        <v>0</v>
      </c>
      <c r="CF37" s="279">
        <f t="shared" ca="1" si="85"/>
        <v>0</v>
      </c>
      <c r="CG37" s="279">
        <f t="shared" ca="1" si="86"/>
        <v>0</v>
      </c>
      <c r="CH37" s="279">
        <f t="shared" ca="1" si="51"/>
        <v>0</v>
      </c>
      <c r="CI37" s="279">
        <f t="shared" ca="1" si="52"/>
        <v>0</v>
      </c>
      <c r="CJ37" s="279">
        <f t="shared" ca="1" si="87"/>
        <v>0</v>
      </c>
      <c r="CK37" s="279">
        <f t="shared" ca="1" si="88"/>
        <v>0</v>
      </c>
      <c r="CL37" s="279">
        <f t="shared" ca="1" si="53"/>
        <v>0</v>
      </c>
      <c r="CM37" s="279">
        <f t="shared" ca="1" si="54"/>
        <v>0</v>
      </c>
      <c r="CN37" s="279">
        <f t="shared" ca="1" si="55"/>
        <v>0</v>
      </c>
      <c r="CO37" s="279">
        <f t="shared" ca="1" si="56"/>
        <v>0</v>
      </c>
      <c r="CP37" s="279">
        <f t="shared" ca="1" si="89"/>
        <v>0</v>
      </c>
      <c r="CQ37" s="279">
        <f t="shared" ca="1" si="90"/>
        <v>0</v>
      </c>
      <c r="CR37" s="279">
        <f t="shared" ca="1" si="91"/>
        <v>0</v>
      </c>
      <c r="CS37" s="279">
        <f t="shared" ca="1" si="92"/>
        <v>0</v>
      </c>
      <c r="CT37" s="279">
        <f t="shared" ca="1" si="57"/>
        <v>0</v>
      </c>
      <c r="CU37" s="279">
        <f t="shared" ca="1" si="58"/>
        <v>0</v>
      </c>
      <c r="CV37" s="279">
        <f t="shared" ca="1" si="59"/>
        <v>0</v>
      </c>
      <c r="CW37" s="279">
        <f t="shared" ca="1" si="60"/>
        <v>0</v>
      </c>
      <c r="CX37" s="279">
        <f t="shared" ca="1" si="93"/>
        <v>0</v>
      </c>
      <c r="CY37" s="279">
        <f t="shared" ca="1" si="94"/>
        <v>0</v>
      </c>
      <c r="CZ37" s="279">
        <f t="shared" ca="1" si="95"/>
        <v>0</v>
      </c>
      <c r="DA37" s="279">
        <f t="shared" ca="1" si="96"/>
        <v>0</v>
      </c>
    </row>
    <row r="38" spans="1:105" s="276" customFormat="1" ht="15" customHeight="1">
      <c r="A38" s="63">
        <f t="array" aca="1" ref="A38" ca="1">IF(C38&lt;&gt;0,SUM(($C$11:C38&lt;&gt;0)*1),"")</f>
        <v>28</v>
      </c>
      <c r="B38" s="277" t="str">
        <f ca="1">IF(ROWS($1:28)&gt;COUNT(Dong6),"",OFFSET(TH!C$1,SMALL(Dong6,ROWS($1:28)),))</f>
        <v/>
      </c>
      <c r="C38" s="277" t="str">
        <f ca="1">IF(ROWS($1:28)&gt;COUNT(Dong6),"",OFFSET(TH!D$1,SMALL(Dong6,ROWS($1:28)),))</f>
        <v/>
      </c>
      <c r="D38" s="277" t="str">
        <f ca="1">IF(ROWS($1:28)&gt;COUNT(Dong6),"",OFFSET(TH!E$1,SMALL(Dong6,ROWS($1:28)),))</f>
        <v/>
      </c>
      <c r="E38" s="327" t="str">
        <f ca="1">IF(ROWS($1:28)&gt;COUNT(Dong6),"",OFFSET(TH!F$1,SMALL(Dong6,ROWS($1:28)),))</f>
        <v/>
      </c>
      <c r="F38" s="328" t="str">
        <f ca="1">IF(ROWS($1:28)&gt;COUNT(Dong6),"",OFFSET(TH!M$1,SMALL(Dong6,ROWS($1:28)),))</f>
        <v/>
      </c>
      <c r="G38" s="329" t="str">
        <f ca="1">IF(ROWS($1:28)&gt;COUNT(Dong6),"",OFFSET(TH!N$1,SMALL(Dong6,ROWS($1:28)),))</f>
        <v/>
      </c>
      <c r="H38" s="329" t="str">
        <f ca="1">IF(ROWS($1:28)&gt;COUNT(Dong6),"",OFFSET(TH!O$1,SMALL(Dong6,ROWS($1:28)),))</f>
        <v/>
      </c>
      <c r="I38" s="63">
        <f ca="1">A38</f>
        <v>28</v>
      </c>
      <c r="J38" s="279">
        <f t="shared" ca="1" si="61"/>
        <v>0</v>
      </c>
      <c r="K38" s="279">
        <f t="shared" ca="1" si="62"/>
        <v>0</v>
      </c>
      <c r="L38" s="279">
        <f t="shared" ca="1" si="1"/>
        <v>0</v>
      </c>
      <c r="M38" s="279">
        <f t="shared" ca="1" si="2"/>
        <v>0</v>
      </c>
      <c r="N38" s="279">
        <f t="shared" ca="1" si="3"/>
        <v>0</v>
      </c>
      <c r="O38" s="279">
        <f t="shared" ca="1" si="4"/>
        <v>0</v>
      </c>
      <c r="P38" s="279">
        <f t="shared" ca="1" si="5"/>
        <v>0</v>
      </c>
      <c r="Q38" s="279">
        <f t="shared" ca="1" si="6"/>
        <v>0</v>
      </c>
      <c r="R38" s="279">
        <f t="shared" ca="1" si="7"/>
        <v>0</v>
      </c>
      <c r="S38" s="279">
        <f t="shared" ca="1" si="8"/>
        <v>0</v>
      </c>
      <c r="T38" s="279">
        <f t="shared" ca="1" si="9"/>
        <v>0</v>
      </c>
      <c r="U38" s="279">
        <f t="shared" ca="1" si="10"/>
        <v>0</v>
      </c>
      <c r="V38" s="279">
        <f t="shared" ca="1" si="11"/>
        <v>0</v>
      </c>
      <c r="W38" s="279">
        <f t="shared" ca="1" si="12"/>
        <v>0</v>
      </c>
      <c r="X38" s="279">
        <f t="shared" ca="1" si="13"/>
        <v>0</v>
      </c>
      <c r="Y38" s="279">
        <f t="shared" ca="1" si="14"/>
        <v>0</v>
      </c>
      <c r="Z38" s="279">
        <f t="shared" ca="1" si="15"/>
        <v>0</v>
      </c>
      <c r="AA38" s="279">
        <f t="shared" ca="1" si="16"/>
        <v>0</v>
      </c>
      <c r="AB38" s="279">
        <f t="shared" ca="1" si="63"/>
        <v>0</v>
      </c>
      <c r="AC38" s="279">
        <f t="shared" ca="1" si="64"/>
        <v>0</v>
      </c>
      <c r="AD38" s="279">
        <f t="shared" ca="1" si="17"/>
        <v>0</v>
      </c>
      <c r="AE38" s="279">
        <f t="shared" ca="1" si="18"/>
        <v>0</v>
      </c>
      <c r="AF38" s="279">
        <f t="shared" ca="1" si="19"/>
        <v>0</v>
      </c>
      <c r="AG38" s="279">
        <f t="shared" ca="1" si="20"/>
        <v>0</v>
      </c>
      <c r="AH38" s="279">
        <f t="shared" ca="1" si="65"/>
        <v>0</v>
      </c>
      <c r="AI38" s="279">
        <f t="shared" ca="1" si="66"/>
        <v>0</v>
      </c>
      <c r="AJ38" s="279">
        <f t="shared" ca="1" si="67"/>
        <v>0</v>
      </c>
      <c r="AK38" s="279">
        <f t="shared" ca="1" si="68"/>
        <v>0</v>
      </c>
      <c r="AL38" s="279">
        <f t="shared" ca="1" si="69"/>
        <v>0</v>
      </c>
      <c r="AM38" s="279">
        <f t="shared" ca="1" si="70"/>
        <v>0</v>
      </c>
      <c r="AN38" s="279">
        <f t="shared" ca="1" si="71"/>
        <v>0</v>
      </c>
      <c r="AO38" s="279">
        <f t="shared" ca="1" si="72"/>
        <v>0</v>
      </c>
      <c r="AP38" s="279">
        <f t="shared" ca="1" si="21"/>
        <v>0</v>
      </c>
      <c r="AQ38" s="279">
        <f t="shared" ca="1" si="22"/>
        <v>0</v>
      </c>
      <c r="AR38" s="279">
        <f t="shared" ca="1" si="23"/>
        <v>0</v>
      </c>
      <c r="AS38" s="279">
        <f t="shared" ca="1" si="24"/>
        <v>0</v>
      </c>
      <c r="AT38" s="279">
        <f t="shared" ca="1" si="73"/>
        <v>0</v>
      </c>
      <c r="AU38" s="279">
        <f t="shared" ca="1" si="74"/>
        <v>0</v>
      </c>
      <c r="AV38" s="279">
        <f t="shared" ca="1" si="25"/>
        <v>0</v>
      </c>
      <c r="AW38" s="279">
        <f t="shared" ca="1" si="26"/>
        <v>0</v>
      </c>
      <c r="AX38" s="279">
        <f t="shared" ca="1" si="27"/>
        <v>0</v>
      </c>
      <c r="AY38" s="279">
        <f t="shared" ca="1" si="28"/>
        <v>0</v>
      </c>
      <c r="AZ38" s="279">
        <f t="shared" ca="1" si="29"/>
        <v>0</v>
      </c>
      <c r="BA38" s="279">
        <f t="shared" ca="1" si="30"/>
        <v>0</v>
      </c>
      <c r="BB38" s="279">
        <f t="shared" ca="1" si="31"/>
        <v>0</v>
      </c>
      <c r="BC38" s="279">
        <f t="shared" ca="1" si="32"/>
        <v>0</v>
      </c>
      <c r="BD38" s="279">
        <f t="shared" ca="1" si="33"/>
        <v>0</v>
      </c>
      <c r="BE38" s="279">
        <f t="shared" ca="1" si="34"/>
        <v>0</v>
      </c>
      <c r="BF38" s="279">
        <f t="shared" ca="1" si="35"/>
        <v>0</v>
      </c>
      <c r="BG38" s="279">
        <f t="shared" ca="1" si="36"/>
        <v>0</v>
      </c>
      <c r="BH38" s="279">
        <f t="shared" ca="1" si="75"/>
        <v>0</v>
      </c>
      <c r="BI38" s="279">
        <f t="shared" ca="1" si="76"/>
        <v>0</v>
      </c>
      <c r="BJ38" s="279">
        <f t="shared" ca="1" si="37"/>
        <v>0</v>
      </c>
      <c r="BK38" s="279">
        <f t="shared" ca="1" si="38"/>
        <v>0</v>
      </c>
      <c r="BL38" s="279">
        <f t="shared" ca="1" si="39"/>
        <v>0</v>
      </c>
      <c r="BM38" s="279">
        <f t="shared" ca="1" si="40"/>
        <v>0</v>
      </c>
      <c r="BN38" s="279">
        <f t="shared" ca="1" si="41"/>
        <v>0</v>
      </c>
      <c r="BO38" s="279">
        <f t="shared" ca="1" si="42"/>
        <v>0</v>
      </c>
      <c r="BP38" s="279">
        <f t="shared" ca="1" si="77"/>
        <v>0</v>
      </c>
      <c r="BQ38" s="279">
        <f t="shared" ca="1" si="78"/>
        <v>0</v>
      </c>
      <c r="BR38" s="279">
        <f t="shared" ca="1" si="43"/>
        <v>0</v>
      </c>
      <c r="BS38" s="279">
        <f t="shared" ca="1" si="44"/>
        <v>0</v>
      </c>
      <c r="BT38" s="279">
        <f t="shared" ca="1" si="79"/>
        <v>0</v>
      </c>
      <c r="BU38" s="279">
        <f t="shared" ca="1" si="80"/>
        <v>0</v>
      </c>
      <c r="BV38" s="279">
        <f t="shared" ca="1" si="81"/>
        <v>0</v>
      </c>
      <c r="BW38" s="279">
        <f t="shared" ca="1" si="82"/>
        <v>0</v>
      </c>
      <c r="BX38" s="279">
        <f t="shared" ca="1" si="45"/>
        <v>0</v>
      </c>
      <c r="BY38" s="279">
        <f t="shared" ca="1" si="46"/>
        <v>0</v>
      </c>
      <c r="BZ38" s="279">
        <f t="shared" ca="1" si="47"/>
        <v>0</v>
      </c>
      <c r="CA38" s="279">
        <f t="shared" ca="1" si="48"/>
        <v>0</v>
      </c>
      <c r="CB38" s="279">
        <f t="shared" ca="1" si="49"/>
        <v>0</v>
      </c>
      <c r="CC38" s="279">
        <f t="shared" ca="1" si="50"/>
        <v>0</v>
      </c>
      <c r="CD38" s="279">
        <f t="shared" ca="1" si="83"/>
        <v>0</v>
      </c>
      <c r="CE38" s="279">
        <f t="shared" ca="1" si="84"/>
        <v>0</v>
      </c>
      <c r="CF38" s="279">
        <f t="shared" ca="1" si="85"/>
        <v>0</v>
      </c>
      <c r="CG38" s="279">
        <f t="shared" ca="1" si="86"/>
        <v>0</v>
      </c>
      <c r="CH38" s="279">
        <f t="shared" ca="1" si="51"/>
        <v>0</v>
      </c>
      <c r="CI38" s="279">
        <f t="shared" ca="1" si="52"/>
        <v>0</v>
      </c>
      <c r="CJ38" s="279">
        <f t="shared" ca="1" si="87"/>
        <v>0</v>
      </c>
      <c r="CK38" s="279">
        <f t="shared" ca="1" si="88"/>
        <v>0</v>
      </c>
      <c r="CL38" s="279">
        <f t="shared" ca="1" si="53"/>
        <v>0</v>
      </c>
      <c r="CM38" s="279">
        <f t="shared" ca="1" si="54"/>
        <v>0</v>
      </c>
      <c r="CN38" s="279">
        <f t="shared" ca="1" si="55"/>
        <v>0</v>
      </c>
      <c r="CO38" s="279">
        <f t="shared" ca="1" si="56"/>
        <v>0</v>
      </c>
      <c r="CP38" s="279">
        <f t="shared" ca="1" si="89"/>
        <v>0</v>
      </c>
      <c r="CQ38" s="279">
        <f t="shared" ca="1" si="90"/>
        <v>0</v>
      </c>
      <c r="CR38" s="279">
        <f t="shared" ca="1" si="91"/>
        <v>0</v>
      </c>
      <c r="CS38" s="279">
        <f t="shared" ca="1" si="92"/>
        <v>0</v>
      </c>
      <c r="CT38" s="279">
        <f t="shared" ca="1" si="57"/>
        <v>0</v>
      </c>
      <c r="CU38" s="279">
        <f t="shared" ca="1" si="58"/>
        <v>0</v>
      </c>
      <c r="CV38" s="279">
        <f t="shared" ca="1" si="59"/>
        <v>0</v>
      </c>
      <c r="CW38" s="279">
        <f t="shared" ca="1" si="60"/>
        <v>0</v>
      </c>
      <c r="CX38" s="279">
        <f t="shared" ca="1" si="93"/>
        <v>0</v>
      </c>
      <c r="CY38" s="279">
        <f t="shared" ca="1" si="94"/>
        <v>0</v>
      </c>
      <c r="CZ38" s="279">
        <f t="shared" ca="1" si="95"/>
        <v>0</v>
      </c>
      <c r="DA38" s="279">
        <f t="shared" ca="1" si="96"/>
        <v>0</v>
      </c>
    </row>
    <row r="39" spans="1:105" s="276" customFormat="1" ht="15" customHeight="1">
      <c r="A39" s="63">
        <f t="array" aca="1" ref="A39" ca="1">IF(C39&lt;&gt;0,SUM(($C$11:C39&lt;&gt;0)*1),"")</f>
        <v>29</v>
      </c>
      <c r="B39" s="277">
        <v>42460</v>
      </c>
      <c r="C39" s="280" t="s">
        <v>115</v>
      </c>
      <c r="D39" s="280">
        <f t="shared" ref="D39:D44" si="97">B39</f>
        <v>42460</v>
      </c>
      <c r="E39" s="982" t="s">
        <v>214</v>
      </c>
      <c r="F39" s="983">
        <f>[2]CDPS!D59</f>
        <v>107861885.00000048</v>
      </c>
      <c r="G39" s="984" t="s">
        <v>94</v>
      </c>
      <c r="H39" s="984" t="s">
        <v>92</v>
      </c>
      <c r="I39" s="63">
        <f t="shared" ref="I39:I50" ca="1" si="98">A39</f>
        <v>29</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ref="AT39:AT51" si="99">IF($G39="2412",$F39,0)</f>
        <v>0</v>
      </c>
      <c r="AU39" s="279">
        <f t="shared" ref="AU39:AU51" si="100">IF($H39="2412",$F39,0)</f>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ref="BV39:BV51" si="101">IF($G39="3412",$F39,0)</f>
        <v>0</v>
      </c>
      <c r="BW39" s="279">
        <f t="shared" ref="BW39:BW51" si="102">IF($H39="3412",$F39,0)</f>
        <v>0</v>
      </c>
      <c r="BX39" s="279">
        <f t="shared" si="45"/>
        <v>0</v>
      </c>
      <c r="BY39" s="279">
        <f t="shared" si="46"/>
        <v>0</v>
      </c>
      <c r="BZ39" s="279">
        <f t="shared" si="47"/>
        <v>0</v>
      </c>
      <c r="CA39" s="279">
        <f t="shared" si="48"/>
        <v>107861885.00000048</v>
      </c>
      <c r="CB39" s="279">
        <f t="shared" si="49"/>
        <v>107861885.00000048</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30</v>
      </c>
      <c r="B40" s="277">
        <v>42460</v>
      </c>
      <c r="C40" s="280" t="s">
        <v>115</v>
      </c>
      <c r="D40" s="280">
        <f t="shared" si="97"/>
        <v>42460</v>
      </c>
      <c r="E40" s="982" t="s">
        <v>938</v>
      </c>
      <c r="F40" s="983">
        <f ca="1">AY52</f>
        <v>0</v>
      </c>
      <c r="G40" s="984" t="s">
        <v>943</v>
      </c>
      <c r="H40" s="984" t="s">
        <v>9</v>
      </c>
      <c r="I40" s="63">
        <f t="shared" ca="1" si="98"/>
        <v>30</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99"/>
        <v>0</v>
      </c>
      <c r="AU40" s="279">
        <f t="shared" si="100"/>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101"/>
        <v>0</v>
      </c>
      <c r="BW40" s="279">
        <f t="shared" si="10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31</v>
      </c>
      <c r="B41" s="277">
        <v>42460</v>
      </c>
      <c r="C41" s="280" t="s">
        <v>115</v>
      </c>
      <c r="D41" s="280">
        <f t="shared" si="97"/>
        <v>42460</v>
      </c>
      <c r="E41" s="982" t="s">
        <v>939</v>
      </c>
      <c r="F41" s="983">
        <f ca="1">CL52</f>
        <v>0</v>
      </c>
      <c r="G41" s="984" t="s">
        <v>109</v>
      </c>
      <c r="H41" s="984" t="s">
        <v>295</v>
      </c>
      <c r="I41" s="63">
        <f t="shared" ca="1" si="98"/>
        <v>31</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99"/>
        <v>0</v>
      </c>
      <c r="AU41" s="279">
        <f t="shared" si="100"/>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101"/>
        <v>0</v>
      </c>
      <c r="BW41" s="279">
        <f t="shared" si="10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32</v>
      </c>
      <c r="B42" s="277">
        <v>42460</v>
      </c>
      <c r="C42" s="280" t="s">
        <v>115</v>
      </c>
      <c r="D42" s="280">
        <f t="shared" si="97"/>
        <v>42460</v>
      </c>
      <c r="E42" s="982" t="s">
        <v>116</v>
      </c>
      <c r="F42" s="983">
        <f ca="1">CN52</f>
        <v>0</v>
      </c>
      <c r="G42" s="984" t="s">
        <v>109</v>
      </c>
      <c r="H42" s="984" t="s">
        <v>99</v>
      </c>
      <c r="I42" s="63">
        <f t="shared" ca="1" si="98"/>
        <v>32</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99"/>
        <v>0</v>
      </c>
      <c r="AU42" s="279">
        <f t="shared" si="100"/>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101"/>
        <v>0</v>
      </c>
      <c r="BW42" s="279">
        <f t="shared" si="10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33</v>
      </c>
      <c r="B43" s="277">
        <v>42460</v>
      </c>
      <c r="C43" s="280" t="s">
        <v>115</v>
      </c>
      <c r="D43" s="280">
        <f t="shared" si="97"/>
        <v>42460</v>
      </c>
      <c r="E43" s="982" t="s">
        <v>940</v>
      </c>
      <c r="F43" s="983">
        <f ca="1">CP52</f>
        <v>0</v>
      </c>
      <c r="G43" s="984" t="s">
        <v>109</v>
      </c>
      <c r="H43" s="984" t="s">
        <v>594</v>
      </c>
      <c r="I43" s="63">
        <f t="shared" ca="1" si="98"/>
        <v>33</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99"/>
        <v>0</v>
      </c>
      <c r="AU43" s="279">
        <f t="shared" si="100"/>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101"/>
        <v>0</v>
      </c>
      <c r="BW43" s="279">
        <f t="shared" si="10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34</v>
      </c>
      <c r="B44" s="277">
        <v>42460</v>
      </c>
      <c r="C44" s="280" t="s">
        <v>115</v>
      </c>
      <c r="D44" s="280">
        <f t="shared" si="97"/>
        <v>42460</v>
      </c>
      <c r="E44" s="982" t="s">
        <v>117</v>
      </c>
      <c r="F44" s="983">
        <f ca="1">CR52</f>
        <v>0</v>
      </c>
      <c r="G44" s="984" t="s">
        <v>109</v>
      </c>
      <c r="H44" s="984" t="s">
        <v>101</v>
      </c>
      <c r="I44" s="63">
        <f t="shared" ca="1" si="98"/>
        <v>34</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99"/>
        <v>0</v>
      </c>
      <c r="AU44" s="279">
        <f t="shared" si="100"/>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101"/>
        <v>0</v>
      </c>
      <c r="BW44" s="279">
        <f t="shared" si="10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35</v>
      </c>
      <c r="B45" s="277">
        <v>42460</v>
      </c>
      <c r="C45" s="280" t="s">
        <v>115</v>
      </c>
      <c r="D45" s="280">
        <f t="shared" ref="D45:D50" si="103">B45</f>
        <v>42460</v>
      </c>
      <c r="E45" s="982" t="s">
        <v>215</v>
      </c>
      <c r="F45" s="983"/>
      <c r="G45" s="984" t="s">
        <v>109</v>
      </c>
      <c r="H45" s="984" t="s">
        <v>94</v>
      </c>
      <c r="I45" s="63">
        <f t="shared" ca="1" si="98"/>
        <v>35</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99"/>
        <v>0</v>
      </c>
      <c r="AU45" s="279">
        <f t="shared" si="100"/>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101"/>
        <v>0</v>
      </c>
      <c r="BW45" s="279">
        <f t="shared" si="10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36</v>
      </c>
      <c r="B46" s="277">
        <v>42460</v>
      </c>
      <c r="C46" s="280" t="s">
        <v>115</v>
      </c>
      <c r="D46" s="280">
        <f t="shared" si="103"/>
        <v>42460</v>
      </c>
      <c r="E46" s="982" t="s">
        <v>118</v>
      </c>
      <c r="F46" s="983">
        <f ca="1">CI52</f>
        <v>0</v>
      </c>
      <c r="G46" s="984" t="s">
        <v>43</v>
      </c>
      <c r="H46" s="984" t="s">
        <v>109</v>
      </c>
      <c r="I46" s="63">
        <f t="shared" ca="1" si="98"/>
        <v>36</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99"/>
        <v>0</v>
      </c>
      <c r="AU46" s="279">
        <f t="shared" si="100"/>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101"/>
        <v>0</v>
      </c>
      <c r="BW46" s="279">
        <f t="shared" si="10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37</v>
      </c>
      <c r="B47" s="277">
        <v>42460</v>
      </c>
      <c r="C47" s="280" t="s">
        <v>115</v>
      </c>
      <c r="D47" s="280">
        <f t="shared" si="103"/>
        <v>42460</v>
      </c>
      <c r="E47" s="982" t="s">
        <v>941</v>
      </c>
      <c r="F47" s="983">
        <f ca="1">CE52</f>
        <v>0</v>
      </c>
      <c r="G47" s="984" t="s">
        <v>297</v>
      </c>
      <c r="H47" s="984" t="s">
        <v>109</v>
      </c>
      <c r="I47" s="63">
        <f t="shared" ca="1" si="98"/>
        <v>37</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99"/>
        <v>0</v>
      </c>
      <c r="AU47" s="279">
        <f t="shared" si="100"/>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101"/>
        <v>0</v>
      </c>
      <c r="BW47" s="279">
        <f t="shared" si="10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38</v>
      </c>
      <c r="B48" s="277">
        <v>42460</v>
      </c>
      <c r="C48" s="280" t="s">
        <v>115</v>
      </c>
      <c r="D48" s="280">
        <f t="shared" si="103"/>
        <v>42460</v>
      </c>
      <c r="E48" s="982" t="s">
        <v>942</v>
      </c>
      <c r="F48" s="983">
        <f ca="1">CG52</f>
        <v>0</v>
      </c>
      <c r="G48" s="984" t="s">
        <v>299</v>
      </c>
      <c r="H48" s="984" t="s">
        <v>109</v>
      </c>
      <c r="I48" s="63">
        <f t="shared" ca="1" si="98"/>
        <v>38</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99"/>
        <v>0</v>
      </c>
      <c r="AU48" s="279">
        <f t="shared" si="100"/>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101"/>
        <v>0</v>
      </c>
      <c r="BW48" s="279">
        <f t="shared" si="10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39</v>
      </c>
      <c r="B49" s="277">
        <v>42460</v>
      </c>
      <c r="C49" s="280" t="s">
        <v>115</v>
      </c>
      <c r="D49" s="280">
        <f t="shared" si="103"/>
        <v>42460</v>
      </c>
      <c r="E49" s="982" t="s">
        <v>119</v>
      </c>
      <c r="F49" s="983">
        <f ca="1">CU52</f>
        <v>0</v>
      </c>
      <c r="G49" s="984" t="s">
        <v>103</v>
      </c>
      <c r="H49" s="984" t="s">
        <v>109</v>
      </c>
      <c r="I49" s="63">
        <f t="shared" ca="1" si="98"/>
        <v>39</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99"/>
        <v>0</v>
      </c>
      <c r="AU49" s="279">
        <f t="shared" si="100"/>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101"/>
        <v>0</v>
      </c>
      <c r="BW49" s="279">
        <f t="shared" si="10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40</v>
      </c>
      <c r="B50" s="277">
        <v>42460</v>
      </c>
      <c r="C50" s="280" t="s">
        <v>115</v>
      </c>
      <c r="D50" s="280">
        <f t="shared" si="103"/>
        <v>42460</v>
      </c>
      <c r="E50" s="982" t="s">
        <v>120</v>
      </c>
      <c r="F50" s="983">
        <f ca="1">CV52</f>
        <v>0</v>
      </c>
      <c r="G50" s="984" t="s">
        <v>109</v>
      </c>
      <c r="H50" s="984" t="s">
        <v>105</v>
      </c>
      <c r="I50" s="63">
        <f t="shared" ca="1" si="98"/>
        <v>40</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99"/>
        <v>0</v>
      </c>
      <c r="AU50" s="279">
        <f t="shared" si="100"/>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101"/>
        <v>0</v>
      </c>
      <c r="BW50" s="279">
        <f t="shared" si="10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 t="shared" ref="I51" si="104">A51</f>
        <v/>
      </c>
      <c r="J51" s="279">
        <f t="shared" si="61"/>
        <v>0</v>
      </c>
      <c r="K51" s="279">
        <f t="shared" si="62"/>
        <v>0</v>
      </c>
      <c r="L51" s="279">
        <f t="shared" si="1"/>
        <v>0</v>
      </c>
      <c r="M51" s="279">
        <f t="shared" si="2"/>
        <v>0</v>
      </c>
      <c r="N51" s="279">
        <f t="shared" si="3"/>
        <v>0</v>
      </c>
      <c r="O51" s="279">
        <f t="shared" si="4"/>
        <v>0</v>
      </c>
      <c r="P51" s="279">
        <f t="shared" si="5"/>
        <v>0</v>
      </c>
      <c r="Q51" s="279">
        <f t="shared" si="6"/>
        <v>0</v>
      </c>
      <c r="R51" s="279">
        <f t="shared" si="7"/>
        <v>0</v>
      </c>
      <c r="S51" s="279">
        <f t="shared" si="8"/>
        <v>0</v>
      </c>
      <c r="T51" s="279">
        <f t="shared" si="9"/>
        <v>0</v>
      </c>
      <c r="U51" s="279">
        <f t="shared" si="10"/>
        <v>0</v>
      </c>
      <c r="V51" s="279">
        <f t="shared" si="11"/>
        <v>0</v>
      </c>
      <c r="W51" s="279">
        <f t="shared" si="12"/>
        <v>0</v>
      </c>
      <c r="X51" s="279">
        <f t="shared" si="13"/>
        <v>0</v>
      </c>
      <c r="Y51" s="279">
        <f t="shared" si="14"/>
        <v>0</v>
      </c>
      <c r="Z51" s="279">
        <f t="shared" si="15"/>
        <v>0</v>
      </c>
      <c r="AA51" s="279">
        <f t="shared" si="16"/>
        <v>0</v>
      </c>
      <c r="AB51" s="279">
        <f t="shared" si="63"/>
        <v>0</v>
      </c>
      <c r="AC51" s="279">
        <f t="shared" si="64"/>
        <v>0</v>
      </c>
      <c r="AD51" s="279">
        <f t="shared" si="17"/>
        <v>0</v>
      </c>
      <c r="AE51" s="279">
        <f t="shared" si="18"/>
        <v>0</v>
      </c>
      <c r="AF51" s="279">
        <f t="shared" si="19"/>
        <v>0</v>
      </c>
      <c r="AG51" s="279">
        <f t="shared" si="20"/>
        <v>0</v>
      </c>
      <c r="AH51" s="279">
        <f t="shared" si="65"/>
        <v>0</v>
      </c>
      <c r="AI51" s="279">
        <f t="shared" si="66"/>
        <v>0</v>
      </c>
      <c r="AJ51" s="279">
        <f t="shared" si="67"/>
        <v>0</v>
      </c>
      <c r="AK51" s="279">
        <f t="shared" si="68"/>
        <v>0</v>
      </c>
      <c r="AL51" s="279">
        <f t="shared" si="69"/>
        <v>0</v>
      </c>
      <c r="AM51" s="279">
        <f t="shared" si="70"/>
        <v>0</v>
      </c>
      <c r="AN51" s="279">
        <f t="shared" si="71"/>
        <v>0</v>
      </c>
      <c r="AO51" s="279">
        <f t="shared" si="72"/>
        <v>0</v>
      </c>
      <c r="AP51" s="279">
        <f t="shared" si="21"/>
        <v>0</v>
      </c>
      <c r="AQ51" s="279">
        <f t="shared" si="22"/>
        <v>0</v>
      </c>
      <c r="AR51" s="279">
        <f t="shared" si="23"/>
        <v>0</v>
      </c>
      <c r="AS51" s="279">
        <f t="shared" si="24"/>
        <v>0</v>
      </c>
      <c r="AT51" s="279">
        <f t="shared" si="99"/>
        <v>0</v>
      </c>
      <c r="AU51" s="279">
        <f t="shared" si="100"/>
        <v>0</v>
      </c>
      <c r="AV51" s="279">
        <f t="shared" si="25"/>
        <v>0</v>
      </c>
      <c r="AW51" s="279">
        <f t="shared" si="26"/>
        <v>0</v>
      </c>
      <c r="AX51" s="279">
        <f t="shared" si="27"/>
        <v>0</v>
      </c>
      <c r="AY51" s="279">
        <f t="shared" si="28"/>
        <v>0</v>
      </c>
      <c r="AZ51" s="279">
        <f t="shared" si="29"/>
        <v>0</v>
      </c>
      <c r="BA51" s="279">
        <f t="shared" si="30"/>
        <v>0</v>
      </c>
      <c r="BB51" s="279">
        <f t="shared" si="31"/>
        <v>0</v>
      </c>
      <c r="BC51" s="279">
        <f t="shared" si="32"/>
        <v>0</v>
      </c>
      <c r="BD51" s="279">
        <f t="shared" si="33"/>
        <v>0</v>
      </c>
      <c r="BE51" s="279">
        <f t="shared" si="34"/>
        <v>0</v>
      </c>
      <c r="BF51" s="279">
        <f t="shared" si="35"/>
        <v>0</v>
      </c>
      <c r="BG51" s="279">
        <f t="shared" si="36"/>
        <v>0</v>
      </c>
      <c r="BH51" s="279">
        <f t="shared" si="75"/>
        <v>0</v>
      </c>
      <c r="BI51" s="279">
        <f t="shared" si="76"/>
        <v>0</v>
      </c>
      <c r="BJ51" s="279">
        <f t="shared" si="37"/>
        <v>0</v>
      </c>
      <c r="BK51" s="279">
        <f t="shared" si="38"/>
        <v>0</v>
      </c>
      <c r="BL51" s="279">
        <f t="shared" si="39"/>
        <v>0</v>
      </c>
      <c r="BM51" s="279">
        <f t="shared" si="40"/>
        <v>0</v>
      </c>
      <c r="BN51" s="279">
        <f t="shared" si="41"/>
        <v>0</v>
      </c>
      <c r="BO51" s="279">
        <f t="shared" si="42"/>
        <v>0</v>
      </c>
      <c r="BP51" s="279">
        <f t="shared" si="77"/>
        <v>0</v>
      </c>
      <c r="BQ51" s="279">
        <f t="shared" si="78"/>
        <v>0</v>
      </c>
      <c r="BR51" s="279">
        <f t="shared" si="43"/>
        <v>0</v>
      </c>
      <c r="BS51" s="279">
        <f t="shared" si="44"/>
        <v>0</v>
      </c>
      <c r="BT51" s="279">
        <f t="shared" si="79"/>
        <v>0</v>
      </c>
      <c r="BU51" s="279">
        <f t="shared" si="80"/>
        <v>0</v>
      </c>
      <c r="BV51" s="279">
        <f t="shared" si="101"/>
        <v>0</v>
      </c>
      <c r="BW51" s="279">
        <f t="shared" si="102"/>
        <v>0</v>
      </c>
      <c r="BX51" s="279">
        <f t="shared" si="45"/>
        <v>0</v>
      </c>
      <c r="BY51" s="279">
        <f t="shared" si="46"/>
        <v>0</v>
      </c>
      <c r="BZ51" s="279">
        <f t="shared" si="47"/>
        <v>0</v>
      </c>
      <c r="CA51" s="279">
        <f t="shared" si="48"/>
        <v>0</v>
      </c>
      <c r="CB51" s="279">
        <f t="shared" si="49"/>
        <v>0</v>
      </c>
      <c r="CC51" s="279">
        <f t="shared" si="50"/>
        <v>0</v>
      </c>
      <c r="CD51" s="279">
        <f t="shared" si="83"/>
        <v>0</v>
      </c>
      <c r="CE51" s="279">
        <f t="shared" si="84"/>
        <v>0</v>
      </c>
      <c r="CF51" s="279">
        <f t="shared" si="85"/>
        <v>0</v>
      </c>
      <c r="CG51" s="279">
        <f t="shared" si="86"/>
        <v>0</v>
      </c>
      <c r="CH51" s="279">
        <f t="shared" si="51"/>
        <v>0</v>
      </c>
      <c r="CI51" s="279">
        <f t="shared" si="52"/>
        <v>0</v>
      </c>
      <c r="CJ51" s="279">
        <f t="shared" si="87"/>
        <v>0</v>
      </c>
      <c r="CK51" s="279">
        <f t="shared" si="88"/>
        <v>0</v>
      </c>
      <c r="CL51" s="279">
        <f t="shared" si="53"/>
        <v>0</v>
      </c>
      <c r="CM51" s="279">
        <f t="shared" si="54"/>
        <v>0</v>
      </c>
      <c r="CN51" s="279">
        <f t="shared" si="55"/>
        <v>0</v>
      </c>
      <c r="CO51" s="279">
        <f t="shared" si="56"/>
        <v>0</v>
      </c>
      <c r="CP51" s="279">
        <f t="shared" si="89"/>
        <v>0</v>
      </c>
      <c r="CQ51" s="279">
        <f t="shared" si="90"/>
        <v>0</v>
      </c>
      <c r="CR51" s="279">
        <f t="shared" si="91"/>
        <v>0</v>
      </c>
      <c r="CS51" s="279">
        <f t="shared" si="92"/>
        <v>0</v>
      </c>
      <c r="CT51" s="279">
        <f t="shared" si="57"/>
        <v>0</v>
      </c>
      <c r="CU51" s="279">
        <f t="shared" si="58"/>
        <v>0</v>
      </c>
      <c r="CV51" s="279">
        <f t="shared" si="59"/>
        <v>0</v>
      </c>
      <c r="CW51" s="279">
        <f t="shared" si="60"/>
        <v>0</v>
      </c>
      <c r="CX51" s="279">
        <f t="shared" si="93"/>
        <v>0</v>
      </c>
      <c r="CY51" s="279">
        <f t="shared" si="94"/>
        <v>0</v>
      </c>
      <c r="CZ51" s="279">
        <f t="shared" si="95"/>
        <v>0</v>
      </c>
      <c r="DA51" s="279">
        <f t="shared" si="96"/>
        <v>0</v>
      </c>
    </row>
    <row r="52" spans="1:105" s="276" customFormat="1" ht="15" customHeight="1">
      <c r="A52" s="63" t="str">
        <f t="array" ref="A52">IF(C52&lt;&gt;0,SUM(($C$11:C52&lt;&gt;0)*1),"")</f>
        <v/>
      </c>
      <c r="B52" s="283"/>
      <c r="C52" s="283"/>
      <c r="D52" s="283"/>
      <c r="E52" s="278" t="s">
        <v>175</v>
      </c>
      <c r="F52" s="283"/>
      <c r="G52" s="282"/>
      <c r="H52" s="282"/>
      <c r="I52" s="283"/>
      <c r="J52" s="279">
        <f t="shared" ref="J52:AO52" ca="1" si="105">SUM(J11:J51)</f>
        <v>0</v>
      </c>
      <c r="K52" s="279">
        <f t="shared" ca="1" si="105"/>
        <v>0</v>
      </c>
      <c r="L52" s="279">
        <f t="shared" ca="1" si="105"/>
        <v>0</v>
      </c>
      <c r="M52" s="279">
        <f t="shared" ca="1" si="105"/>
        <v>0</v>
      </c>
      <c r="N52" s="279">
        <f t="shared" ca="1" si="105"/>
        <v>0</v>
      </c>
      <c r="O52" s="279">
        <f t="shared" ca="1" si="105"/>
        <v>0</v>
      </c>
      <c r="P52" s="279">
        <f t="shared" ca="1" si="105"/>
        <v>0</v>
      </c>
      <c r="Q52" s="279">
        <f t="shared" ca="1" si="105"/>
        <v>0</v>
      </c>
      <c r="R52" s="279">
        <f t="shared" ca="1" si="105"/>
        <v>0</v>
      </c>
      <c r="S52" s="279">
        <f t="shared" ca="1" si="105"/>
        <v>0</v>
      </c>
      <c r="T52" s="279">
        <f t="shared" ca="1" si="105"/>
        <v>0</v>
      </c>
      <c r="U52" s="279">
        <f t="shared" ca="1" si="105"/>
        <v>0</v>
      </c>
      <c r="V52" s="279">
        <f t="shared" ca="1" si="105"/>
        <v>0</v>
      </c>
      <c r="W52" s="279">
        <f t="shared" ca="1" si="105"/>
        <v>0</v>
      </c>
      <c r="X52" s="279">
        <f t="shared" ca="1" si="105"/>
        <v>0</v>
      </c>
      <c r="Y52" s="279">
        <f t="shared" ca="1" si="105"/>
        <v>0</v>
      </c>
      <c r="Z52" s="279">
        <f t="shared" ca="1" si="105"/>
        <v>0</v>
      </c>
      <c r="AA52" s="279">
        <f t="shared" ca="1" si="105"/>
        <v>0</v>
      </c>
      <c r="AB52" s="279">
        <f t="shared" ca="1" si="105"/>
        <v>0</v>
      </c>
      <c r="AC52" s="279">
        <f t="shared" ca="1" si="105"/>
        <v>0</v>
      </c>
      <c r="AD52" s="279">
        <f t="shared" ca="1" si="105"/>
        <v>0</v>
      </c>
      <c r="AE52" s="279">
        <f t="shared" ca="1" si="105"/>
        <v>0</v>
      </c>
      <c r="AF52" s="279">
        <f t="shared" ca="1" si="105"/>
        <v>0</v>
      </c>
      <c r="AG52" s="279">
        <f t="shared" ca="1" si="105"/>
        <v>0</v>
      </c>
      <c r="AH52" s="279">
        <f t="shared" ca="1" si="105"/>
        <v>0</v>
      </c>
      <c r="AI52" s="279">
        <f t="shared" ca="1" si="105"/>
        <v>0</v>
      </c>
      <c r="AJ52" s="279">
        <f t="shared" ca="1" si="105"/>
        <v>0</v>
      </c>
      <c r="AK52" s="279">
        <f t="shared" ca="1" si="105"/>
        <v>0</v>
      </c>
      <c r="AL52" s="279">
        <f t="shared" ca="1" si="105"/>
        <v>0</v>
      </c>
      <c r="AM52" s="279">
        <f t="shared" ca="1" si="105"/>
        <v>0</v>
      </c>
      <c r="AN52" s="279">
        <f t="shared" ca="1" si="105"/>
        <v>0</v>
      </c>
      <c r="AO52" s="279">
        <f t="shared" ca="1" si="105"/>
        <v>0</v>
      </c>
      <c r="AP52" s="279">
        <f t="shared" ref="AP52:BU52" ca="1" si="106">SUM(AP11:AP51)</f>
        <v>0</v>
      </c>
      <c r="AQ52" s="279">
        <f t="shared" ca="1" si="106"/>
        <v>0</v>
      </c>
      <c r="AR52" s="279">
        <f t="shared" ca="1" si="106"/>
        <v>0</v>
      </c>
      <c r="AS52" s="279">
        <f t="shared" ca="1" si="106"/>
        <v>0</v>
      </c>
      <c r="AT52" s="279">
        <f t="shared" ca="1" si="106"/>
        <v>0</v>
      </c>
      <c r="AU52" s="279">
        <f t="shared" ca="1" si="106"/>
        <v>0</v>
      </c>
      <c r="AV52" s="279">
        <f t="shared" ca="1" si="106"/>
        <v>0</v>
      </c>
      <c r="AW52" s="279">
        <f t="shared" ca="1" si="106"/>
        <v>0</v>
      </c>
      <c r="AX52" s="279">
        <f t="shared" ca="1" si="106"/>
        <v>0</v>
      </c>
      <c r="AY52" s="279">
        <f t="shared" ca="1" si="106"/>
        <v>0</v>
      </c>
      <c r="AZ52" s="279">
        <f t="shared" ca="1" si="106"/>
        <v>0</v>
      </c>
      <c r="BA52" s="279">
        <f t="shared" ca="1" si="106"/>
        <v>0</v>
      </c>
      <c r="BB52" s="279">
        <f t="shared" ca="1" si="106"/>
        <v>0</v>
      </c>
      <c r="BC52" s="279">
        <f t="shared" ca="1" si="106"/>
        <v>0</v>
      </c>
      <c r="BD52" s="279">
        <f t="shared" ca="1" si="106"/>
        <v>0</v>
      </c>
      <c r="BE52" s="279">
        <f t="shared" ca="1" si="106"/>
        <v>0</v>
      </c>
      <c r="BF52" s="279">
        <f t="shared" ca="1" si="106"/>
        <v>0</v>
      </c>
      <c r="BG52" s="279">
        <f t="shared" ca="1" si="106"/>
        <v>0</v>
      </c>
      <c r="BH52" s="279">
        <f t="shared" ca="1" si="106"/>
        <v>0</v>
      </c>
      <c r="BI52" s="279">
        <f t="shared" ca="1" si="106"/>
        <v>0</v>
      </c>
      <c r="BJ52" s="279">
        <f t="shared" ca="1" si="106"/>
        <v>0</v>
      </c>
      <c r="BK52" s="279">
        <f t="shared" ca="1" si="106"/>
        <v>0</v>
      </c>
      <c r="BL52" s="279">
        <f t="shared" ca="1" si="106"/>
        <v>0</v>
      </c>
      <c r="BM52" s="279">
        <f t="shared" ca="1" si="106"/>
        <v>0</v>
      </c>
      <c r="BN52" s="279">
        <f t="shared" ca="1" si="106"/>
        <v>0</v>
      </c>
      <c r="BO52" s="279">
        <f t="shared" ca="1" si="106"/>
        <v>0</v>
      </c>
      <c r="BP52" s="279">
        <f t="shared" ca="1" si="106"/>
        <v>0</v>
      </c>
      <c r="BQ52" s="279">
        <f t="shared" ca="1" si="106"/>
        <v>0</v>
      </c>
      <c r="BR52" s="279">
        <f t="shared" ca="1" si="106"/>
        <v>0</v>
      </c>
      <c r="BS52" s="279">
        <f t="shared" ca="1" si="106"/>
        <v>0</v>
      </c>
      <c r="BT52" s="279">
        <f t="shared" ca="1" si="106"/>
        <v>0</v>
      </c>
      <c r="BU52" s="279">
        <f t="shared" ca="1" si="106"/>
        <v>0</v>
      </c>
      <c r="BV52" s="279">
        <f t="shared" ref="BV52:DA52" ca="1" si="107">SUM(BV11:BV51)</f>
        <v>0</v>
      </c>
      <c r="BW52" s="279">
        <f t="shared" ca="1" si="107"/>
        <v>0</v>
      </c>
      <c r="BX52" s="279">
        <f t="shared" ca="1" si="107"/>
        <v>0</v>
      </c>
      <c r="BY52" s="279">
        <f t="shared" ca="1" si="107"/>
        <v>0</v>
      </c>
      <c r="BZ52" s="279">
        <f t="shared" ca="1" si="107"/>
        <v>0</v>
      </c>
      <c r="CA52" s="279">
        <f t="shared" ca="1" si="107"/>
        <v>107861885.00000048</v>
      </c>
      <c r="CB52" s="279">
        <f t="shared" ca="1" si="107"/>
        <v>107861885.00000048</v>
      </c>
      <c r="CC52" s="279">
        <f t="shared" ca="1" si="107"/>
        <v>0</v>
      </c>
      <c r="CD52" s="279">
        <f t="shared" ca="1" si="107"/>
        <v>0</v>
      </c>
      <c r="CE52" s="279">
        <f t="shared" ca="1" si="107"/>
        <v>0</v>
      </c>
      <c r="CF52" s="279">
        <f t="shared" ca="1" si="107"/>
        <v>0</v>
      </c>
      <c r="CG52" s="279">
        <f t="shared" ca="1" si="107"/>
        <v>0</v>
      </c>
      <c r="CH52" s="279">
        <f t="shared" ca="1" si="107"/>
        <v>0</v>
      </c>
      <c r="CI52" s="279">
        <f t="shared" ca="1" si="107"/>
        <v>0</v>
      </c>
      <c r="CJ52" s="279">
        <f t="shared" ca="1" si="107"/>
        <v>0</v>
      </c>
      <c r="CK52" s="279">
        <f t="shared" ca="1" si="107"/>
        <v>0</v>
      </c>
      <c r="CL52" s="279">
        <f t="shared" ca="1" si="107"/>
        <v>0</v>
      </c>
      <c r="CM52" s="279">
        <f t="shared" ca="1" si="107"/>
        <v>0</v>
      </c>
      <c r="CN52" s="279">
        <f t="shared" ca="1" si="107"/>
        <v>0</v>
      </c>
      <c r="CO52" s="279">
        <f t="shared" ca="1" si="107"/>
        <v>0</v>
      </c>
      <c r="CP52" s="279">
        <f t="shared" ca="1" si="107"/>
        <v>0</v>
      </c>
      <c r="CQ52" s="279">
        <f t="shared" ca="1" si="107"/>
        <v>0</v>
      </c>
      <c r="CR52" s="279">
        <f t="shared" ca="1" si="107"/>
        <v>0</v>
      </c>
      <c r="CS52" s="279">
        <f t="shared" ca="1" si="107"/>
        <v>0</v>
      </c>
      <c r="CT52" s="279">
        <f t="shared" ca="1" si="107"/>
        <v>0</v>
      </c>
      <c r="CU52" s="279">
        <f t="shared" ca="1" si="107"/>
        <v>0</v>
      </c>
      <c r="CV52" s="279">
        <f t="shared" ca="1" si="107"/>
        <v>0</v>
      </c>
      <c r="CW52" s="279">
        <f t="shared" ca="1" si="107"/>
        <v>0</v>
      </c>
      <c r="CX52" s="279">
        <f t="shared" ca="1" si="107"/>
        <v>0</v>
      </c>
      <c r="CY52" s="279">
        <f t="shared" ca="1" si="107"/>
        <v>0</v>
      </c>
      <c r="CZ52" s="279">
        <f t="shared" ca="1" si="107"/>
        <v>0</v>
      </c>
      <c r="DA52" s="279">
        <f t="shared" ca="1" si="107"/>
        <v>0</v>
      </c>
    </row>
    <row r="53" spans="1:105" s="276" customFormat="1" ht="15" customHeight="1">
      <c r="A53" s="284"/>
      <c r="B53" s="284"/>
      <c r="C53" s="284"/>
      <c r="D53" s="284"/>
      <c r="E53" s="285" t="s">
        <v>216</v>
      </c>
      <c r="F53" s="284"/>
      <c r="G53" s="286"/>
      <c r="H53" s="286"/>
      <c r="I53" s="284"/>
      <c r="J53" s="287">
        <f ca="1">MAX(J10+J52-K10-K52,0)</f>
        <v>3705039095</v>
      </c>
      <c r="K53" s="287">
        <f ca="1">MAX(K10+K52-J10-J52,0)</f>
        <v>0</v>
      </c>
      <c r="L53" s="287">
        <f ca="1">MAX(L10+L52-M10-M52,0)</f>
        <v>19829295</v>
      </c>
      <c r="M53" s="287">
        <f ca="1">MAX(M10+M52-L10-L52,0)</f>
        <v>0</v>
      </c>
      <c r="N53" s="287">
        <f ca="1">MAX(N10+N52-O10-O52,0)</f>
        <v>2236796790</v>
      </c>
      <c r="O53" s="287">
        <f ca="1">MAX(O10+O52-N10-N52,0)</f>
        <v>0</v>
      </c>
      <c r="P53" s="287">
        <f ca="1">MAX(P10+P52-Q10-Q52,0)</f>
        <v>3343381600</v>
      </c>
      <c r="Q53" s="287">
        <f ca="1">MAX(Q10+Q52-P10-P52,0)</f>
        <v>0</v>
      </c>
      <c r="R53" s="287">
        <f ca="1">MAX(R10+R52-S10-S52,0)</f>
        <v>162420936</v>
      </c>
      <c r="S53" s="287">
        <f ca="1">MAX(S10+S52-R10-R52,0)</f>
        <v>0</v>
      </c>
      <c r="T53" s="287">
        <f ca="1">MAX(T10+T52-U10-U52,0)</f>
        <v>1500000000</v>
      </c>
      <c r="U53" s="287">
        <f ca="1">MAX(U10+U52-T10-T52,0)</f>
        <v>0</v>
      </c>
      <c r="V53" s="287">
        <f ca="1">MAX(V10+V52-W10-W52,0)</f>
        <v>0</v>
      </c>
      <c r="W53" s="287">
        <f ca="1">MAX(W10+W52-V10-V52,0)</f>
        <v>0</v>
      </c>
      <c r="X53" s="287">
        <f ca="1">MAX(X10+X52-Y10-Y52,0)</f>
        <v>2772400000</v>
      </c>
      <c r="Y53" s="287">
        <f ca="1">MAX(Y10+Y52-X10-X52,0)</f>
        <v>0</v>
      </c>
      <c r="Z53" s="287">
        <f ca="1">MAX(Z10+Z52-AA10-AA52,0)</f>
        <v>526519887</v>
      </c>
      <c r="AA53" s="287">
        <f ca="1">MAX(AA10+AA52-Z10-Z52,0)</f>
        <v>0</v>
      </c>
      <c r="AB53" s="287">
        <f ca="1">MAX(AB10+AB52-AC10-AC52,0)</f>
        <v>0</v>
      </c>
      <c r="AC53" s="287">
        <f ca="1">MAX(AC10+AC52-AB10-AB52,0)</f>
        <v>0</v>
      </c>
      <c r="AD53" s="287">
        <f ca="1">MAX(AD10+AD52-AE10-AE52,0)</f>
        <v>0</v>
      </c>
      <c r="AE53" s="287">
        <f ca="1">MAX(AE10+AE52-AD10-AD52,0)</f>
        <v>0</v>
      </c>
      <c r="AF53" s="287">
        <f ca="1">MAX(AF10+AF52-AG10-AG52,0)</f>
        <v>9386323824</v>
      </c>
      <c r="AG53" s="287">
        <f ca="1">MAX(AG10+AG52-AF10-AF52,0)</f>
        <v>0</v>
      </c>
      <c r="AH53" s="287">
        <f ca="1">MAX(AH10+AH52-AI10-AI52,0)</f>
        <v>7490743648</v>
      </c>
      <c r="AI53" s="287">
        <f ca="1">MAX(AI10+AI52-AH10-AH52,0)</f>
        <v>0</v>
      </c>
      <c r="AJ53" s="287">
        <f ca="1">MAX(AJ10+AJ52-AK10-AK52,0)</f>
        <v>3807898863</v>
      </c>
      <c r="AK53" s="287">
        <f ca="1">MAX(AK10+AK52-AJ10-AJ52,0)</f>
        <v>0</v>
      </c>
      <c r="AL53" s="287">
        <f ca="1">MAX(AL10+AL52-AM10-AM52,0)</f>
        <v>3790918485</v>
      </c>
      <c r="AM53" s="287">
        <f ca="1">MAX(AM10+AM52-AL10-AL52,0)</f>
        <v>0</v>
      </c>
      <c r="AN53" s="287">
        <f ca="1">MAX(AN10+AN52-AO10-AO52,0)</f>
        <v>5405781300</v>
      </c>
      <c r="AO53" s="287">
        <f ca="1">MAX(AO10+AO52-AN10-AN52,0)</f>
        <v>0</v>
      </c>
      <c r="AP53" s="287">
        <f ca="1">MAX(AP10+AP52-AQ10-AQ52,0)</f>
        <v>0</v>
      </c>
      <c r="AQ53" s="287">
        <f ca="1">MAX(AQ10+AQ52-AP10-AP52,0)</f>
        <v>9132359256</v>
      </c>
      <c r="AR53" s="287">
        <f ca="1">MAX(AR10+AR52-AS10-AS52,0)</f>
        <v>0</v>
      </c>
      <c r="AS53" s="287">
        <f ca="1">MAX(AS10+AS52-AR10-AR52,0)</f>
        <v>600642360</v>
      </c>
      <c r="AT53" s="287">
        <f ca="1">MAX(AT10+AT52-AU10-AU52,0)</f>
        <v>0</v>
      </c>
      <c r="AU53" s="287">
        <f ca="1">MAX(AU10+AU52-AT10-AT52,0)</f>
        <v>0</v>
      </c>
      <c r="AV53" s="287">
        <f ca="1">MAX(AV10+AV52-AW10-AW52,0)</f>
        <v>0</v>
      </c>
      <c r="AW53" s="287">
        <f ca="1">MAX(AW10+AW52-AV10-AV52,0)</f>
        <v>476953252</v>
      </c>
      <c r="AX53" s="287">
        <f ca="1">MAX(AX10+AX52-AY10-AY52,0)</f>
        <v>0</v>
      </c>
      <c r="AY53" s="287">
        <f ca="1">MAX(AY10+AY52-AX10-AX52,0)</f>
        <v>0</v>
      </c>
      <c r="AZ53" s="287">
        <f ca="1">MAX(AZ10+AZ52-BA10-BA52,0)</f>
        <v>0</v>
      </c>
      <c r="BA53" s="287">
        <f ca="1">MAX(BA10+BA52-AZ10-AZ52,0)</f>
        <v>0</v>
      </c>
      <c r="BB53" s="287">
        <f ca="1">MAX(BB10+BB52-BC10-BC52,0)</f>
        <v>0</v>
      </c>
      <c r="BC53" s="287">
        <f ca="1">MAX(BC10+BC52-BB10-BB52,0)</f>
        <v>0</v>
      </c>
      <c r="BD53" s="287">
        <f ca="1">MAX(BD10+BD52-BE10-BE52,0)</f>
        <v>0</v>
      </c>
      <c r="BE53" s="287">
        <f ca="1">MAX(BE10+BE52-BD10-BD52,0)</f>
        <v>3313435</v>
      </c>
      <c r="BF53" s="287">
        <f ca="1">MAX(BF10+BF52-BG10-BG52,0)</f>
        <v>3389804</v>
      </c>
      <c r="BG53" s="287">
        <f ca="1">MAX(BG10+BG52-BF10-BF52,0)</f>
        <v>0</v>
      </c>
      <c r="BH53" s="287">
        <f ca="1">MAX(BH10+BH52-BI10-BI52,0)</f>
        <v>0</v>
      </c>
      <c r="BI53" s="287">
        <f ca="1">MAX(BI10+BI52-BH10-BH52,0)</f>
        <v>0</v>
      </c>
      <c r="BJ53" s="287">
        <f ca="1">MAX(BJ10+BJ52-BK10-BK52,0)</f>
        <v>0</v>
      </c>
      <c r="BK53" s="287">
        <f ca="1">MAX(BK10+BK52-BJ10-BJ52,0)</f>
        <v>0</v>
      </c>
      <c r="BL53" s="287">
        <f ca="1">MAX(BL10+BL52-BM10-BM52,0)</f>
        <v>0</v>
      </c>
      <c r="BM53" s="287">
        <f ca="1">MAX(BM10+BM52-BL10-BL52,0)</f>
        <v>40272309</v>
      </c>
      <c r="BN53" s="287">
        <f ca="1">MAX(BN10+BN52-BO10-BO52,0)</f>
        <v>0</v>
      </c>
      <c r="BO53" s="287">
        <f ca="1">MAX(BO10+BO52-BN10-BN52,0)</f>
        <v>6403142</v>
      </c>
      <c r="BP53" s="287">
        <f ca="1">MAX(BP10+BP52-BQ10-BQ52,0)</f>
        <v>0</v>
      </c>
      <c r="BQ53" s="287">
        <f ca="1">MAX(BQ10+BQ52-BP10-BP52,0)</f>
        <v>2761373</v>
      </c>
      <c r="BR53" s="287">
        <f ca="1">MAX(BR10+BR52-BS10-BS52,0)</f>
        <v>0</v>
      </c>
      <c r="BS53" s="287">
        <f ca="1">MAX(BS10+BS52-BR10-BR52,0)</f>
        <v>0</v>
      </c>
      <c r="BT53" s="287">
        <f ca="1">MAX(BT10+BT52-BU10-BU52,0)</f>
        <v>0</v>
      </c>
      <c r="BU53" s="287">
        <f ca="1">MAX(BU10+BU52-BT10-BT52,0)</f>
        <v>2169121879</v>
      </c>
      <c r="BV53" s="287">
        <f ca="1">MAX(BV10+BV52-BW10-BW52,0)</f>
        <v>0</v>
      </c>
      <c r="BW53" s="287">
        <f ca="1">MAX(BW10+BW52-BV10-BV52,0)</f>
        <v>21202920500</v>
      </c>
      <c r="BX53" s="287">
        <f ca="1">MAX(BX10+BX52-BY10-BY52,0)</f>
        <v>0</v>
      </c>
      <c r="BY53" s="287">
        <f ca="1">MAX(BY10+BY52-BX10-BX52,0)</f>
        <v>10000000000</v>
      </c>
      <c r="BZ53" s="287">
        <f ca="1">MAX(BZ10+BZ52-CA10-CA52,0)</f>
        <v>0</v>
      </c>
      <c r="CA53" s="287">
        <f ca="1">MAX(CA10+CA52-BZ10-BZ52,0)</f>
        <v>594397022.00000048</v>
      </c>
      <c r="CB53" s="287">
        <f ca="1">MAX(CB10+CB52-CC10-CC52,0)</f>
        <v>77701001</v>
      </c>
      <c r="CC53" s="287">
        <f ca="1">MAX(CC10+CC52-CB10-CB52,0)</f>
        <v>0</v>
      </c>
      <c r="CD53" s="287">
        <f ca="1">MAX(CD10+CD52-CE10-CE52,0)</f>
        <v>0</v>
      </c>
      <c r="CE53" s="287">
        <f ca="1">MAX(CE10+CE52-CD10-CD52,0)</f>
        <v>0</v>
      </c>
      <c r="CF53" s="287">
        <f ca="1">MAX(CF10+CF52-CG10-CG52,0)</f>
        <v>0</v>
      </c>
      <c r="CG53" s="287">
        <f ca="1">MAX(CG10+CG52-CF10-CF52,0)</f>
        <v>0</v>
      </c>
      <c r="CH53" s="287">
        <f ca="1">MAX(CH10+CH52-CI10-CI52,0)</f>
        <v>0</v>
      </c>
      <c r="CI53" s="287">
        <f ca="1">MAX(CI10+CI52-CH10-CH52,0)</f>
        <v>0</v>
      </c>
      <c r="CJ53" s="287">
        <f ca="1">MAX(CJ10+CJ52-CK10-CK52,0)</f>
        <v>0</v>
      </c>
      <c r="CK53" s="287">
        <f ca="1">MAX(CK10+CK52-CJ10-CJ52,0)</f>
        <v>0</v>
      </c>
      <c r="CL53" s="287">
        <f ca="1">MAX(CL10+CL52-CM10-CM52,0)</f>
        <v>0</v>
      </c>
      <c r="CM53" s="287">
        <f ca="1">MAX(CM10+CM52-CL10-CL52,0)</f>
        <v>0</v>
      </c>
      <c r="CN53" s="287">
        <f ca="1">MAX(CN10+CN52-CO10-CO52,0)</f>
        <v>0</v>
      </c>
      <c r="CO53" s="287">
        <f ca="1">MAX(CO10+CO52-CN10-CN52,0)</f>
        <v>0</v>
      </c>
      <c r="CP53" s="287">
        <f ca="1">MAX(CP10+CP52-CQ10-CQ52,0)</f>
        <v>0</v>
      </c>
      <c r="CQ53" s="287">
        <f ca="1">MAX(CQ10+CQ52-CP10-CP52,0)</f>
        <v>0</v>
      </c>
      <c r="CR53" s="287">
        <f ca="1">MAX(CR10+CR52-CS10-CS52,0)</f>
        <v>0</v>
      </c>
      <c r="CS53" s="287">
        <f ca="1">MAX(CS10+CS52-CR10-CR52,0)</f>
        <v>0</v>
      </c>
      <c r="CT53" s="287">
        <f ca="1">MAX(CT10+CT52-CU10-CU52,0)</f>
        <v>0</v>
      </c>
      <c r="CU53" s="287">
        <f ca="1">MAX(CU10+CU52-CT10-CT52,0)</f>
        <v>0</v>
      </c>
      <c r="CV53" s="287">
        <f ca="1">MAX(CV10+CV52-CW10-CW52,0)</f>
        <v>0</v>
      </c>
      <c r="CW53" s="287">
        <f ca="1">MAX(CW10+CW52-CV10-CV52,0)</f>
        <v>0</v>
      </c>
      <c r="CX53" s="287">
        <f ca="1">MAX(CX10+CX52-CY10-CY52,0)</f>
        <v>0</v>
      </c>
      <c r="CY53" s="287">
        <f ca="1">MAX(CY10+CY52-CX10-CX52,0)</f>
        <v>0</v>
      </c>
      <c r="CZ53" s="287">
        <f ca="1">MAX(CZ10+CZ52-DA10-DA52,0)</f>
        <v>0</v>
      </c>
      <c r="DA53" s="287">
        <f ca="1">MAX(DA10+DA52-CZ10-CZ52,0)</f>
        <v>0</v>
      </c>
    </row>
    <row r="54" spans="1:105" s="276" customFormat="1" ht="15" customHeight="1">
      <c r="A54" s="288"/>
      <c r="B54" s="288"/>
      <c r="C54" s="289"/>
      <c r="D54" s="288"/>
      <c r="E54" s="290" t="s">
        <v>217</v>
      </c>
      <c r="F54" s="288"/>
      <c r="G54" s="291"/>
      <c r="H54" s="291"/>
      <c r="I54" s="288"/>
      <c r="J54" s="292">
        <f ca="1">J52</f>
        <v>0</v>
      </c>
      <c r="K54" s="292">
        <f ca="1">K52</f>
        <v>0</v>
      </c>
      <c r="L54" s="292">
        <f t="shared" ref="L54:BY54" ca="1" si="108">L52</f>
        <v>0</v>
      </c>
      <c r="M54" s="292">
        <f t="shared" ca="1" si="108"/>
        <v>0</v>
      </c>
      <c r="N54" s="292">
        <f t="shared" ca="1" si="108"/>
        <v>0</v>
      </c>
      <c r="O54" s="292">
        <f t="shared" ca="1" si="108"/>
        <v>0</v>
      </c>
      <c r="P54" s="292">
        <f t="shared" ca="1" si="108"/>
        <v>0</v>
      </c>
      <c r="Q54" s="292">
        <f t="shared" ca="1" si="108"/>
        <v>0</v>
      </c>
      <c r="R54" s="292">
        <f t="shared" ca="1" si="108"/>
        <v>0</v>
      </c>
      <c r="S54" s="292">
        <f t="shared" ca="1" si="108"/>
        <v>0</v>
      </c>
      <c r="T54" s="292">
        <f t="shared" ca="1" si="108"/>
        <v>0</v>
      </c>
      <c r="U54" s="292">
        <f t="shared" ca="1" si="108"/>
        <v>0</v>
      </c>
      <c r="V54" s="292">
        <f t="shared" ca="1" si="108"/>
        <v>0</v>
      </c>
      <c r="W54" s="292">
        <f t="shared" ca="1" si="108"/>
        <v>0</v>
      </c>
      <c r="X54" s="292">
        <f t="shared" ca="1" si="108"/>
        <v>0</v>
      </c>
      <c r="Y54" s="292">
        <f t="shared" ca="1" si="108"/>
        <v>0</v>
      </c>
      <c r="Z54" s="292">
        <f t="shared" ca="1" si="108"/>
        <v>0</v>
      </c>
      <c r="AA54" s="292">
        <f t="shared" ca="1" si="108"/>
        <v>0</v>
      </c>
      <c r="AB54" s="292">
        <f t="shared" ca="1" si="108"/>
        <v>0</v>
      </c>
      <c r="AC54" s="292">
        <f t="shared" ca="1" si="108"/>
        <v>0</v>
      </c>
      <c r="AD54" s="292">
        <f t="shared" ca="1" si="108"/>
        <v>0</v>
      </c>
      <c r="AE54" s="292">
        <f t="shared" ca="1" si="108"/>
        <v>0</v>
      </c>
      <c r="AF54" s="292">
        <f t="shared" ca="1" si="108"/>
        <v>0</v>
      </c>
      <c r="AG54" s="292">
        <f t="shared" ca="1" si="108"/>
        <v>0</v>
      </c>
      <c r="AH54" s="292">
        <f t="shared" ca="1" si="108"/>
        <v>0</v>
      </c>
      <c r="AI54" s="292">
        <f t="shared" ca="1" si="108"/>
        <v>0</v>
      </c>
      <c r="AJ54" s="292">
        <f t="shared" ca="1" si="108"/>
        <v>0</v>
      </c>
      <c r="AK54" s="292">
        <f t="shared" ca="1" si="108"/>
        <v>0</v>
      </c>
      <c r="AL54" s="292">
        <f t="shared" ca="1" si="108"/>
        <v>0</v>
      </c>
      <c r="AM54" s="292">
        <f t="shared" ca="1" si="108"/>
        <v>0</v>
      </c>
      <c r="AN54" s="292">
        <f t="shared" ca="1" si="108"/>
        <v>0</v>
      </c>
      <c r="AO54" s="292">
        <f t="shared" ca="1" si="108"/>
        <v>0</v>
      </c>
      <c r="AP54" s="292">
        <f t="shared" ca="1" si="108"/>
        <v>0</v>
      </c>
      <c r="AQ54" s="292">
        <f t="shared" ca="1" si="108"/>
        <v>0</v>
      </c>
      <c r="AR54" s="292">
        <f t="shared" ca="1" si="108"/>
        <v>0</v>
      </c>
      <c r="AS54" s="292">
        <f t="shared" ca="1" si="108"/>
        <v>0</v>
      </c>
      <c r="AT54" s="292">
        <f t="shared" ref="AT54:AU54" ca="1" si="109">AT52</f>
        <v>0</v>
      </c>
      <c r="AU54" s="292">
        <f t="shared" ca="1" si="109"/>
        <v>0</v>
      </c>
      <c r="AV54" s="292">
        <f t="shared" ca="1" si="108"/>
        <v>0</v>
      </c>
      <c r="AW54" s="292">
        <f t="shared" ca="1" si="108"/>
        <v>0</v>
      </c>
      <c r="AX54" s="292">
        <f t="shared" ca="1" si="108"/>
        <v>0</v>
      </c>
      <c r="AY54" s="292">
        <f t="shared" ca="1" si="108"/>
        <v>0</v>
      </c>
      <c r="AZ54" s="292">
        <f t="shared" ca="1" si="108"/>
        <v>0</v>
      </c>
      <c r="BA54" s="292">
        <f t="shared" ca="1" si="108"/>
        <v>0</v>
      </c>
      <c r="BB54" s="292">
        <f t="shared" ca="1" si="108"/>
        <v>0</v>
      </c>
      <c r="BC54" s="292">
        <f t="shared" ca="1" si="108"/>
        <v>0</v>
      </c>
      <c r="BD54" s="292">
        <f t="shared" ca="1" si="108"/>
        <v>0</v>
      </c>
      <c r="BE54" s="292">
        <f t="shared" ca="1" si="108"/>
        <v>0</v>
      </c>
      <c r="BF54" s="292">
        <f t="shared" ca="1" si="108"/>
        <v>0</v>
      </c>
      <c r="BG54" s="292">
        <f t="shared" ca="1" si="108"/>
        <v>0</v>
      </c>
      <c r="BH54" s="292">
        <f t="shared" ca="1" si="108"/>
        <v>0</v>
      </c>
      <c r="BI54" s="292">
        <f t="shared" ca="1" si="108"/>
        <v>0</v>
      </c>
      <c r="BJ54" s="292">
        <f t="shared" ca="1" si="108"/>
        <v>0</v>
      </c>
      <c r="BK54" s="292">
        <f t="shared" ca="1" si="108"/>
        <v>0</v>
      </c>
      <c r="BL54" s="292">
        <f t="shared" ca="1" si="108"/>
        <v>0</v>
      </c>
      <c r="BM54" s="292">
        <f t="shared" ca="1" si="108"/>
        <v>0</v>
      </c>
      <c r="BN54" s="292">
        <f t="shared" ca="1" si="108"/>
        <v>0</v>
      </c>
      <c r="BO54" s="292">
        <f t="shared" ca="1" si="108"/>
        <v>0</v>
      </c>
      <c r="BP54" s="292">
        <f t="shared" ca="1" si="108"/>
        <v>0</v>
      </c>
      <c r="BQ54" s="292">
        <f t="shared" ca="1" si="108"/>
        <v>0</v>
      </c>
      <c r="BR54" s="292">
        <f t="shared" ca="1" si="108"/>
        <v>0</v>
      </c>
      <c r="BS54" s="292">
        <f t="shared" ca="1" si="108"/>
        <v>0</v>
      </c>
      <c r="BT54" s="292">
        <f t="shared" ca="1" si="108"/>
        <v>0</v>
      </c>
      <c r="BU54" s="292">
        <f t="shared" ca="1" si="108"/>
        <v>0</v>
      </c>
      <c r="BV54" s="292">
        <f t="shared" ref="BV54:BW54" ca="1" si="110">BV52</f>
        <v>0</v>
      </c>
      <c r="BW54" s="292">
        <f t="shared" ca="1" si="110"/>
        <v>0</v>
      </c>
      <c r="BX54" s="292">
        <f t="shared" ca="1" si="108"/>
        <v>0</v>
      </c>
      <c r="BY54" s="292">
        <f t="shared" ca="1" si="108"/>
        <v>0</v>
      </c>
      <c r="BZ54" s="292">
        <f t="shared" ref="BZ54:DA54" ca="1" si="111">BZ52</f>
        <v>0</v>
      </c>
      <c r="CA54" s="292">
        <f t="shared" ca="1" si="111"/>
        <v>107861885.00000048</v>
      </c>
      <c r="CB54" s="292">
        <f t="shared" ca="1" si="111"/>
        <v>107861885.00000048</v>
      </c>
      <c r="CC54" s="292">
        <f t="shared" ca="1" si="111"/>
        <v>0</v>
      </c>
      <c r="CD54" s="292">
        <f t="shared" ca="1" si="111"/>
        <v>0</v>
      </c>
      <c r="CE54" s="292">
        <f t="shared" ca="1" si="111"/>
        <v>0</v>
      </c>
      <c r="CF54" s="292">
        <f t="shared" ca="1" si="111"/>
        <v>0</v>
      </c>
      <c r="CG54" s="292">
        <f t="shared" ca="1" si="111"/>
        <v>0</v>
      </c>
      <c r="CH54" s="292">
        <f t="shared" ca="1" si="111"/>
        <v>0</v>
      </c>
      <c r="CI54" s="292">
        <f t="shared" ca="1" si="111"/>
        <v>0</v>
      </c>
      <c r="CJ54" s="292">
        <f t="shared" ca="1" si="111"/>
        <v>0</v>
      </c>
      <c r="CK54" s="292">
        <f t="shared" ca="1" si="111"/>
        <v>0</v>
      </c>
      <c r="CL54" s="292">
        <f t="shared" ca="1" si="111"/>
        <v>0</v>
      </c>
      <c r="CM54" s="292">
        <f t="shared" ca="1" si="111"/>
        <v>0</v>
      </c>
      <c r="CN54" s="292">
        <f t="shared" ca="1" si="111"/>
        <v>0</v>
      </c>
      <c r="CO54" s="292">
        <f t="shared" ca="1" si="111"/>
        <v>0</v>
      </c>
      <c r="CP54" s="292">
        <f t="shared" ca="1" si="111"/>
        <v>0</v>
      </c>
      <c r="CQ54" s="292">
        <f t="shared" ca="1" si="111"/>
        <v>0</v>
      </c>
      <c r="CR54" s="292">
        <f t="shared" ca="1" si="111"/>
        <v>0</v>
      </c>
      <c r="CS54" s="292">
        <f t="shared" ca="1" si="111"/>
        <v>0</v>
      </c>
      <c r="CT54" s="292">
        <f t="shared" ca="1" si="111"/>
        <v>0</v>
      </c>
      <c r="CU54" s="292">
        <f t="shared" ca="1" si="111"/>
        <v>0</v>
      </c>
      <c r="CV54" s="292">
        <f t="shared" ca="1" si="111"/>
        <v>0</v>
      </c>
      <c r="CW54" s="292">
        <f t="shared" ca="1" si="111"/>
        <v>0</v>
      </c>
      <c r="CX54" s="292">
        <f t="shared" ca="1" si="111"/>
        <v>0</v>
      </c>
      <c r="CY54" s="292">
        <f t="shared" ca="1" si="111"/>
        <v>0</v>
      </c>
      <c r="CZ54" s="292">
        <f t="shared" ca="1" si="111"/>
        <v>0</v>
      </c>
      <c r="DA54" s="292">
        <f t="shared" ca="1" si="111"/>
        <v>0</v>
      </c>
    </row>
    <row r="55" spans="1:105" ht="12" customHeight="1">
      <c r="B55" s="293"/>
      <c r="C55" s="294"/>
      <c r="D55" s="294"/>
      <c r="E55" s="294"/>
      <c r="F55" s="294"/>
      <c r="G55" s="295"/>
      <c r="H55" s="295"/>
      <c r="I55" s="294"/>
      <c r="J55" s="294"/>
      <c r="K55" s="294"/>
    </row>
    <row r="56" spans="1:105">
      <c r="F56" s="296"/>
      <c r="M56" s="296"/>
      <c r="O56" s="296"/>
      <c r="Q56" s="296"/>
      <c r="R56" s="296"/>
      <c r="S56" s="296"/>
      <c r="T56" s="296"/>
      <c r="U56" s="296"/>
      <c r="V56" s="296"/>
      <c r="AN56" s="297" t="s">
        <v>218</v>
      </c>
      <c r="AO56" s="298"/>
      <c r="AP56" s="298"/>
      <c r="AQ56" s="298"/>
      <c r="AR56" s="299"/>
      <c r="AS56" s="299"/>
      <c r="AT56" s="298"/>
    </row>
    <row r="57" spans="1:105">
      <c r="F57" s="296"/>
      <c r="M57" s="296"/>
      <c r="O57" s="296"/>
      <c r="Q57" s="296"/>
      <c r="R57" s="296"/>
      <c r="S57" s="296"/>
      <c r="T57" s="296"/>
      <c r="U57" s="296"/>
      <c r="V57" s="296"/>
      <c r="AN57" s="300" t="s">
        <v>219</v>
      </c>
      <c r="AO57" s="298"/>
      <c r="AP57" s="298"/>
      <c r="AQ57" s="298"/>
      <c r="AR57" s="299"/>
      <c r="AS57" s="299"/>
      <c r="AT57" s="298"/>
    </row>
    <row r="58" spans="1:105">
      <c r="F58" s="296"/>
      <c r="M58" s="296"/>
      <c r="O58" s="296"/>
      <c r="Q58" s="296"/>
      <c r="R58" s="296"/>
      <c r="S58" s="296"/>
      <c r="T58" s="296"/>
      <c r="U58" s="296"/>
      <c r="V58" s="296"/>
      <c r="AN58" s="298"/>
      <c r="AO58" s="298"/>
      <c r="AP58" s="298"/>
      <c r="AQ58" s="298"/>
      <c r="AR58" s="298"/>
      <c r="AS58" s="298"/>
      <c r="AT58" s="299"/>
    </row>
    <row r="59" spans="1:105">
      <c r="F59" s="296"/>
      <c r="AN59" s="298"/>
      <c r="AO59" s="298"/>
      <c r="AP59" s="298"/>
      <c r="AQ59" s="298"/>
      <c r="AR59" s="298"/>
      <c r="AS59" s="298"/>
      <c r="AT59" s="299"/>
      <c r="AZ59" s="301" t="str">
        <f>"Ngày 31 tháng 03 năm 2015 "</f>
        <v xml:space="preserve">Ngày 31 tháng 03 năm 2015 </v>
      </c>
    </row>
    <row r="60" spans="1:105">
      <c r="F60" s="296"/>
      <c r="M60" s="296"/>
      <c r="O60" s="296"/>
      <c r="Q60" s="296"/>
      <c r="R60" s="296"/>
      <c r="S60" s="296"/>
      <c r="T60" s="296"/>
      <c r="U60" s="296"/>
      <c r="V60" s="296"/>
      <c r="AN60" s="298"/>
      <c r="AO60" s="302" t="s">
        <v>11</v>
      </c>
      <c r="AP60" s="298"/>
      <c r="AQ60" s="298"/>
      <c r="AR60" s="298"/>
      <c r="AS60" s="303" t="s">
        <v>12</v>
      </c>
      <c r="AT60" s="299"/>
      <c r="AZ60" s="302" t="s">
        <v>131</v>
      </c>
    </row>
    <row r="61" spans="1:105">
      <c r="F61" s="296"/>
      <c r="M61" s="296"/>
      <c r="O61" s="296"/>
      <c r="Q61" s="296"/>
      <c r="R61" s="296"/>
      <c r="S61" s="296"/>
      <c r="T61" s="296"/>
      <c r="U61" s="296"/>
      <c r="V61" s="296"/>
      <c r="AN61" s="298"/>
      <c r="AO61" s="304" t="s">
        <v>13</v>
      </c>
      <c r="AP61" s="298"/>
      <c r="AQ61" s="298"/>
      <c r="AR61" s="298"/>
      <c r="AS61" s="305" t="s">
        <v>13</v>
      </c>
      <c r="AT61" s="299"/>
      <c r="AZ61" s="304" t="s">
        <v>161</v>
      </c>
    </row>
    <row r="62" spans="1:105">
      <c r="F62" s="296"/>
      <c r="M62" s="296"/>
      <c r="O62" s="296"/>
      <c r="Q62" s="296"/>
      <c r="R62" s="296"/>
      <c r="S62" s="296"/>
      <c r="T62" s="296"/>
      <c r="U62" s="296"/>
      <c r="V62" s="296"/>
      <c r="AL62" s="298"/>
      <c r="AM62" s="298"/>
      <c r="AN62" s="298"/>
      <c r="AO62" s="298"/>
      <c r="AP62" s="298"/>
      <c r="AQ62" s="298"/>
      <c r="AR62" s="298"/>
      <c r="AS62" s="298"/>
      <c r="AT62" s="299"/>
      <c r="AZ62" s="298"/>
    </row>
    <row r="63" spans="1:105">
      <c r="F63" s="296"/>
      <c r="M63" s="296"/>
      <c r="O63" s="296"/>
      <c r="Q63" s="296"/>
      <c r="R63" s="296"/>
      <c r="S63" s="296"/>
      <c r="T63" s="296"/>
      <c r="U63" s="296"/>
      <c r="V63" s="296"/>
      <c r="AZ63" s="298"/>
    </row>
    <row r="64" spans="1:105">
      <c r="F64" s="296"/>
      <c r="M64" s="296"/>
      <c r="O64" s="296"/>
      <c r="Q64" s="296"/>
      <c r="R64" s="296"/>
      <c r="S64" s="296"/>
      <c r="T64" s="296"/>
      <c r="U64" s="296"/>
      <c r="V64" s="296"/>
    </row>
    <row r="65" spans="6:22">
      <c r="F65" s="296"/>
      <c r="M65" s="296"/>
      <c r="O65" s="296"/>
      <c r="Q65" s="296"/>
      <c r="R65" s="296"/>
      <c r="S65" s="296"/>
      <c r="T65" s="296"/>
      <c r="U65" s="296"/>
      <c r="V65" s="296"/>
    </row>
    <row r="66" spans="6:22">
      <c r="F66" s="296"/>
    </row>
    <row r="67" spans="6:22">
      <c r="F67" s="296"/>
      <c r="M67" s="296"/>
      <c r="O67" s="296"/>
      <c r="Q67" s="296"/>
      <c r="R67" s="296"/>
      <c r="S67" s="296"/>
      <c r="T67" s="296"/>
      <c r="U67" s="296"/>
      <c r="V67" s="296"/>
    </row>
    <row r="68" spans="6:22">
      <c r="F68" s="296"/>
      <c r="M68" s="296"/>
      <c r="O68" s="296"/>
      <c r="Q68" s="296"/>
      <c r="R68" s="296"/>
      <c r="S68" s="296"/>
      <c r="T68" s="296"/>
      <c r="U68" s="296"/>
      <c r="V68" s="296"/>
    </row>
    <row r="69" spans="6:22">
      <c r="F69" s="296"/>
      <c r="M69" s="296"/>
      <c r="O69" s="296"/>
      <c r="Q69" s="296"/>
      <c r="R69" s="296"/>
      <c r="S69" s="296"/>
      <c r="T69" s="296"/>
      <c r="U69" s="296"/>
      <c r="V69" s="296"/>
    </row>
    <row r="70" spans="6:22">
      <c r="F70" s="296"/>
      <c r="M70" s="296"/>
      <c r="O70" s="296"/>
      <c r="Q70" s="296"/>
      <c r="R70" s="296"/>
      <c r="S70" s="296"/>
      <c r="T70" s="296"/>
      <c r="U70" s="296"/>
      <c r="V70" s="296"/>
    </row>
    <row r="71" spans="6:22">
      <c r="F71" s="296"/>
      <c r="M71" s="296"/>
      <c r="O71" s="296"/>
      <c r="Q71" s="296"/>
      <c r="R71" s="296"/>
      <c r="S71" s="296"/>
      <c r="T71" s="296"/>
      <c r="U71" s="296"/>
      <c r="V71" s="296"/>
    </row>
    <row r="72" spans="6:22">
      <c r="F72" s="296"/>
      <c r="M72" s="296"/>
      <c r="O72" s="296"/>
      <c r="Q72" s="296"/>
      <c r="R72" s="296"/>
      <c r="S72" s="296"/>
      <c r="T72" s="296"/>
      <c r="U72" s="296"/>
      <c r="V72" s="296"/>
    </row>
    <row r="73" spans="6:22">
      <c r="F73" s="296"/>
      <c r="M73" s="296"/>
      <c r="O73" s="296"/>
      <c r="Q73" s="296"/>
      <c r="R73" s="296"/>
      <c r="S73" s="296"/>
      <c r="T73" s="296"/>
      <c r="U73" s="296"/>
      <c r="V73" s="296"/>
    </row>
    <row r="74" spans="6:22">
      <c r="F74" s="296"/>
      <c r="M74" s="296"/>
      <c r="O74" s="296"/>
      <c r="Q74" s="296"/>
      <c r="R74" s="296"/>
      <c r="S74" s="296"/>
      <c r="T74" s="296"/>
      <c r="U74" s="296"/>
      <c r="V74" s="296"/>
    </row>
    <row r="75" spans="6:22">
      <c r="F75" s="296"/>
      <c r="M75" s="296"/>
      <c r="O75" s="296"/>
      <c r="Q75" s="296"/>
      <c r="R75" s="296"/>
      <c r="S75" s="296"/>
      <c r="T75" s="296"/>
      <c r="U75" s="296"/>
      <c r="V75" s="296"/>
    </row>
    <row r="76" spans="6:22">
      <c r="F76" s="296"/>
      <c r="M76" s="296"/>
      <c r="O76" s="296"/>
      <c r="Q76" s="296"/>
      <c r="R76" s="296"/>
      <c r="S76" s="296"/>
      <c r="T76" s="296"/>
      <c r="U76" s="296"/>
      <c r="V76" s="296"/>
    </row>
    <row r="77" spans="6:22">
      <c r="F77" s="296"/>
      <c r="M77" s="296"/>
      <c r="O77" s="296"/>
      <c r="Q77" s="296"/>
      <c r="R77" s="296"/>
      <c r="S77" s="296"/>
      <c r="T77" s="296"/>
      <c r="U77" s="296"/>
      <c r="V77" s="296"/>
    </row>
    <row r="78" spans="6:22">
      <c r="F78" s="296"/>
      <c r="M78" s="296"/>
      <c r="O78" s="296"/>
      <c r="Q78" s="296"/>
      <c r="R78" s="296"/>
      <c r="S78" s="296"/>
      <c r="T78" s="296"/>
      <c r="U78" s="296"/>
      <c r="V78" s="296"/>
    </row>
    <row r="79" spans="6:22">
      <c r="F79" s="296"/>
      <c r="M79" s="296"/>
      <c r="O79" s="296"/>
      <c r="Q79" s="296"/>
      <c r="R79" s="296"/>
      <c r="S79" s="296"/>
      <c r="T79" s="296"/>
      <c r="U79" s="296"/>
      <c r="V79" s="296"/>
    </row>
    <row r="80" spans="6:22">
      <c r="F80" s="296"/>
      <c r="M80" s="296"/>
      <c r="O80" s="296"/>
      <c r="Q80" s="296"/>
      <c r="R80" s="296"/>
      <c r="S80" s="296"/>
      <c r="T80" s="296"/>
      <c r="U80" s="296"/>
      <c r="V80" s="296"/>
    </row>
    <row r="81" spans="6:22">
      <c r="F81" s="296"/>
      <c r="M81" s="296"/>
      <c r="O81" s="296"/>
      <c r="Q81" s="296"/>
      <c r="R81" s="296"/>
      <c r="S81" s="296"/>
      <c r="T81" s="296"/>
      <c r="U81" s="296"/>
      <c r="V81" s="296"/>
    </row>
    <row r="82" spans="6:22">
      <c r="F82" s="296"/>
      <c r="M82" s="296"/>
      <c r="O82" s="296"/>
      <c r="Q82" s="296"/>
      <c r="R82" s="296"/>
      <c r="S82" s="296"/>
      <c r="T82" s="296"/>
      <c r="U82" s="296"/>
      <c r="V82" s="296"/>
    </row>
    <row r="83" spans="6:22">
      <c r="F83" s="296"/>
      <c r="M83" s="296"/>
      <c r="O83" s="296"/>
      <c r="Q83" s="296"/>
      <c r="R83" s="296"/>
      <c r="S83" s="296"/>
      <c r="T83" s="296"/>
      <c r="U83" s="296"/>
      <c r="V83" s="296"/>
    </row>
    <row r="84" spans="6:22">
      <c r="F84" s="296"/>
      <c r="M84" s="296"/>
      <c r="O84" s="296"/>
      <c r="Q84" s="296"/>
      <c r="R84" s="296"/>
      <c r="S84" s="296"/>
      <c r="T84" s="296"/>
      <c r="U84" s="296"/>
      <c r="V84" s="296"/>
    </row>
    <row r="85" spans="6:22">
      <c r="F85" s="296"/>
      <c r="M85" s="296"/>
      <c r="O85" s="296"/>
      <c r="Q85" s="296"/>
      <c r="R85" s="296"/>
      <c r="S85" s="296"/>
      <c r="T85" s="296"/>
      <c r="U85" s="296"/>
      <c r="V85" s="296"/>
    </row>
    <row r="86" spans="6:22">
      <c r="F86" s="296"/>
      <c r="M86" s="296"/>
      <c r="O86" s="296"/>
      <c r="Q86" s="296"/>
      <c r="R86" s="296"/>
      <c r="S86" s="296"/>
      <c r="T86" s="296"/>
      <c r="U86" s="296"/>
      <c r="V86" s="296"/>
    </row>
    <row r="87" spans="6:22">
      <c r="F87" s="296"/>
      <c r="M87" s="296"/>
      <c r="O87" s="296"/>
      <c r="Q87" s="296"/>
      <c r="R87" s="296"/>
      <c r="S87" s="296"/>
      <c r="T87" s="296"/>
      <c r="U87" s="296"/>
      <c r="V87" s="296"/>
    </row>
    <row r="88" spans="6:22">
      <c r="F88" s="296"/>
      <c r="M88" s="296"/>
      <c r="O88" s="296"/>
      <c r="Q88" s="296"/>
      <c r="R88" s="296"/>
      <c r="S88" s="296"/>
      <c r="T88" s="296"/>
      <c r="U88" s="296"/>
      <c r="V88" s="296"/>
    </row>
    <row r="89" spans="6:22">
      <c r="F89" s="296"/>
      <c r="M89" s="296"/>
      <c r="O89" s="296"/>
      <c r="Q89" s="296"/>
      <c r="R89" s="296"/>
      <c r="S89" s="296"/>
      <c r="T89" s="296"/>
      <c r="U89" s="296"/>
      <c r="V89" s="296"/>
    </row>
    <row r="90" spans="6:22">
      <c r="F90" s="296"/>
      <c r="M90" s="296"/>
      <c r="O90" s="296"/>
      <c r="Q90" s="296"/>
      <c r="R90" s="296"/>
      <c r="S90" s="296"/>
      <c r="T90" s="296"/>
      <c r="U90" s="296"/>
      <c r="V90" s="296"/>
    </row>
    <row r="91" spans="6:22">
      <c r="F91" s="296"/>
      <c r="M91" s="296"/>
      <c r="O91" s="296"/>
      <c r="Q91" s="296"/>
      <c r="R91" s="296"/>
      <c r="S91" s="296"/>
      <c r="T91" s="296"/>
      <c r="U91" s="296"/>
      <c r="V91" s="296"/>
    </row>
    <row r="92" spans="6:22">
      <c r="F92" s="296"/>
      <c r="M92" s="296"/>
      <c r="O92" s="296"/>
      <c r="Q92" s="296"/>
      <c r="R92" s="296"/>
      <c r="S92" s="296"/>
      <c r="T92" s="296"/>
      <c r="U92" s="296"/>
      <c r="V92" s="296"/>
    </row>
    <row r="93" spans="6:22">
      <c r="F93" s="296"/>
      <c r="M93" s="296"/>
      <c r="O93" s="296"/>
      <c r="Q93" s="296"/>
      <c r="R93" s="296"/>
      <c r="S93" s="296"/>
      <c r="T93" s="296"/>
      <c r="U93" s="296"/>
      <c r="V93" s="296"/>
    </row>
    <row r="94" spans="6:22">
      <c r="F94" s="296"/>
      <c r="M94" s="296"/>
      <c r="O94" s="296"/>
      <c r="Q94" s="296"/>
      <c r="R94" s="296"/>
      <c r="S94" s="296"/>
      <c r="T94" s="296"/>
      <c r="U94" s="296"/>
      <c r="V94" s="296"/>
    </row>
    <row r="95" spans="6:22">
      <c r="F95" s="296"/>
      <c r="M95" s="296"/>
      <c r="O95" s="296"/>
      <c r="Q95" s="296"/>
      <c r="R95" s="296"/>
      <c r="S95" s="296"/>
      <c r="T95" s="296"/>
      <c r="U95" s="296"/>
      <c r="V95" s="296"/>
    </row>
    <row r="96" spans="6:22">
      <c r="F96" s="296"/>
      <c r="M96" s="296"/>
      <c r="O96" s="296"/>
      <c r="Q96" s="296"/>
      <c r="R96" s="296"/>
      <c r="S96" s="296"/>
      <c r="T96" s="296"/>
      <c r="U96" s="296"/>
      <c r="V96" s="296"/>
    </row>
    <row r="97" spans="6:22">
      <c r="F97" s="296"/>
      <c r="M97" s="296"/>
      <c r="O97" s="296"/>
      <c r="Q97" s="296"/>
      <c r="R97" s="296"/>
      <c r="S97" s="296"/>
      <c r="T97" s="296"/>
      <c r="U97" s="296"/>
      <c r="V97" s="296"/>
    </row>
    <row r="98" spans="6:22">
      <c r="F98" s="296"/>
      <c r="M98" s="296"/>
      <c r="O98" s="296"/>
      <c r="Q98" s="296"/>
      <c r="R98" s="296"/>
      <c r="S98" s="296"/>
      <c r="T98" s="296"/>
      <c r="U98" s="296"/>
      <c r="V98" s="296"/>
    </row>
    <row r="99" spans="6:22">
      <c r="F99" s="296"/>
      <c r="M99" s="296"/>
      <c r="O99" s="296"/>
      <c r="Q99" s="296"/>
      <c r="R99" s="296"/>
      <c r="S99" s="296"/>
      <c r="T99" s="296"/>
      <c r="U99" s="296"/>
      <c r="V99" s="296"/>
    </row>
    <row r="100" spans="6:22">
      <c r="F100" s="296"/>
      <c r="M100" s="296"/>
      <c r="O100" s="296"/>
      <c r="Q100" s="296"/>
      <c r="R100" s="296"/>
      <c r="S100" s="296"/>
      <c r="T100" s="296"/>
      <c r="U100" s="296"/>
      <c r="V100" s="296"/>
    </row>
    <row r="101" spans="6:22">
      <c r="F101" s="296"/>
      <c r="M101" s="296"/>
      <c r="O101" s="296"/>
      <c r="Q101" s="296"/>
      <c r="R101" s="296"/>
      <c r="S101" s="296"/>
      <c r="T101" s="296"/>
      <c r="U101" s="296"/>
      <c r="V101" s="296"/>
    </row>
    <row r="102" spans="6:22">
      <c r="F102" s="296"/>
      <c r="M102" s="296"/>
      <c r="O102" s="296"/>
      <c r="Q102" s="296"/>
      <c r="R102" s="296"/>
      <c r="S102" s="296"/>
      <c r="T102" s="296"/>
      <c r="U102" s="296"/>
      <c r="V102" s="296"/>
    </row>
    <row r="103" spans="6:22">
      <c r="F103" s="296"/>
      <c r="M103" s="296"/>
      <c r="O103" s="296"/>
      <c r="Q103" s="296"/>
      <c r="R103" s="296"/>
      <c r="S103" s="296"/>
      <c r="T103" s="296"/>
      <c r="U103" s="296"/>
      <c r="V103" s="296"/>
    </row>
    <row r="104" spans="6:22">
      <c r="F104" s="296"/>
      <c r="M104" s="296"/>
      <c r="O104" s="296"/>
      <c r="Q104" s="296"/>
      <c r="R104" s="296"/>
      <c r="S104" s="296"/>
      <c r="T104" s="296"/>
      <c r="U104" s="296"/>
      <c r="V104" s="296"/>
    </row>
    <row r="105" spans="6:22">
      <c r="F105" s="296"/>
      <c r="M105" s="296"/>
      <c r="O105" s="296"/>
      <c r="Q105" s="296"/>
      <c r="R105" s="296"/>
      <c r="S105" s="296"/>
      <c r="T105" s="296"/>
      <c r="U105" s="296"/>
      <c r="V105" s="296"/>
    </row>
    <row r="106" spans="6:22">
      <c r="F106" s="296"/>
      <c r="M106" s="296"/>
      <c r="O106" s="296"/>
      <c r="Q106" s="296"/>
      <c r="R106" s="296"/>
      <c r="S106" s="296"/>
      <c r="T106" s="296"/>
      <c r="U106" s="296"/>
      <c r="V106" s="296"/>
    </row>
    <row r="107" spans="6:22">
      <c r="F107" s="296"/>
      <c r="M107" s="296"/>
      <c r="O107" s="296"/>
      <c r="Q107" s="296"/>
      <c r="R107" s="296"/>
      <c r="S107" s="296"/>
      <c r="T107" s="296"/>
      <c r="U107" s="296"/>
      <c r="V107" s="296"/>
    </row>
    <row r="108" spans="6:22">
      <c r="F108" s="296"/>
      <c r="M108" s="296"/>
      <c r="O108" s="296"/>
      <c r="Q108" s="296"/>
      <c r="R108" s="296"/>
      <c r="S108" s="296"/>
      <c r="T108" s="296"/>
      <c r="U108" s="296"/>
      <c r="V108" s="296"/>
    </row>
    <row r="109" spans="6:22">
      <c r="F109" s="296"/>
      <c r="M109" s="296"/>
      <c r="O109" s="296"/>
      <c r="Q109" s="296"/>
      <c r="R109" s="296"/>
      <c r="S109" s="296"/>
      <c r="T109" s="296"/>
      <c r="U109" s="296"/>
      <c r="V109" s="296"/>
    </row>
    <row r="110" spans="6:22">
      <c r="F110" s="296"/>
      <c r="M110" s="296"/>
      <c r="O110" s="296"/>
      <c r="Q110" s="296"/>
      <c r="R110" s="296"/>
      <c r="S110" s="296"/>
      <c r="T110" s="296"/>
      <c r="U110" s="296"/>
      <c r="V110" s="296"/>
    </row>
    <row r="111" spans="6:22">
      <c r="M111" s="296"/>
      <c r="O111" s="296"/>
      <c r="Q111" s="296"/>
      <c r="R111" s="296"/>
      <c r="S111" s="296"/>
      <c r="T111" s="296"/>
      <c r="U111" s="296"/>
      <c r="V111" s="296"/>
    </row>
    <row r="112" spans="6:22">
      <c r="M112" s="296"/>
      <c r="O112" s="296"/>
      <c r="Q112" s="296"/>
      <c r="R112" s="296"/>
      <c r="S112" s="296"/>
      <c r="T112" s="296"/>
      <c r="U112" s="296"/>
      <c r="V112" s="296"/>
    </row>
  </sheetData>
  <autoFilter ref="A9:BA54"/>
  <mergeCells count="59">
    <mergeCell ref="CR7:CS7"/>
    <mergeCell ref="CT7:CU7"/>
    <mergeCell ref="CV7:CW7"/>
    <mergeCell ref="CX7:CY7"/>
    <mergeCell ref="CZ7:DA7"/>
    <mergeCell ref="CH7:CI7"/>
    <mergeCell ref="CJ7:CK7"/>
    <mergeCell ref="CL7:CM7"/>
    <mergeCell ref="CN7:CO7"/>
    <mergeCell ref="CP7:CQ7"/>
    <mergeCell ref="BX7:BY7"/>
    <mergeCell ref="BZ7:CA7"/>
    <mergeCell ref="CB7:CC7"/>
    <mergeCell ref="CD7:CE7"/>
    <mergeCell ref="CF7:CG7"/>
    <mergeCell ref="BV7:BW7"/>
    <mergeCell ref="BL7:BM7"/>
    <mergeCell ref="BN7:BO7"/>
    <mergeCell ref="BP7:BQ7"/>
    <mergeCell ref="BR7:BS7"/>
    <mergeCell ref="BT7:BU7"/>
    <mergeCell ref="BB7:BC7"/>
    <mergeCell ref="BD7:BE7"/>
    <mergeCell ref="BF7:BG7"/>
    <mergeCell ref="BH7:BI7"/>
    <mergeCell ref="BJ7:BK7"/>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4"/>
  <sheetViews>
    <sheetView topLeftCell="A7" workbookViewId="0">
      <pane xSplit="8" ySplit="5" topLeftCell="CN1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42578125" style="257" customWidth="1"/>
    <col min="3" max="3" width="7.42578125" style="257" customWidth="1"/>
    <col min="4" max="4" width="8.42578125" style="257" customWidth="1"/>
    <col min="5" max="5" width="37.28515625" style="257" customWidth="1"/>
    <col min="6" max="6" width="12.7109375" style="257" customWidth="1"/>
    <col min="7" max="8" width="5.85546875" style="258" customWidth="1"/>
    <col min="9" max="9" width="4.85546875" style="257" customWidth="1"/>
    <col min="10" max="10" width="12.5703125" style="257" customWidth="1"/>
    <col min="11" max="11" width="12.28515625" style="257" customWidth="1"/>
    <col min="12" max="12" width="12.85546875" style="257" customWidth="1"/>
    <col min="13" max="13" width="12.7109375" style="257" customWidth="1"/>
    <col min="14" max="14" width="12.85546875" style="257" customWidth="1"/>
    <col min="15" max="15" width="12.7109375" style="257" customWidth="1"/>
    <col min="16" max="16" width="11.85546875" style="257" customWidth="1"/>
    <col min="17" max="17" width="5" style="257" customWidth="1"/>
    <col min="18" max="18" width="11.28515625" style="257" customWidth="1"/>
    <col min="19" max="19" width="11.42578125" style="257" customWidth="1"/>
    <col min="20" max="20" width="13.140625" style="257" customWidth="1"/>
    <col min="21" max="21" width="6" style="257" customWidth="1"/>
    <col min="22" max="22" width="13.5703125" style="257" customWidth="1"/>
    <col min="23" max="23" width="13.42578125" style="257" customWidth="1"/>
    <col min="24" max="24" width="6.5703125" style="257" customWidth="1"/>
    <col min="25" max="25" width="6.42578125" style="257" customWidth="1"/>
    <col min="26" max="26" width="9.5703125" style="257" customWidth="1"/>
    <col min="27" max="27" width="9.42578125" style="257" customWidth="1"/>
    <col min="28" max="29" width="11.28515625" style="257" customWidth="1"/>
    <col min="30" max="30" width="5.28515625" style="257" customWidth="1"/>
    <col min="31" max="31" width="15" style="257" customWidth="1"/>
    <col min="32" max="32" width="5.28515625" style="257" customWidth="1"/>
    <col min="33" max="33" width="15" style="257" customWidth="1"/>
    <col min="34" max="34" width="4.85546875" style="257" customWidth="1"/>
    <col min="35" max="35" width="13.85546875" style="257" customWidth="1"/>
    <col min="36" max="36" width="11.5703125" style="257" customWidth="1"/>
    <col min="37" max="37" width="5.7109375" style="257" customWidth="1"/>
    <col min="38" max="38" width="12.42578125" style="257" customWidth="1"/>
    <col min="39" max="39" width="10.85546875" style="257" customWidth="1"/>
    <col min="40" max="40" width="9.85546875" style="257" customWidth="1"/>
    <col min="41" max="41" width="9.7109375" style="257" customWidth="1"/>
    <col min="42" max="42" width="13.140625" style="257" customWidth="1"/>
    <col min="43" max="43" width="12.5703125" style="257" customWidth="1"/>
    <col min="44" max="45" width="14.28515625" style="257" customWidth="1"/>
    <col min="46" max="46" width="7" style="257" customWidth="1"/>
    <col min="47" max="47" width="7.5703125" style="257" customWidth="1"/>
    <col min="48" max="48" width="4.7109375" style="257" customWidth="1"/>
    <col min="49" max="49" width="9.5703125" style="257" customWidth="1"/>
    <col min="50" max="51" width="12.28515625" style="257" customWidth="1"/>
    <col min="52" max="52" width="15.7109375" style="257" customWidth="1"/>
    <col min="53" max="53" width="15.85546875" style="257" customWidth="1"/>
    <col min="54" max="16384" width="9.140625" style="257"/>
  </cols>
  <sheetData>
    <row r="1" spans="1:105" ht="12.75" customHeight="1">
      <c r="A1" s="253"/>
      <c r="B1" s="254" t="s">
        <v>121</v>
      </c>
      <c r="C1" s="255"/>
      <c r="D1" s="255"/>
      <c r="E1" s="256"/>
      <c r="I1" s="255"/>
      <c r="M1" s="1215" t="str">
        <f>'SC-I'!M1:S1</f>
        <v>Mẫu số S01-DN</v>
      </c>
      <c r="N1" s="1215"/>
      <c r="O1" s="1215"/>
      <c r="P1" s="1215"/>
      <c r="Q1" s="1215"/>
      <c r="R1" s="1215"/>
      <c r="S1" s="1215"/>
      <c r="X1" s="255"/>
      <c r="Y1" s="255"/>
      <c r="Z1" s="255"/>
      <c r="AA1" s="255"/>
      <c r="AB1" s="256"/>
      <c r="AC1" s="256"/>
      <c r="AD1" s="256"/>
      <c r="AE1" s="256"/>
      <c r="AF1" s="256"/>
      <c r="AG1" s="256"/>
      <c r="AH1" s="256"/>
      <c r="AI1" s="256"/>
      <c r="AJ1" s="256"/>
      <c r="AK1" s="256"/>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M2" s="1216" t="str">
        <f>'SC-I'!M2:S3</f>
        <v>(Ban hành theo Thông tư số 200/2014/TT-BTC 
 Ngày 22/12/2014 của Bộ Tài chính)</v>
      </c>
      <c r="N2" s="1216"/>
      <c r="O2" s="1216"/>
      <c r="P2" s="1216"/>
      <c r="Q2" s="1216"/>
      <c r="R2" s="1216"/>
      <c r="S2" s="1216"/>
      <c r="X2" s="259"/>
      <c r="Y2" s="259"/>
      <c r="Z2" s="259"/>
      <c r="AA2" s="259"/>
      <c r="AB2" s="260"/>
      <c r="AC2" s="260"/>
      <c r="AD2" s="260"/>
      <c r="AE2" s="260"/>
      <c r="AF2" s="260"/>
      <c r="AG2" s="260"/>
      <c r="AH2" s="260"/>
      <c r="AI2" s="260"/>
      <c r="AJ2" s="260"/>
      <c r="AK2" s="260"/>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M3" s="1216"/>
      <c r="N3" s="1216"/>
      <c r="O3" s="1216"/>
      <c r="P3" s="1216"/>
      <c r="Q3" s="1216"/>
      <c r="R3" s="1216"/>
      <c r="S3" s="1216"/>
      <c r="X3" s="259"/>
      <c r="Y3" s="259"/>
      <c r="Z3" s="259"/>
      <c r="AA3" s="259"/>
      <c r="AB3" s="260"/>
      <c r="AC3" s="260"/>
      <c r="AD3" s="260"/>
      <c r="AE3" s="260"/>
      <c r="AF3" s="260"/>
      <c r="AG3" s="260"/>
      <c r="AH3" s="260"/>
      <c r="AI3" s="260"/>
      <c r="AJ3" s="260"/>
      <c r="AK3" s="260"/>
      <c r="AL3" s="259"/>
      <c r="AM3" s="259"/>
      <c r="AN3" s="259"/>
      <c r="AO3" s="259"/>
      <c r="AP3" s="259"/>
      <c r="AQ3" s="259"/>
      <c r="AR3" s="259"/>
      <c r="AS3" s="259"/>
      <c r="AT3" s="259"/>
      <c r="AU3" s="259"/>
      <c r="AV3" s="259"/>
      <c r="AW3" s="259"/>
      <c r="AX3" s="259"/>
      <c r="AY3" s="259"/>
      <c r="AZ3" s="259"/>
      <c r="BA3" s="259"/>
    </row>
    <row r="4" spans="1:105" ht="19.5" customHeight="1">
      <c r="B4" s="1217" t="s">
        <v>112</v>
      </c>
      <c r="C4" s="1217"/>
      <c r="D4" s="1217"/>
      <c r="E4" s="1217"/>
      <c r="F4" s="1217"/>
      <c r="G4" s="1217"/>
      <c r="H4" s="1217"/>
      <c r="I4" s="1217"/>
      <c r="J4" s="1217"/>
      <c r="K4" s="1217"/>
      <c r="L4" s="1217"/>
      <c r="M4" s="1217"/>
      <c r="N4" s="1217"/>
      <c r="O4" s="1217"/>
      <c r="P4" s="1217"/>
      <c r="Q4" s="1217"/>
      <c r="R4" s="1217"/>
      <c r="S4" s="262"/>
      <c r="T4" s="262"/>
      <c r="U4" s="262"/>
      <c r="V4" s="262"/>
      <c r="W4" s="262"/>
      <c r="X4" s="263"/>
      <c r="Y4" s="263"/>
      <c r="Z4" s="264"/>
      <c r="AA4" s="264"/>
      <c r="AB4" s="262"/>
      <c r="AC4" s="262"/>
      <c r="AD4" s="262"/>
      <c r="AE4" s="262"/>
      <c r="AF4" s="262"/>
      <c r="AG4" s="262"/>
      <c r="AH4" s="262"/>
      <c r="AI4" s="262"/>
      <c r="AJ4" s="262"/>
      <c r="AK4" s="262"/>
      <c r="AL4" s="264"/>
      <c r="AM4" s="264"/>
      <c r="AN4" s="264"/>
      <c r="AO4" s="264"/>
      <c r="AP4" s="264"/>
      <c r="AQ4" s="264"/>
      <c r="AR4" s="264"/>
      <c r="AS4" s="264"/>
      <c r="AT4" s="264"/>
      <c r="AU4" s="264"/>
      <c r="AV4" s="264"/>
      <c r="AW4" s="264"/>
      <c r="AX4" s="264"/>
      <c r="AY4" s="264"/>
      <c r="AZ4" s="264"/>
      <c r="BA4" s="264"/>
    </row>
    <row r="5" spans="1:105" ht="15">
      <c r="B5" s="1218" t="s">
        <v>220</v>
      </c>
      <c r="C5" s="1218"/>
      <c r="D5" s="1218"/>
      <c r="E5" s="1218"/>
      <c r="F5" s="1218"/>
      <c r="G5" s="1218"/>
      <c r="H5" s="1218"/>
      <c r="I5" s="1218"/>
      <c r="J5" s="1218"/>
      <c r="K5" s="1218"/>
      <c r="L5" s="1218"/>
      <c r="M5" s="1218"/>
      <c r="N5" s="1218"/>
      <c r="O5" s="1218"/>
      <c r="P5" s="1218"/>
      <c r="Q5" s="1218"/>
      <c r="R5" s="1218"/>
      <c r="S5" s="265"/>
      <c r="T5" s="265"/>
      <c r="U5" s="265"/>
      <c r="V5" s="265"/>
      <c r="W5" s="265"/>
      <c r="X5" s="266"/>
      <c r="Y5" s="266"/>
      <c r="AB5" s="265"/>
      <c r="AC5" s="265"/>
      <c r="AD5" s="265"/>
      <c r="AE5" s="265"/>
      <c r="AF5" s="265"/>
      <c r="AG5" s="265"/>
      <c r="AH5" s="265"/>
      <c r="AI5" s="265"/>
      <c r="AJ5" s="265"/>
      <c r="AK5" s="265"/>
    </row>
    <row r="6" spans="1:105">
      <c r="P6" s="257" t="s">
        <v>148</v>
      </c>
    </row>
    <row r="7" spans="1:105" ht="13.5" customHeight="1">
      <c r="A7" s="1219" t="s">
        <v>37</v>
      </c>
      <c r="B7" s="1213" t="s">
        <v>22</v>
      </c>
      <c r="C7" s="1221" t="s">
        <v>1</v>
      </c>
      <c r="D7" s="1222"/>
      <c r="E7" s="1213" t="s">
        <v>0</v>
      </c>
      <c r="F7" s="1213" t="s">
        <v>113</v>
      </c>
      <c r="G7" s="1223" t="s">
        <v>114</v>
      </c>
      <c r="H7" s="1223"/>
      <c r="I7" s="1214" t="s">
        <v>37</v>
      </c>
      <c r="J7" s="1213" t="s">
        <v>193</v>
      </c>
      <c r="K7" s="1213"/>
      <c r="L7" s="1213" t="s">
        <v>194</v>
      </c>
      <c r="M7" s="1213"/>
      <c r="N7" s="1213" t="s">
        <v>269</v>
      </c>
      <c r="O7" s="1213"/>
      <c r="P7" s="1213" t="s">
        <v>981</v>
      </c>
      <c r="Q7" s="1213"/>
      <c r="R7" s="1213" t="s">
        <v>195</v>
      </c>
      <c r="S7" s="1213"/>
      <c r="T7" s="1213" t="s">
        <v>196</v>
      </c>
      <c r="U7" s="1213"/>
      <c r="V7" s="1213" t="s">
        <v>982</v>
      </c>
      <c r="W7" s="1213"/>
      <c r="X7" s="1213" t="s">
        <v>983</v>
      </c>
      <c r="Y7" s="1213"/>
      <c r="Z7" s="1213" t="s">
        <v>984</v>
      </c>
      <c r="AA7" s="1213"/>
      <c r="AB7" s="1213" t="s">
        <v>985</v>
      </c>
      <c r="AC7" s="1213"/>
      <c r="AD7" s="1213" t="s">
        <v>986</v>
      </c>
      <c r="AE7" s="1213"/>
      <c r="AF7" s="1213" t="s">
        <v>987</v>
      </c>
      <c r="AG7" s="1213"/>
      <c r="AH7" s="1213" t="s">
        <v>988</v>
      </c>
      <c r="AI7" s="1213"/>
      <c r="AJ7" s="1213" t="s">
        <v>989</v>
      </c>
      <c r="AK7" s="1213"/>
      <c r="AL7" s="1213" t="s">
        <v>990</v>
      </c>
      <c r="AM7" s="1213"/>
      <c r="AN7" s="1213" t="s">
        <v>991</v>
      </c>
      <c r="AO7" s="1213"/>
      <c r="AP7" s="1213" t="s">
        <v>992</v>
      </c>
      <c r="AQ7" s="1213"/>
      <c r="AR7" s="1213" t="s">
        <v>993</v>
      </c>
      <c r="AS7" s="1213"/>
      <c r="AT7" s="1213" t="s">
        <v>197</v>
      </c>
      <c r="AU7" s="1213"/>
      <c r="AV7" s="1213" t="s">
        <v>198</v>
      </c>
      <c r="AW7" s="1213"/>
      <c r="AX7" s="1213" t="s">
        <v>994</v>
      </c>
      <c r="AY7" s="1213"/>
      <c r="AZ7" s="1213" t="s">
        <v>995</v>
      </c>
      <c r="BA7" s="1213"/>
      <c r="BB7" s="1213" t="s">
        <v>996</v>
      </c>
      <c r="BC7" s="1213"/>
      <c r="BD7" s="1213" t="s">
        <v>199</v>
      </c>
      <c r="BE7" s="1213"/>
      <c r="BF7" s="1213" t="s">
        <v>997</v>
      </c>
      <c r="BG7" s="1213"/>
      <c r="BH7" s="1213" t="s">
        <v>200</v>
      </c>
      <c r="BI7" s="1213"/>
      <c r="BJ7" s="1213" t="s">
        <v>998</v>
      </c>
      <c r="BK7" s="1213"/>
      <c r="BL7" s="1213" t="s">
        <v>999</v>
      </c>
      <c r="BM7" s="1213"/>
      <c r="BN7" s="1213" t="s">
        <v>1000</v>
      </c>
      <c r="BO7" s="1213"/>
      <c r="BP7" s="1213" t="s">
        <v>1001</v>
      </c>
      <c r="BQ7" s="1213"/>
      <c r="BR7" s="1213" t="s">
        <v>201</v>
      </c>
      <c r="BS7" s="1213"/>
      <c r="BT7" s="1213" t="s">
        <v>202</v>
      </c>
      <c r="BU7" s="1213"/>
      <c r="BV7" s="1213" t="s">
        <v>264</v>
      </c>
      <c r="BW7" s="1213"/>
      <c r="BX7" s="1213" t="s">
        <v>203</v>
      </c>
      <c r="BY7" s="1213"/>
      <c r="BZ7" s="1213" t="s">
        <v>204</v>
      </c>
      <c r="CA7" s="1213"/>
      <c r="CB7" s="1213" t="s">
        <v>205</v>
      </c>
      <c r="CC7" s="1213"/>
      <c r="CD7" s="1213" t="s">
        <v>1002</v>
      </c>
      <c r="CE7" s="1213"/>
      <c r="CF7" s="1213" t="s">
        <v>1003</v>
      </c>
      <c r="CG7" s="1213"/>
      <c r="CH7" s="1213" t="s">
        <v>206</v>
      </c>
      <c r="CI7" s="1213"/>
      <c r="CJ7" s="1213" t="s">
        <v>1004</v>
      </c>
      <c r="CK7" s="1213"/>
      <c r="CL7" s="1213" t="s">
        <v>1005</v>
      </c>
      <c r="CM7" s="1213"/>
      <c r="CN7" s="1213" t="s">
        <v>207</v>
      </c>
      <c r="CO7" s="1213"/>
      <c r="CP7" s="1213" t="s">
        <v>1006</v>
      </c>
      <c r="CQ7" s="1213"/>
      <c r="CR7" s="1213" t="s">
        <v>208</v>
      </c>
      <c r="CS7" s="1213"/>
      <c r="CT7" s="1213" t="s">
        <v>209</v>
      </c>
      <c r="CU7" s="1213"/>
      <c r="CV7" s="1213" t="s">
        <v>210</v>
      </c>
      <c r="CW7" s="1213"/>
      <c r="CX7" s="1213" t="s">
        <v>211</v>
      </c>
      <c r="CY7" s="1213"/>
      <c r="CZ7" s="1213" t="s">
        <v>212</v>
      </c>
      <c r="DA7" s="1213"/>
    </row>
    <row r="8" spans="1:105" ht="22.5" customHeight="1">
      <c r="A8" s="1220"/>
      <c r="B8" s="1213"/>
      <c r="C8" s="1006" t="s">
        <v>17</v>
      </c>
      <c r="D8" s="1005" t="s">
        <v>34</v>
      </c>
      <c r="E8" s="1213"/>
      <c r="F8" s="1213"/>
      <c r="G8" s="1007" t="s">
        <v>24</v>
      </c>
      <c r="H8" s="1007" t="s">
        <v>25</v>
      </c>
      <c r="I8" s="1214"/>
      <c r="J8" s="1005" t="s">
        <v>24</v>
      </c>
      <c r="K8" s="1005" t="s">
        <v>25</v>
      </c>
      <c r="L8" s="1005" t="s">
        <v>24</v>
      </c>
      <c r="M8" s="1005" t="s">
        <v>25</v>
      </c>
      <c r="N8" s="1005" t="s">
        <v>24</v>
      </c>
      <c r="O8" s="1005" t="s">
        <v>25</v>
      </c>
      <c r="P8" s="1005" t="s">
        <v>24</v>
      </c>
      <c r="Q8" s="1005" t="s">
        <v>25</v>
      </c>
      <c r="R8" s="1005" t="s">
        <v>24</v>
      </c>
      <c r="S8" s="1005" t="s">
        <v>25</v>
      </c>
      <c r="T8" s="1005" t="s">
        <v>24</v>
      </c>
      <c r="U8" s="1005" t="s">
        <v>25</v>
      </c>
      <c r="V8" s="1005" t="s">
        <v>24</v>
      </c>
      <c r="W8" s="1005" t="s">
        <v>25</v>
      </c>
      <c r="X8" s="1005" t="s">
        <v>24</v>
      </c>
      <c r="Y8" s="1005" t="s">
        <v>25</v>
      </c>
      <c r="Z8" s="1005" t="s">
        <v>24</v>
      </c>
      <c r="AA8" s="1005" t="s">
        <v>25</v>
      </c>
      <c r="AB8" s="1005" t="s">
        <v>24</v>
      </c>
      <c r="AC8" s="1005" t="s">
        <v>25</v>
      </c>
      <c r="AD8" s="1005" t="s">
        <v>24</v>
      </c>
      <c r="AE8" s="1005" t="s">
        <v>25</v>
      </c>
      <c r="AF8" s="1005" t="s">
        <v>24</v>
      </c>
      <c r="AG8" s="1005" t="s">
        <v>25</v>
      </c>
      <c r="AH8" s="1005" t="s">
        <v>24</v>
      </c>
      <c r="AI8" s="1005" t="s">
        <v>25</v>
      </c>
      <c r="AJ8" s="1005" t="s">
        <v>24</v>
      </c>
      <c r="AK8" s="1005" t="s">
        <v>25</v>
      </c>
      <c r="AL8" s="1005" t="s">
        <v>24</v>
      </c>
      <c r="AM8" s="1005" t="s">
        <v>25</v>
      </c>
      <c r="AN8" s="1005" t="s">
        <v>24</v>
      </c>
      <c r="AO8" s="1005" t="s">
        <v>25</v>
      </c>
      <c r="AP8" s="1005" t="s">
        <v>24</v>
      </c>
      <c r="AQ8" s="1005" t="s">
        <v>25</v>
      </c>
      <c r="AR8" s="1005" t="s">
        <v>24</v>
      </c>
      <c r="AS8" s="1005" t="s">
        <v>25</v>
      </c>
      <c r="AT8" s="1005" t="s">
        <v>24</v>
      </c>
      <c r="AU8" s="1005" t="s">
        <v>25</v>
      </c>
      <c r="AV8" s="1005" t="s">
        <v>24</v>
      </c>
      <c r="AW8" s="1005" t="s">
        <v>25</v>
      </c>
      <c r="AX8" s="1005" t="s">
        <v>24</v>
      </c>
      <c r="AY8" s="1005" t="s">
        <v>25</v>
      </c>
      <c r="AZ8" s="1005" t="s">
        <v>24</v>
      </c>
      <c r="BA8" s="1005" t="s">
        <v>25</v>
      </c>
      <c r="BB8" s="1005" t="s">
        <v>24</v>
      </c>
      <c r="BC8" s="1005" t="s">
        <v>25</v>
      </c>
      <c r="BD8" s="1005" t="s">
        <v>24</v>
      </c>
      <c r="BE8" s="1005" t="s">
        <v>25</v>
      </c>
      <c r="BF8" s="1005" t="s">
        <v>24</v>
      </c>
      <c r="BG8" s="1005" t="s">
        <v>25</v>
      </c>
      <c r="BH8" s="1005" t="s">
        <v>24</v>
      </c>
      <c r="BI8" s="1005" t="s">
        <v>25</v>
      </c>
      <c r="BJ8" s="1005" t="s">
        <v>24</v>
      </c>
      <c r="BK8" s="1005" t="s">
        <v>25</v>
      </c>
      <c r="BL8" s="1005" t="s">
        <v>24</v>
      </c>
      <c r="BM8" s="1005" t="s">
        <v>25</v>
      </c>
      <c r="BN8" s="1005" t="s">
        <v>24</v>
      </c>
      <c r="BO8" s="1005" t="s">
        <v>25</v>
      </c>
      <c r="BP8" s="1005" t="s">
        <v>24</v>
      </c>
      <c r="BQ8" s="1005" t="s">
        <v>25</v>
      </c>
      <c r="BR8" s="1005" t="s">
        <v>24</v>
      </c>
      <c r="BS8" s="1005" t="s">
        <v>25</v>
      </c>
      <c r="BT8" s="1005" t="s">
        <v>24</v>
      </c>
      <c r="BU8" s="1005" t="s">
        <v>25</v>
      </c>
      <c r="BV8" s="1005" t="s">
        <v>24</v>
      </c>
      <c r="BW8" s="1005" t="s">
        <v>25</v>
      </c>
      <c r="BX8" s="1005" t="s">
        <v>24</v>
      </c>
      <c r="BY8" s="1005" t="s">
        <v>25</v>
      </c>
      <c r="BZ8" s="1005" t="s">
        <v>24</v>
      </c>
      <c r="CA8" s="1005" t="s">
        <v>25</v>
      </c>
      <c r="CB8" s="1005" t="s">
        <v>24</v>
      </c>
      <c r="CC8" s="1005" t="s">
        <v>25</v>
      </c>
      <c r="CD8" s="1005" t="s">
        <v>24</v>
      </c>
      <c r="CE8" s="1005" t="s">
        <v>25</v>
      </c>
      <c r="CF8" s="1005" t="s">
        <v>24</v>
      </c>
      <c r="CG8" s="1005" t="s">
        <v>25</v>
      </c>
      <c r="CH8" s="1005" t="s">
        <v>24</v>
      </c>
      <c r="CI8" s="1005" t="s">
        <v>25</v>
      </c>
      <c r="CJ8" s="1005" t="s">
        <v>24</v>
      </c>
      <c r="CK8" s="1005" t="s">
        <v>25</v>
      </c>
      <c r="CL8" s="1005" t="s">
        <v>24</v>
      </c>
      <c r="CM8" s="1005" t="s">
        <v>25</v>
      </c>
      <c r="CN8" s="1005" t="s">
        <v>24</v>
      </c>
      <c r="CO8" s="1005" t="s">
        <v>25</v>
      </c>
      <c r="CP8" s="1005" t="s">
        <v>24</v>
      </c>
      <c r="CQ8" s="1005" t="s">
        <v>25</v>
      </c>
      <c r="CR8" s="1005" t="s">
        <v>24</v>
      </c>
      <c r="CS8" s="1005" t="s">
        <v>25</v>
      </c>
      <c r="CT8" s="1005" t="s">
        <v>24</v>
      </c>
      <c r="CU8" s="1005" t="s">
        <v>25</v>
      </c>
      <c r="CV8" s="1005" t="s">
        <v>24</v>
      </c>
      <c r="CW8" s="1005" t="s">
        <v>25</v>
      </c>
      <c r="CX8" s="1005" t="s">
        <v>24</v>
      </c>
      <c r="CY8" s="1005" t="s">
        <v>25</v>
      </c>
      <c r="CZ8" s="1005" t="s">
        <v>24</v>
      </c>
      <c r="DA8" s="1005"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'SC-I'!J53</f>
        <v>3705039095</v>
      </c>
      <c r="K10" s="275">
        <f ca="1">'SC-I'!K53</f>
        <v>0</v>
      </c>
      <c r="L10" s="275">
        <f ca="1">'SC-I'!L53</f>
        <v>19829295</v>
      </c>
      <c r="M10" s="275">
        <f ca="1">'SC-I'!M53</f>
        <v>0</v>
      </c>
      <c r="N10" s="275">
        <f ca="1">'SC-I'!N53</f>
        <v>2236796790</v>
      </c>
      <c r="O10" s="275">
        <f ca="1">'SC-I'!O53</f>
        <v>0</v>
      </c>
      <c r="P10" s="275">
        <f ca="1">'SC-I'!P53</f>
        <v>3343381600</v>
      </c>
      <c r="Q10" s="275">
        <f ca="1">'SC-I'!Q53</f>
        <v>0</v>
      </c>
      <c r="R10" s="275">
        <f ca="1">'SC-I'!R53</f>
        <v>162420936</v>
      </c>
      <c r="S10" s="275">
        <f ca="1">'SC-I'!S53</f>
        <v>0</v>
      </c>
      <c r="T10" s="275">
        <f ca="1">'SC-I'!T53</f>
        <v>1500000000</v>
      </c>
      <c r="U10" s="275">
        <f ca="1">'SC-I'!U53</f>
        <v>0</v>
      </c>
      <c r="V10" s="275">
        <f ca="1">'SC-I'!V53</f>
        <v>0</v>
      </c>
      <c r="W10" s="275">
        <f ca="1">'SC-I'!W53</f>
        <v>0</v>
      </c>
      <c r="X10" s="275">
        <f ca="1">'SC-I'!X53</f>
        <v>2772400000</v>
      </c>
      <c r="Y10" s="275">
        <f ca="1">'SC-I'!Y53</f>
        <v>0</v>
      </c>
      <c r="Z10" s="275">
        <f ca="1">'SC-I'!Z53</f>
        <v>526519887</v>
      </c>
      <c r="AA10" s="275">
        <f ca="1">'SC-I'!AA53</f>
        <v>0</v>
      </c>
      <c r="AB10" s="275">
        <f ca="1">'SC-I'!AB53</f>
        <v>0</v>
      </c>
      <c r="AC10" s="275">
        <f ca="1">'SC-I'!AC53</f>
        <v>0</v>
      </c>
      <c r="AD10" s="275">
        <f ca="1">'SC-I'!AD53</f>
        <v>0</v>
      </c>
      <c r="AE10" s="275">
        <f ca="1">'SC-I'!AE53</f>
        <v>0</v>
      </c>
      <c r="AF10" s="275">
        <f ca="1">'SC-I'!AF53</f>
        <v>9386323824</v>
      </c>
      <c r="AG10" s="275">
        <f ca="1">'SC-I'!AG53</f>
        <v>0</v>
      </c>
      <c r="AH10" s="275">
        <f ca="1">'SC-I'!AH53</f>
        <v>7490743648</v>
      </c>
      <c r="AI10" s="275">
        <f ca="1">'SC-I'!AI53</f>
        <v>0</v>
      </c>
      <c r="AJ10" s="275">
        <f ca="1">'SC-I'!AJ53</f>
        <v>3807898863</v>
      </c>
      <c r="AK10" s="275">
        <f ca="1">'SC-I'!AK53</f>
        <v>0</v>
      </c>
      <c r="AL10" s="275">
        <f ca="1">'SC-I'!AL53</f>
        <v>3790918485</v>
      </c>
      <c r="AM10" s="275">
        <f ca="1">'SC-I'!AM53</f>
        <v>0</v>
      </c>
      <c r="AN10" s="275">
        <f ca="1">'SC-I'!AN53</f>
        <v>5405781300</v>
      </c>
      <c r="AO10" s="275">
        <f ca="1">'SC-I'!AO53</f>
        <v>0</v>
      </c>
      <c r="AP10" s="275">
        <f ca="1">'SC-I'!AP53</f>
        <v>0</v>
      </c>
      <c r="AQ10" s="275">
        <f ca="1">'SC-I'!AQ53</f>
        <v>9132359256</v>
      </c>
      <c r="AR10" s="275">
        <f ca="1">'SC-I'!AR53</f>
        <v>0</v>
      </c>
      <c r="AS10" s="275">
        <f ca="1">'SC-I'!AS53</f>
        <v>600642360</v>
      </c>
      <c r="AT10" s="275">
        <f ca="1">'SC-I'!AT53</f>
        <v>0</v>
      </c>
      <c r="AU10" s="275">
        <f ca="1">'SC-I'!AU53</f>
        <v>0</v>
      </c>
      <c r="AV10" s="275">
        <f ca="1">'SC-I'!AV53</f>
        <v>0</v>
      </c>
      <c r="AW10" s="275">
        <f ca="1">'SC-I'!AW53</f>
        <v>476953252</v>
      </c>
      <c r="AX10" s="275">
        <f ca="1">'SC-I'!AX53</f>
        <v>0</v>
      </c>
      <c r="AY10" s="275">
        <f ca="1">'SC-I'!AY53</f>
        <v>0</v>
      </c>
      <c r="AZ10" s="275">
        <f ca="1">'SC-I'!AZ53</f>
        <v>0</v>
      </c>
      <c r="BA10" s="275">
        <f ca="1">'SC-I'!BA53</f>
        <v>0</v>
      </c>
      <c r="BB10" s="275">
        <f ca="1">'SC-I'!BB53</f>
        <v>0</v>
      </c>
      <c r="BC10" s="275">
        <f ca="1">'SC-I'!BC53</f>
        <v>0</v>
      </c>
      <c r="BD10" s="275">
        <f ca="1">'SC-I'!BD53</f>
        <v>0</v>
      </c>
      <c r="BE10" s="275">
        <f ca="1">'SC-I'!BE53</f>
        <v>3313435</v>
      </c>
      <c r="BF10" s="275">
        <f ca="1">'SC-I'!BF53</f>
        <v>3389804</v>
      </c>
      <c r="BG10" s="275">
        <f ca="1">'SC-I'!BG53</f>
        <v>0</v>
      </c>
      <c r="BH10" s="275">
        <f ca="1">'SC-I'!BH53</f>
        <v>0</v>
      </c>
      <c r="BI10" s="275">
        <f ca="1">'SC-I'!BI53</f>
        <v>0</v>
      </c>
      <c r="BJ10" s="275">
        <f ca="1">'SC-I'!BJ53</f>
        <v>0</v>
      </c>
      <c r="BK10" s="275">
        <f ca="1">'SC-I'!BK53</f>
        <v>0</v>
      </c>
      <c r="BL10" s="275">
        <f ca="1">'SC-I'!BL53</f>
        <v>0</v>
      </c>
      <c r="BM10" s="275">
        <f ca="1">'SC-I'!BM53</f>
        <v>40272309</v>
      </c>
      <c r="BN10" s="275">
        <f ca="1">'SC-I'!BN53</f>
        <v>0</v>
      </c>
      <c r="BO10" s="275">
        <f ca="1">'SC-I'!BO53</f>
        <v>6403142</v>
      </c>
      <c r="BP10" s="275">
        <f ca="1">'SC-I'!BP53</f>
        <v>0</v>
      </c>
      <c r="BQ10" s="275">
        <f ca="1">'SC-I'!BQ53</f>
        <v>2761373</v>
      </c>
      <c r="BR10" s="275">
        <f ca="1">'SC-I'!BR53</f>
        <v>0</v>
      </c>
      <c r="BS10" s="275">
        <f ca="1">'SC-I'!BS53</f>
        <v>0</v>
      </c>
      <c r="BT10" s="275">
        <f ca="1">'SC-I'!BT53</f>
        <v>0</v>
      </c>
      <c r="BU10" s="275">
        <f ca="1">'SC-I'!BU53</f>
        <v>2169121879</v>
      </c>
      <c r="BV10" s="275">
        <f ca="1">'SC-I'!BV53</f>
        <v>0</v>
      </c>
      <c r="BW10" s="275">
        <f ca="1">'SC-I'!BW53</f>
        <v>21202920500</v>
      </c>
      <c r="BX10" s="275">
        <f ca="1">'SC-I'!BX53</f>
        <v>0</v>
      </c>
      <c r="BY10" s="275">
        <f ca="1">'SC-I'!BY53</f>
        <v>10000000000</v>
      </c>
      <c r="BZ10" s="275">
        <f ca="1">'SC-I'!BZ53</f>
        <v>0</v>
      </c>
      <c r="CA10" s="275">
        <f ca="1">'SC-I'!CA53</f>
        <v>594397022.00000048</v>
      </c>
      <c r="CB10" s="275">
        <f ca="1">'SC-I'!CB53</f>
        <v>77701001</v>
      </c>
      <c r="CC10" s="275">
        <f ca="1">'SC-I'!CC53</f>
        <v>0</v>
      </c>
      <c r="CD10" s="275">
        <f ca="1">'SC-I'!CD53</f>
        <v>0</v>
      </c>
      <c r="CE10" s="275">
        <f ca="1">'SC-I'!CE53</f>
        <v>0</v>
      </c>
      <c r="CF10" s="275">
        <f ca="1">'SC-I'!CF53</f>
        <v>0</v>
      </c>
      <c r="CG10" s="275">
        <f ca="1">'SC-I'!CG53</f>
        <v>0</v>
      </c>
      <c r="CH10" s="275">
        <f ca="1">'SC-I'!CH53</f>
        <v>0</v>
      </c>
      <c r="CI10" s="275">
        <f ca="1">'SC-I'!CI53</f>
        <v>0</v>
      </c>
      <c r="CJ10" s="275">
        <f ca="1">'SC-I'!CJ53</f>
        <v>0</v>
      </c>
      <c r="CK10" s="275">
        <f ca="1">'SC-I'!CK53</f>
        <v>0</v>
      </c>
      <c r="CL10" s="275">
        <f ca="1">'SC-I'!CL53</f>
        <v>0</v>
      </c>
      <c r="CM10" s="275">
        <f ca="1">'SC-I'!CM53</f>
        <v>0</v>
      </c>
      <c r="CN10" s="275">
        <f ca="1">'SC-I'!CN53</f>
        <v>0</v>
      </c>
      <c r="CO10" s="275">
        <f ca="1">'SC-I'!CO53</f>
        <v>0</v>
      </c>
      <c r="CP10" s="275">
        <f ca="1">'SC-I'!CP53</f>
        <v>0</v>
      </c>
      <c r="CQ10" s="275">
        <f ca="1">'SC-I'!CQ53</f>
        <v>0</v>
      </c>
      <c r="CR10" s="275">
        <f ca="1">'SC-I'!CR53</f>
        <v>0</v>
      </c>
      <c r="CS10" s="275">
        <f ca="1">'SC-I'!CS53</f>
        <v>0</v>
      </c>
      <c r="CT10" s="275">
        <f ca="1">'SC-I'!CT53</f>
        <v>0</v>
      </c>
      <c r="CU10" s="275">
        <f ca="1">'SC-I'!CU53</f>
        <v>0</v>
      </c>
      <c r="CV10" s="275">
        <f ca="1">'SC-I'!CV53</f>
        <v>0</v>
      </c>
      <c r="CW10" s="275">
        <f ca="1">'SC-I'!CW53</f>
        <v>0</v>
      </c>
      <c r="CX10" s="275">
        <f ca="1">'SC-I'!CX53</f>
        <v>0</v>
      </c>
      <c r="CY10" s="275">
        <f ca="1">'SC-I'!CY53</f>
        <v>0</v>
      </c>
      <c r="CZ10" s="275">
        <f ca="1">'SC-I'!CZ53</f>
        <v>0</v>
      </c>
      <c r="DA10" s="275">
        <f ca="1">'SC-I'!DA53</f>
        <v>0</v>
      </c>
    </row>
    <row r="11" spans="1:105" s="276" customFormat="1" ht="15" customHeight="1">
      <c r="A11" s="63">
        <f t="array" aca="1" ref="A11" ca="1">IF(C11&lt;&gt;0,SUM(($C$11:C11&lt;&gt;0)*1),"")</f>
        <v>1</v>
      </c>
      <c r="B11" s="277" t="str">
        <f ca="1">IF(ROWS($1:1)&gt;COUNT(Dong7),"",OFFSET(TH!C$1,SMALL(Dong7,ROWS($1:1)),))</f>
        <v/>
      </c>
      <c r="C11" s="277" t="str">
        <f ca="1">IF(ROWS($1:1)&gt;COUNT(Dong7),"",OFFSET(TH!D$1,SMALL(Dong7,ROWS($1:1)),))</f>
        <v/>
      </c>
      <c r="D11" s="277" t="str">
        <f ca="1">IF(ROWS($1:1)&gt;COUNT(Dong7),"",OFFSET(TH!E$1,SMALL(Dong7,ROWS($1:1)),))</f>
        <v/>
      </c>
      <c r="E11" s="372" t="str">
        <f ca="1">IF(ROWS($1:1)&gt;COUNT(Dong7),"",OFFSET(TH!F$1,SMALL(Dong7,ROWS($1:1)),))</f>
        <v/>
      </c>
      <c r="F11" s="328" t="str">
        <f ca="1">IF(ROWS($1:1)&gt;COUNT(Dong7),"",OFFSET(TH!M$1,SMALL(Dong7,ROWS($1:1)),))</f>
        <v/>
      </c>
      <c r="G11" s="330" t="str">
        <f ca="1">IF(ROWS($1:1)&gt;COUNT(Dong7),"",OFFSET(TH!N$1,SMALL(Dong7,ROWS($1:1)),))</f>
        <v/>
      </c>
      <c r="H11" s="330" t="str">
        <f ca="1">IF(ROWS($1:1)&gt;COUNT(Dong7),"",OFFSET(TH!O$1,SMALL(Dong7,ROWS($1:1)),))</f>
        <v/>
      </c>
      <c r="I11" s="63">
        <f t="shared" ref="I11:I21"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 customHeight="1">
      <c r="A12" s="63" t="str">
        <f t="array" ref="A12">IF(C12&lt;&gt;0,SUM(($C$11:C12&lt;&gt;0)*1),"")</f>
        <v/>
      </c>
      <c r="B12" s="277"/>
      <c r="C12" s="277"/>
      <c r="D12" s="277"/>
      <c r="E12" s="372"/>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 customHeight="1">
      <c r="A13" s="63" t="str">
        <f t="array" ref="A13">IF(C13&lt;&gt;0,SUM(($C$11:C13&lt;&gt;0)*1),"")</f>
        <v/>
      </c>
      <c r="B13" s="277"/>
      <c r="C13" s="277"/>
      <c r="D13" s="277"/>
      <c r="E13" s="372"/>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 customHeight="1">
      <c r="A14" s="63" t="str">
        <f t="array" ref="A14">IF(C14&lt;&gt;0,SUM(($C$11:C14&lt;&gt;0)*1),"")</f>
        <v/>
      </c>
      <c r="B14" s="277"/>
      <c r="C14" s="277"/>
      <c r="D14" s="277"/>
      <c r="E14" s="372"/>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 customHeight="1">
      <c r="A15" s="63" t="str">
        <f t="array" ref="A15">IF(C15&lt;&gt;0,SUM(($C$11:C15&lt;&gt;0)*1),"")</f>
        <v/>
      </c>
      <c r="B15" s="277"/>
      <c r="C15" s="277"/>
      <c r="D15" s="277"/>
      <c r="E15" s="372"/>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 customHeight="1">
      <c r="A16" s="63" t="str">
        <f t="array" ref="A16">IF(C16&lt;&gt;0,SUM(($C$11:C16&lt;&gt;0)*1),"")</f>
        <v/>
      </c>
      <c r="B16" s="277"/>
      <c r="C16" s="277"/>
      <c r="D16" s="277"/>
      <c r="E16" s="372"/>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 customHeight="1">
      <c r="A17" s="63" t="str">
        <f t="array" ref="A17">IF(C17&lt;&gt;0,SUM(($C$11:C17&lt;&gt;0)*1),"")</f>
        <v/>
      </c>
      <c r="B17" s="277"/>
      <c r="C17" s="277"/>
      <c r="D17" s="277"/>
      <c r="E17" s="372"/>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 customHeight="1">
      <c r="A18" s="63" t="str">
        <f t="array" ref="A18">IF(C18&lt;&gt;0,SUM(($C$11:C18&lt;&gt;0)*1),"")</f>
        <v/>
      </c>
      <c r="B18" s="277"/>
      <c r="C18" s="277"/>
      <c r="D18" s="277"/>
      <c r="E18" s="372"/>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 customHeight="1">
      <c r="A19" s="63" t="str">
        <f t="array" ref="A19">IF(C19&lt;&gt;0,SUM(($C$11:C19&lt;&gt;0)*1),"")</f>
        <v/>
      </c>
      <c r="B19" s="277"/>
      <c r="C19" s="277"/>
      <c r="D19" s="277"/>
      <c r="E19" s="372"/>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 customHeight="1">
      <c r="A20" s="63" t="str">
        <f t="array" ref="A20">IF(C20&lt;&gt;0,SUM(($C$11:C20&lt;&gt;0)*1),"")</f>
        <v/>
      </c>
      <c r="B20" s="277"/>
      <c r="C20" s="277"/>
      <c r="D20" s="277"/>
      <c r="E20" s="372"/>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 customHeight="1">
      <c r="A21" s="63" t="str">
        <f t="array" ref="A21">IF(C21&lt;&gt;0,SUM(($C$11:C21&lt;&gt;0)*1),"")</f>
        <v/>
      </c>
      <c r="B21" s="277"/>
      <c r="C21" s="277"/>
      <c r="D21" s="277"/>
      <c r="E21" s="372"/>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 customHeight="1">
      <c r="A22" s="63" t="str">
        <f t="array" ref="A22">IF(C22&lt;&gt;0,SUM(($C$11:C22&lt;&gt;0)*1),"")</f>
        <v/>
      </c>
      <c r="B22" s="277"/>
      <c r="C22" s="277"/>
      <c r="D22" s="277"/>
      <c r="E22" s="372"/>
      <c r="F22" s="328"/>
      <c r="G22" s="330"/>
      <c r="H22" s="330"/>
      <c r="I22" s="63" t="str">
        <f t="shared" ref="I22:I50" si="97">A22</f>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 customHeight="1">
      <c r="A23" s="63" t="str">
        <f t="array" ref="A23">IF(C23&lt;&gt;0,SUM(($C$11:C23&lt;&gt;0)*1),"")</f>
        <v/>
      </c>
      <c r="B23" s="277"/>
      <c r="C23" s="277"/>
      <c r="D23" s="277"/>
      <c r="E23" s="372"/>
      <c r="F23" s="328"/>
      <c r="G23" s="330"/>
      <c r="H23" s="330"/>
      <c r="I23" s="63" t="str">
        <f t="shared" si="97"/>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 customHeight="1">
      <c r="A24" s="63" t="str">
        <f t="array" ref="A24">IF(C24&lt;&gt;0,SUM(($C$11:C24&lt;&gt;0)*1),"")</f>
        <v/>
      </c>
      <c r="B24" s="277"/>
      <c r="C24" s="277"/>
      <c r="D24" s="277"/>
      <c r="E24" s="372"/>
      <c r="F24" s="328"/>
      <c r="G24" s="330"/>
      <c r="H24" s="330"/>
      <c r="I24" s="63" t="str">
        <f t="shared" si="97"/>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 customHeight="1">
      <c r="A25" s="63" t="str">
        <f t="array" ref="A25">IF(C25&lt;&gt;0,SUM(($C$11:C25&lt;&gt;0)*1),"")</f>
        <v/>
      </c>
      <c r="B25" s="277"/>
      <c r="C25" s="277"/>
      <c r="D25" s="277"/>
      <c r="E25" s="372"/>
      <c r="F25" s="328"/>
      <c r="G25" s="330"/>
      <c r="H25" s="330"/>
      <c r="I25" s="63" t="str">
        <f t="shared" si="97"/>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 customHeight="1">
      <c r="A26" s="63" t="str">
        <f t="array" ref="A26">IF(C26&lt;&gt;0,SUM(($C$11:C26&lt;&gt;0)*1),"")</f>
        <v/>
      </c>
      <c r="B26" s="277"/>
      <c r="C26" s="277"/>
      <c r="D26" s="277"/>
      <c r="E26" s="372"/>
      <c r="F26" s="328"/>
      <c r="G26" s="330"/>
      <c r="H26" s="330"/>
      <c r="I26" s="63" t="str">
        <f t="shared" si="97"/>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 customHeight="1">
      <c r="A27" s="63" t="str">
        <f t="array" ref="A27">IF(C27&lt;&gt;0,SUM(($C$11:C27&lt;&gt;0)*1),"")</f>
        <v/>
      </c>
      <c r="B27" s="277"/>
      <c r="C27" s="277"/>
      <c r="D27" s="277"/>
      <c r="E27" s="372"/>
      <c r="F27" s="328"/>
      <c r="G27" s="330"/>
      <c r="H27" s="330"/>
      <c r="I27" s="63" t="str">
        <f t="shared" si="97"/>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 customHeight="1">
      <c r="A28" s="63" t="str">
        <f t="array" ref="A28">IF(C28&lt;&gt;0,SUM(($C$11:C28&lt;&gt;0)*1),"")</f>
        <v/>
      </c>
      <c r="B28" s="277"/>
      <c r="C28" s="277"/>
      <c r="D28" s="277"/>
      <c r="E28" s="372"/>
      <c r="F28" s="328"/>
      <c r="G28" s="330"/>
      <c r="H28" s="330"/>
      <c r="I28" s="63" t="str">
        <f t="shared" si="97"/>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 customHeight="1">
      <c r="A29" s="63" t="str">
        <f t="array" ref="A29">IF(C29&lt;&gt;0,SUM(($C$11:C29&lt;&gt;0)*1),"")</f>
        <v/>
      </c>
      <c r="B29" s="277"/>
      <c r="C29" s="277"/>
      <c r="D29" s="277"/>
      <c r="E29" s="372"/>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 customHeight="1">
      <c r="A30" s="63" t="str">
        <f t="array" ref="A30">IF(C30&lt;&gt;0,SUM(($C$11:C30&lt;&gt;0)*1),"")</f>
        <v/>
      </c>
      <c r="B30" s="277"/>
      <c r="C30" s="277"/>
      <c r="D30" s="277"/>
      <c r="E30" s="372"/>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 customHeight="1">
      <c r="A31" s="63" t="str">
        <f t="array" ref="A31">IF(C31&lt;&gt;0,SUM(($C$11:C31&lt;&gt;0)*1),"")</f>
        <v/>
      </c>
      <c r="B31" s="277"/>
      <c r="C31" s="277"/>
      <c r="D31" s="277"/>
      <c r="E31" s="372"/>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 customHeight="1">
      <c r="A32" s="63" t="str">
        <f t="array" ref="A32">IF(C32&lt;&gt;0,SUM(($C$11:C32&lt;&gt;0)*1),"")</f>
        <v/>
      </c>
      <c r="B32" s="277"/>
      <c r="C32" s="277"/>
      <c r="D32" s="277"/>
      <c r="E32" s="372"/>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 customHeight="1">
      <c r="A33" s="63" t="str">
        <f t="array" ref="A33">IF(C33&lt;&gt;0,SUM(($C$11:C33&lt;&gt;0)*1),"")</f>
        <v/>
      </c>
      <c r="B33" s="277"/>
      <c r="C33" s="277"/>
      <c r="D33" s="277"/>
      <c r="E33" s="372"/>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 customHeight="1">
      <c r="A34" s="63" t="str">
        <f t="array" ref="A34">IF(C34&lt;&gt;0,SUM(($C$11:C34&lt;&gt;0)*1),"")</f>
        <v/>
      </c>
      <c r="B34" s="277"/>
      <c r="C34" s="277"/>
      <c r="D34" s="277"/>
      <c r="E34" s="372"/>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 customHeight="1">
      <c r="A35" s="63" t="str">
        <f t="array" ref="A35">IF(C35&lt;&gt;0,SUM(($C$11:C35&lt;&gt;0)*1),"")</f>
        <v/>
      </c>
      <c r="B35" s="277"/>
      <c r="C35" s="277"/>
      <c r="D35" s="277"/>
      <c r="E35" s="372"/>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 customHeight="1">
      <c r="A36" s="63" t="str">
        <f t="array" ref="A36">IF(C36&lt;&gt;0,SUM(($C$11:C36&lt;&gt;0)*1),"")</f>
        <v/>
      </c>
      <c r="B36" s="277"/>
      <c r="C36" s="277"/>
      <c r="D36" s="277"/>
      <c r="E36" s="372"/>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 customHeight="1">
      <c r="A37" s="63" t="str">
        <f t="array" ref="A37">IF(C37&lt;&gt;0,SUM(($C$11:C37&lt;&gt;0)*1),"")</f>
        <v/>
      </c>
      <c r="B37" s="277"/>
      <c r="C37" s="277"/>
      <c r="D37" s="277"/>
      <c r="E37" s="372"/>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 customHeight="1">
      <c r="A38" s="63" t="str">
        <f t="array" ref="A38">IF(C38&lt;&gt;0,SUM(($C$11:C38&lt;&gt;0)*1),"")</f>
        <v/>
      </c>
      <c r="B38" s="277"/>
      <c r="C38" s="277"/>
      <c r="D38" s="277"/>
      <c r="E38" s="372"/>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 customHeight="1">
      <c r="A39" s="63" t="str">
        <f t="array" ref="A39">IF(C39&lt;&gt;0,SUM(($C$11:C39&lt;&gt;0)*1),"")</f>
        <v/>
      </c>
      <c r="B39" s="277"/>
      <c r="C39" s="277"/>
      <c r="D39" s="277"/>
      <c r="E39" s="372"/>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2</v>
      </c>
      <c r="B40" s="277">
        <v>42551</v>
      </c>
      <c r="C40" s="280" t="s">
        <v>115</v>
      </c>
      <c r="D40" s="280">
        <f t="shared" ref="D40:D50" si="98">B40</f>
        <v>42551</v>
      </c>
      <c r="E40" s="982" t="s">
        <v>938</v>
      </c>
      <c r="F40" s="983">
        <f ca="1">AY52</f>
        <v>0</v>
      </c>
      <c r="G40" s="984" t="s">
        <v>943</v>
      </c>
      <c r="H40" s="984"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v>
      </c>
      <c r="B41" s="277">
        <v>42551</v>
      </c>
      <c r="C41" s="280" t="s">
        <v>115</v>
      </c>
      <c r="D41" s="280">
        <f t="shared" si="98"/>
        <v>42551</v>
      </c>
      <c r="E41" s="982" t="s">
        <v>939</v>
      </c>
      <c r="F41" s="983">
        <f ca="1">CL52</f>
        <v>0</v>
      </c>
      <c r="G41" s="984" t="s">
        <v>109</v>
      </c>
      <c r="H41" s="984"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4</v>
      </c>
      <c r="B42" s="277">
        <v>42551</v>
      </c>
      <c r="C42" s="280" t="s">
        <v>115</v>
      </c>
      <c r="D42" s="280">
        <f t="shared" si="98"/>
        <v>42551</v>
      </c>
      <c r="E42" s="982" t="s">
        <v>116</v>
      </c>
      <c r="F42" s="983">
        <f ca="1">CN52</f>
        <v>0</v>
      </c>
      <c r="G42" s="984" t="s">
        <v>109</v>
      </c>
      <c r="H42" s="984"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5</v>
      </c>
      <c r="B43" s="277">
        <v>42551</v>
      </c>
      <c r="C43" s="280" t="s">
        <v>115</v>
      </c>
      <c r="D43" s="280">
        <f t="shared" si="98"/>
        <v>42551</v>
      </c>
      <c r="E43" s="982" t="s">
        <v>940</v>
      </c>
      <c r="F43" s="983">
        <f ca="1">CP52</f>
        <v>0</v>
      </c>
      <c r="G43" s="984" t="s">
        <v>109</v>
      </c>
      <c r="H43" s="984"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6</v>
      </c>
      <c r="B44" s="277">
        <v>42551</v>
      </c>
      <c r="C44" s="280" t="s">
        <v>115</v>
      </c>
      <c r="D44" s="280">
        <f t="shared" si="98"/>
        <v>42551</v>
      </c>
      <c r="E44" s="982" t="s">
        <v>117</v>
      </c>
      <c r="F44" s="983">
        <f ca="1">CR52</f>
        <v>0</v>
      </c>
      <c r="G44" s="984" t="s">
        <v>109</v>
      </c>
      <c r="H44" s="984"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7</v>
      </c>
      <c r="B45" s="277">
        <v>42551</v>
      </c>
      <c r="C45" s="280" t="s">
        <v>115</v>
      </c>
      <c r="D45" s="280">
        <f t="shared" si="98"/>
        <v>42551</v>
      </c>
      <c r="E45" s="982" t="s">
        <v>215</v>
      </c>
      <c r="F45" s="983"/>
      <c r="G45" s="984" t="s">
        <v>109</v>
      </c>
      <c r="H45" s="984"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8</v>
      </c>
      <c r="B46" s="277">
        <v>42551</v>
      </c>
      <c r="C46" s="280" t="s">
        <v>115</v>
      </c>
      <c r="D46" s="280">
        <f t="shared" si="98"/>
        <v>42551</v>
      </c>
      <c r="E46" s="982" t="s">
        <v>118</v>
      </c>
      <c r="F46" s="983">
        <f ca="1">CI52</f>
        <v>0</v>
      </c>
      <c r="G46" s="984" t="s">
        <v>43</v>
      </c>
      <c r="H46" s="984"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9</v>
      </c>
      <c r="B47" s="277">
        <v>42551</v>
      </c>
      <c r="C47" s="280" t="s">
        <v>115</v>
      </c>
      <c r="D47" s="280">
        <f t="shared" si="98"/>
        <v>42551</v>
      </c>
      <c r="E47" s="982" t="s">
        <v>941</v>
      </c>
      <c r="F47" s="983">
        <f ca="1">CE52</f>
        <v>0</v>
      </c>
      <c r="G47" s="984" t="s">
        <v>297</v>
      </c>
      <c r="H47" s="984"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10</v>
      </c>
      <c r="B48" s="277">
        <v>42551</v>
      </c>
      <c r="C48" s="280" t="s">
        <v>115</v>
      </c>
      <c r="D48" s="280">
        <f t="shared" si="98"/>
        <v>42551</v>
      </c>
      <c r="E48" s="982" t="s">
        <v>942</v>
      </c>
      <c r="F48" s="983">
        <f ca="1">CG52</f>
        <v>0</v>
      </c>
      <c r="G48" s="984" t="s">
        <v>299</v>
      </c>
      <c r="H48" s="984"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11</v>
      </c>
      <c r="B49" s="277">
        <v>42551</v>
      </c>
      <c r="C49" s="280" t="s">
        <v>115</v>
      </c>
      <c r="D49" s="280">
        <f t="shared" si="98"/>
        <v>42551</v>
      </c>
      <c r="E49" s="982" t="s">
        <v>119</v>
      </c>
      <c r="F49" s="983">
        <f ca="1">CU52</f>
        <v>0</v>
      </c>
      <c r="G49" s="984" t="s">
        <v>103</v>
      </c>
      <c r="H49" s="984"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12</v>
      </c>
      <c r="B50" s="277">
        <v>42551</v>
      </c>
      <c r="C50" s="280" t="s">
        <v>115</v>
      </c>
      <c r="D50" s="280">
        <f t="shared" si="98"/>
        <v>42551</v>
      </c>
      <c r="E50" s="982" t="s">
        <v>120</v>
      </c>
      <c r="F50" s="983">
        <f ca="1">CV52</f>
        <v>0</v>
      </c>
      <c r="G50" s="984" t="s">
        <v>109</v>
      </c>
      <c r="H50" s="984"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 t="shared" ref="J51" si="99">IF($G51="1111",$F51,0)</f>
        <v>0</v>
      </c>
      <c r="K51" s="279">
        <f t="shared" ref="K51" si="100">IF($H51="1111",$F51,0)</f>
        <v>0</v>
      </c>
      <c r="L51" s="279">
        <f t="shared" ref="L51" si="101">IF($G51="1121",$F51,0)</f>
        <v>0</v>
      </c>
      <c r="M51" s="279">
        <f t="shared" ref="M51" si="102">IF($H51="1121",$F51,0)</f>
        <v>0</v>
      </c>
      <c r="N51" s="279">
        <f t="shared" ref="N51" si="103">IF($G51="1122",$F51,0)</f>
        <v>0</v>
      </c>
      <c r="O51" s="279">
        <f t="shared" ref="O51" si="104">IF($H51="1122",$F51,0)</f>
        <v>0</v>
      </c>
      <c r="P51" s="279">
        <f t="shared" ref="P51" si="105">IF($G51="131",$F51,0)</f>
        <v>0</v>
      </c>
      <c r="Q51" s="279">
        <f t="shared" ref="Q51" si="106">IF($H51="131",$F51,0)</f>
        <v>0</v>
      </c>
      <c r="R51" s="279">
        <f t="shared" ref="R51" si="107">IF($G51="1331",$F51,0)</f>
        <v>0</v>
      </c>
      <c r="S51" s="279">
        <f t="shared" ref="S51" si="108">IF($H51="1331",$F51,0)</f>
        <v>0</v>
      </c>
      <c r="T51" s="279">
        <f t="shared" ref="T51" si="109">IF($G51="1388",$F51,0)</f>
        <v>0</v>
      </c>
      <c r="U51" s="279">
        <f t="shared" ref="U51" si="110">IF($H51="1388",$F51,0)</f>
        <v>0</v>
      </c>
      <c r="V51" s="279">
        <f t="shared" ref="V51" si="111">IF($G51="141",$F51,0)</f>
        <v>0</v>
      </c>
      <c r="W51" s="279">
        <f t="shared" ref="W51" si="112">IF($H51="141",$F51,0)</f>
        <v>0</v>
      </c>
      <c r="X51" s="279">
        <f t="shared" ref="X51" si="113">IF($G51="1521",$F51,0)</f>
        <v>0</v>
      </c>
      <c r="Y51" s="279">
        <f t="shared" ref="Y51" si="114">IF($H51="1521",$F51,0)</f>
        <v>0</v>
      </c>
      <c r="Z51" s="279">
        <f t="shared" ref="Z51" si="115">IF($G51="1522",$F51,0)</f>
        <v>0</v>
      </c>
      <c r="AA51" s="279">
        <f t="shared" ref="AA51" si="116">IF($H51="1522",$F51,0)</f>
        <v>0</v>
      </c>
      <c r="AB51" s="279">
        <f t="shared" ref="AB51" si="117">IF($G51="153",$F51,0)</f>
        <v>0</v>
      </c>
      <c r="AC51" s="279">
        <f t="shared" ref="AC51" si="118">IF($H51="153",$F51,0)</f>
        <v>0</v>
      </c>
      <c r="AD51" s="279">
        <f t="shared" ref="AD51" si="119">IF($G51="154",$F51,0)</f>
        <v>0</v>
      </c>
      <c r="AE51" s="279">
        <f t="shared" ref="AE51" si="120">IF($H51="154",$F51,0)</f>
        <v>0</v>
      </c>
      <c r="AF51" s="279">
        <f t="shared" ref="AF51" si="121">IF($G51="155",$F51,0)</f>
        <v>0</v>
      </c>
      <c r="AG51" s="279">
        <f t="shared" ref="AG51" si="122">IF($H51="155",$F51,0)</f>
        <v>0</v>
      </c>
      <c r="AH51" s="279">
        <f t="shared" ref="AH51" si="123">IF($G51="2111",$F51,0)</f>
        <v>0</v>
      </c>
      <c r="AI51" s="279">
        <f t="shared" ref="AI51" si="124">IF($H51="2111",$F51,0)</f>
        <v>0</v>
      </c>
      <c r="AJ51" s="279">
        <f t="shared" ref="AJ51" si="125">IF($G51="2112",$F51,0)</f>
        <v>0</v>
      </c>
      <c r="AK51" s="279">
        <f t="shared" ref="AK51" si="126">IF($H51="2112",$F51,0)</f>
        <v>0</v>
      </c>
      <c r="AL51" s="279">
        <f t="shared" ref="AL51" si="127">IF($G51="2113",$F51,0)</f>
        <v>0</v>
      </c>
      <c r="AM51" s="279">
        <f t="shared" ref="AM51" si="128">IF($H51="2113",$F51,0)</f>
        <v>0</v>
      </c>
      <c r="AN51" s="279">
        <f t="shared" ref="AN51" si="129">IF($G51="2131",$F51,0)</f>
        <v>0</v>
      </c>
      <c r="AO51" s="279">
        <f t="shared" ref="AO51" si="130">IF($H51="2131",$F51,0)</f>
        <v>0</v>
      </c>
      <c r="AP51" s="279">
        <f t="shared" ref="AP51" si="131">IF($G51="2141",$F51,0)</f>
        <v>0</v>
      </c>
      <c r="AQ51" s="279">
        <f t="shared" ref="AQ51" si="132">IF($H51="2141",$F51,0)</f>
        <v>0</v>
      </c>
      <c r="AR51" s="279">
        <f t="shared" ref="AR51" si="133">IF($G51="2143",$F51,0)</f>
        <v>0</v>
      </c>
      <c r="AS51" s="279">
        <f t="shared" ref="AS51" si="134">IF($H51="2143",$F51,0)</f>
        <v>0</v>
      </c>
      <c r="AT51" s="279">
        <f t="shared" ref="AT51" si="135">IF($G51="2412",$F51,0)</f>
        <v>0</v>
      </c>
      <c r="AU51" s="279">
        <f t="shared" ref="AU51" si="136">IF($H51="2412",$F51,0)</f>
        <v>0</v>
      </c>
      <c r="AV51" s="279">
        <f t="shared" ref="AV51" si="137">IF($G51="331",$F51,0)</f>
        <v>0</v>
      </c>
      <c r="AW51" s="279">
        <f t="shared" ref="AW51" si="138">IF($H51="331",$F51,0)</f>
        <v>0</v>
      </c>
      <c r="AX51" s="279">
        <f t="shared" ref="AX51" si="139">IF($G51="33311",$F51,0)</f>
        <v>0</v>
      </c>
      <c r="AY51" s="279">
        <f t="shared" ref="AY51" si="140">IF($H51="33311",$F51,0)</f>
        <v>0</v>
      </c>
      <c r="AZ51" s="279">
        <f t="shared" ref="AZ51" si="141">IF($G51="33312",$F51,0)</f>
        <v>0</v>
      </c>
      <c r="BA51" s="279">
        <f t="shared" ref="BA51" si="142">IF($H51="33312",$F51,0)</f>
        <v>0</v>
      </c>
      <c r="BB51" s="279">
        <f t="shared" ref="BB51" si="143">IF($G51="3333",$F51,0)</f>
        <v>0</v>
      </c>
      <c r="BC51" s="279">
        <f t="shared" ref="BC51" si="144">IF($H51="3333",$F51,0)</f>
        <v>0</v>
      </c>
      <c r="BD51" s="279">
        <f t="shared" ref="BD51" si="145">IF($G51="3334",$F51,0)</f>
        <v>0</v>
      </c>
      <c r="BE51" s="279">
        <f t="shared" ref="BE51" si="146">IF($H51="3334",$F51,0)</f>
        <v>0</v>
      </c>
      <c r="BF51" s="279">
        <f t="shared" ref="BF51" si="147">IF($G51="3335",$F51,0)</f>
        <v>0</v>
      </c>
      <c r="BG51" s="279">
        <f t="shared" ref="BG51" si="148">IF($H51="3335",$F51,0)</f>
        <v>0</v>
      </c>
      <c r="BH51" s="279">
        <f t="shared" ref="BH51" si="149">IF($G51="33382",$F51,0)</f>
        <v>0</v>
      </c>
      <c r="BI51" s="279">
        <f t="shared" ref="BI51" si="150">IF($H51="33382",$F51,0)</f>
        <v>0</v>
      </c>
      <c r="BJ51" s="279">
        <f t="shared" ref="BJ51" si="151">IF($G51="3341",$F51,0)</f>
        <v>0</v>
      </c>
      <c r="BK51" s="279">
        <f t="shared" ref="BK51" si="152">IF($H51="3341",$F51,0)</f>
        <v>0</v>
      </c>
      <c r="BL51" s="279">
        <f t="shared" ref="BL51" si="153">IF($G51="3383",$F51,0)</f>
        <v>0</v>
      </c>
      <c r="BM51" s="279">
        <f t="shared" ref="BM51" si="154">IF($H51="3383",$F51,0)</f>
        <v>0</v>
      </c>
      <c r="BN51" s="279">
        <f t="shared" ref="BN51" si="155">IF($G51="3384",$F51,0)</f>
        <v>0</v>
      </c>
      <c r="BO51" s="279">
        <f t="shared" ref="BO51" si="156">IF($H51="3384",$F51,0)</f>
        <v>0</v>
      </c>
      <c r="BP51" s="279">
        <f t="shared" ref="BP51" si="157">IF($G51="3386",$F51,0)</f>
        <v>0</v>
      </c>
      <c r="BQ51" s="279">
        <f t="shared" ref="BQ51" si="158">IF($H51="3386",$F51,0)</f>
        <v>0</v>
      </c>
      <c r="BR51" s="279">
        <f t="shared" ref="BR51" si="159">IF($G51="3388",$F51,0)</f>
        <v>0</v>
      </c>
      <c r="BS51" s="279">
        <f t="shared" ref="BS51" si="160">IF($H51="3388",$F51,0)</f>
        <v>0</v>
      </c>
      <c r="BT51" s="279">
        <f t="shared" ref="BT51" si="161">IF($G51="3411",$F51,0)</f>
        <v>0</v>
      </c>
      <c r="BU51" s="279">
        <f t="shared" ref="BU51" si="162">IF($H51="3411",$F51,0)</f>
        <v>0</v>
      </c>
      <c r="BV51" s="279">
        <f t="shared" ref="BV51" si="163">IF($G51="3412",$F51,0)</f>
        <v>0</v>
      </c>
      <c r="BW51" s="279">
        <f t="shared" ref="BW51" si="164">IF($H51="3412",$F51,0)</f>
        <v>0</v>
      </c>
      <c r="BX51" s="279">
        <f t="shared" ref="BX51" si="165">IF($G51="4111",$F51,0)</f>
        <v>0</v>
      </c>
      <c r="BY51" s="279">
        <f t="shared" ref="BY51" si="166">IF($H51="4111",$F51,0)</f>
        <v>0</v>
      </c>
      <c r="BZ51" s="279">
        <f t="shared" ref="BZ51" si="167">IF($G51="4211",$F51,0)</f>
        <v>0</v>
      </c>
      <c r="CA51" s="279">
        <f t="shared" ref="CA51" si="168">IF($H51="4211",$F51,0)</f>
        <v>0</v>
      </c>
      <c r="CB51" s="279">
        <f t="shared" ref="CB51" si="169">IF($G51="4212",$F51,0)</f>
        <v>0</v>
      </c>
      <c r="CC51" s="279">
        <f t="shared" ref="CC51" si="170">IF($H51="4212",$F51,0)</f>
        <v>0</v>
      </c>
      <c r="CD51" s="279">
        <f t="shared" ref="CD51" si="171">IF($G51="5112N",$F51,0)</f>
        <v>0</v>
      </c>
      <c r="CE51" s="279">
        <f t="shared" ref="CE51" si="172">IF($H51="5112N",$F51,0)</f>
        <v>0</v>
      </c>
      <c r="CF51" s="279">
        <f t="shared" ref="CF51" si="173">IF($G51="5112X",$F51,0)</f>
        <v>0</v>
      </c>
      <c r="CG51" s="279">
        <f t="shared" ref="CG51" si="174">IF($H51="5112X",$F51,0)</f>
        <v>0</v>
      </c>
      <c r="CH51" s="279">
        <f t="shared" ref="CH51" si="175">IF($G51="515",$F51,0)</f>
        <v>0</v>
      </c>
      <c r="CI51" s="279">
        <f t="shared" ref="CI51" si="176">IF($H51="515",$F51,0)</f>
        <v>0</v>
      </c>
      <c r="CJ51" s="279">
        <f t="shared" ref="CJ51" si="177">IF($G51="5213",$F51,0)</f>
        <v>0</v>
      </c>
      <c r="CK51" s="279">
        <f t="shared" ref="CK51" si="178">IF($H51="5213",$F51,0)</f>
        <v>0</v>
      </c>
      <c r="CL51" s="279">
        <f t="shared" ref="CL51" si="179">IF($G51="632",$F51,0)</f>
        <v>0</v>
      </c>
      <c r="CM51" s="279">
        <f t="shared" ref="CM51" si="180">IF($H51="632",$F51,0)</f>
        <v>0</v>
      </c>
      <c r="CN51" s="279">
        <f t="shared" ref="CN51" si="181">IF($G51="635",$F51,0)</f>
        <v>0</v>
      </c>
      <c r="CO51" s="279">
        <f t="shared" ref="CO51" si="182">IF($H51="635",$F51,0)</f>
        <v>0</v>
      </c>
      <c r="CP51" s="279">
        <f t="shared" ref="CP51" si="183">IF($G51="641",$F51,0)</f>
        <v>0</v>
      </c>
      <c r="CQ51" s="279">
        <f t="shared" ref="CQ51" si="184">IF($H51="641",$F51,0)</f>
        <v>0</v>
      </c>
      <c r="CR51" s="279">
        <f t="shared" ref="CR51" si="185">IF($G51="642",$F51,0)</f>
        <v>0</v>
      </c>
      <c r="CS51" s="279">
        <f t="shared" ref="CS51" si="186">IF($H51="642",$F51,0)</f>
        <v>0</v>
      </c>
      <c r="CT51" s="279">
        <f t="shared" ref="CT51" si="187">IF($G51="711",$F51,0)</f>
        <v>0</v>
      </c>
      <c r="CU51" s="279">
        <f t="shared" ref="CU51" si="188">IF($H51="711",$F51,0)</f>
        <v>0</v>
      </c>
      <c r="CV51" s="279">
        <f t="shared" ref="CV51" si="189">IF($G51="811",$F51,0)</f>
        <v>0</v>
      </c>
      <c r="CW51" s="279">
        <f t="shared" ref="CW51" si="190">IF($H51="811",$F51,0)</f>
        <v>0</v>
      </c>
      <c r="CX51" s="279">
        <f t="shared" ref="CX51" si="191">IF($G51="821",$F51,0)</f>
        <v>0</v>
      </c>
      <c r="CY51" s="279">
        <f t="shared" ref="CY51" si="192">IF($H51="821",$F51,0)</f>
        <v>0</v>
      </c>
      <c r="CZ51" s="279">
        <f t="shared" ref="CZ51" si="193">IF($G51="911",$F51,0)</f>
        <v>0</v>
      </c>
      <c r="DA51" s="279">
        <f t="shared" ref="DA51" si="194">IF($H51="911",$F51,0)</f>
        <v>0</v>
      </c>
    </row>
    <row r="52" spans="1:105" s="276" customFormat="1" ht="15" customHeight="1">
      <c r="A52" s="283"/>
      <c r="B52" s="283"/>
      <c r="C52" s="283"/>
      <c r="D52" s="283"/>
      <c r="E52" s="278" t="s">
        <v>175</v>
      </c>
      <c r="F52" s="283"/>
      <c r="G52" s="282"/>
      <c r="H52" s="282"/>
      <c r="I52" s="283"/>
      <c r="J52" s="283">
        <f t="shared" ref="J52:AO52" ca="1" si="195">SUM(J11:J51)</f>
        <v>0</v>
      </c>
      <c r="K52" s="283">
        <f t="shared" ca="1" si="195"/>
        <v>0</v>
      </c>
      <c r="L52" s="283">
        <f t="shared" ca="1" si="195"/>
        <v>0</v>
      </c>
      <c r="M52" s="283">
        <f t="shared" ca="1" si="195"/>
        <v>0</v>
      </c>
      <c r="N52" s="283">
        <f t="shared" ca="1" si="195"/>
        <v>0</v>
      </c>
      <c r="O52" s="283">
        <f t="shared" ca="1" si="195"/>
        <v>0</v>
      </c>
      <c r="P52" s="283">
        <f t="shared" ca="1" si="195"/>
        <v>0</v>
      </c>
      <c r="Q52" s="283">
        <f t="shared" ca="1" si="195"/>
        <v>0</v>
      </c>
      <c r="R52" s="283">
        <f t="shared" ca="1" si="195"/>
        <v>0</v>
      </c>
      <c r="S52" s="283">
        <f t="shared" ca="1" si="195"/>
        <v>0</v>
      </c>
      <c r="T52" s="283">
        <f t="shared" ca="1" si="195"/>
        <v>0</v>
      </c>
      <c r="U52" s="283">
        <f t="shared" ca="1" si="195"/>
        <v>0</v>
      </c>
      <c r="V52" s="283">
        <f t="shared" ca="1" si="195"/>
        <v>0</v>
      </c>
      <c r="W52" s="283">
        <f t="shared" ca="1" si="195"/>
        <v>0</v>
      </c>
      <c r="X52" s="283">
        <f t="shared" ca="1" si="195"/>
        <v>0</v>
      </c>
      <c r="Y52" s="283">
        <f t="shared" ca="1" si="195"/>
        <v>0</v>
      </c>
      <c r="Z52" s="283">
        <f t="shared" ca="1" si="195"/>
        <v>0</v>
      </c>
      <c r="AA52" s="283">
        <f t="shared" ca="1" si="195"/>
        <v>0</v>
      </c>
      <c r="AB52" s="283">
        <f t="shared" ca="1" si="195"/>
        <v>0</v>
      </c>
      <c r="AC52" s="283">
        <f t="shared" ca="1" si="195"/>
        <v>0</v>
      </c>
      <c r="AD52" s="283">
        <f t="shared" ca="1" si="195"/>
        <v>0</v>
      </c>
      <c r="AE52" s="283">
        <f t="shared" ca="1" si="195"/>
        <v>0</v>
      </c>
      <c r="AF52" s="283">
        <f t="shared" ca="1" si="195"/>
        <v>0</v>
      </c>
      <c r="AG52" s="283">
        <f t="shared" ca="1" si="195"/>
        <v>0</v>
      </c>
      <c r="AH52" s="283">
        <f t="shared" ca="1" si="195"/>
        <v>0</v>
      </c>
      <c r="AI52" s="283">
        <f t="shared" ca="1" si="195"/>
        <v>0</v>
      </c>
      <c r="AJ52" s="283">
        <f t="shared" ca="1" si="195"/>
        <v>0</v>
      </c>
      <c r="AK52" s="283">
        <f t="shared" ca="1" si="195"/>
        <v>0</v>
      </c>
      <c r="AL52" s="283">
        <f t="shared" ca="1" si="195"/>
        <v>0</v>
      </c>
      <c r="AM52" s="283">
        <f t="shared" ca="1" si="195"/>
        <v>0</v>
      </c>
      <c r="AN52" s="283">
        <f t="shared" ca="1" si="195"/>
        <v>0</v>
      </c>
      <c r="AO52" s="283">
        <f t="shared" ca="1" si="195"/>
        <v>0</v>
      </c>
      <c r="AP52" s="283">
        <f t="shared" ref="AP52:BU52" ca="1" si="196">SUM(AP11:AP51)</f>
        <v>0</v>
      </c>
      <c r="AQ52" s="283">
        <f t="shared" ca="1" si="196"/>
        <v>0</v>
      </c>
      <c r="AR52" s="283">
        <f t="shared" ca="1" si="196"/>
        <v>0</v>
      </c>
      <c r="AS52" s="283">
        <f t="shared" ca="1" si="196"/>
        <v>0</v>
      </c>
      <c r="AT52" s="283">
        <f t="shared" ca="1" si="196"/>
        <v>0</v>
      </c>
      <c r="AU52" s="283">
        <f t="shared" ca="1" si="196"/>
        <v>0</v>
      </c>
      <c r="AV52" s="283">
        <f t="shared" ca="1" si="196"/>
        <v>0</v>
      </c>
      <c r="AW52" s="283">
        <f t="shared" ca="1" si="196"/>
        <v>0</v>
      </c>
      <c r="AX52" s="283">
        <f t="shared" ca="1" si="196"/>
        <v>0</v>
      </c>
      <c r="AY52" s="283">
        <f t="shared" ca="1" si="196"/>
        <v>0</v>
      </c>
      <c r="AZ52" s="283">
        <f t="shared" ca="1" si="196"/>
        <v>0</v>
      </c>
      <c r="BA52" s="283">
        <f t="shared" ca="1" si="196"/>
        <v>0</v>
      </c>
      <c r="BB52" s="283">
        <f t="shared" ca="1" si="196"/>
        <v>0</v>
      </c>
      <c r="BC52" s="283">
        <f t="shared" ca="1" si="196"/>
        <v>0</v>
      </c>
      <c r="BD52" s="283">
        <f t="shared" ca="1" si="196"/>
        <v>0</v>
      </c>
      <c r="BE52" s="283">
        <f t="shared" ca="1" si="196"/>
        <v>0</v>
      </c>
      <c r="BF52" s="283">
        <f t="shared" ca="1" si="196"/>
        <v>0</v>
      </c>
      <c r="BG52" s="283">
        <f t="shared" ca="1" si="196"/>
        <v>0</v>
      </c>
      <c r="BH52" s="283">
        <f t="shared" ca="1" si="196"/>
        <v>0</v>
      </c>
      <c r="BI52" s="283">
        <f t="shared" ca="1" si="196"/>
        <v>0</v>
      </c>
      <c r="BJ52" s="283">
        <f t="shared" ca="1" si="196"/>
        <v>0</v>
      </c>
      <c r="BK52" s="283">
        <f t="shared" ca="1" si="196"/>
        <v>0</v>
      </c>
      <c r="BL52" s="283">
        <f t="shared" ca="1" si="196"/>
        <v>0</v>
      </c>
      <c r="BM52" s="283">
        <f t="shared" ca="1" si="196"/>
        <v>0</v>
      </c>
      <c r="BN52" s="283">
        <f t="shared" ca="1" si="196"/>
        <v>0</v>
      </c>
      <c r="BO52" s="283">
        <f t="shared" ca="1" si="196"/>
        <v>0</v>
      </c>
      <c r="BP52" s="283">
        <f t="shared" ca="1" si="196"/>
        <v>0</v>
      </c>
      <c r="BQ52" s="283">
        <f t="shared" ca="1" si="196"/>
        <v>0</v>
      </c>
      <c r="BR52" s="283">
        <f t="shared" ca="1" si="196"/>
        <v>0</v>
      </c>
      <c r="BS52" s="283">
        <f t="shared" ca="1" si="196"/>
        <v>0</v>
      </c>
      <c r="BT52" s="283">
        <f t="shared" ca="1" si="196"/>
        <v>0</v>
      </c>
      <c r="BU52" s="283">
        <f t="shared" ca="1" si="196"/>
        <v>0</v>
      </c>
      <c r="BV52" s="283">
        <f t="shared" ref="BV52:DA52" ca="1" si="197">SUM(BV11:BV51)</f>
        <v>0</v>
      </c>
      <c r="BW52" s="283">
        <f t="shared" ca="1" si="197"/>
        <v>0</v>
      </c>
      <c r="BX52" s="283">
        <f t="shared" ca="1" si="197"/>
        <v>0</v>
      </c>
      <c r="BY52" s="283">
        <f t="shared" ca="1" si="197"/>
        <v>0</v>
      </c>
      <c r="BZ52" s="283">
        <f t="shared" ca="1" si="197"/>
        <v>0</v>
      </c>
      <c r="CA52" s="283">
        <f t="shared" ca="1" si="197"/>
        <v>0</v>
      </c>
      <c r="CB52" s="283">
        <f t="shared" ca="1" si="197"/>
        <v>0</v>
      </c>
      <c r="CC52" s="283">
        <f t="shared" ca="1" si="197"/>
        <v>0</v>
      </c>
      <c r="CD52" s="283">
        <f t="shared" ca="1" si="197"/>
        <v>0</v>
      </c>
      <c r="CE52" s="283">
        <f t="shared" ca="1" si="197"/>
        <v>0</v>
      </c>
      <c r="CF52" s="283">
        <f t="shared" ca="1" si="197"/>
        <v>0</v>
      </c>
      <c r="CG52" s="283">
        <f t="shared" ca="1" si="197"/>
        <v>0</v>
      </c>
      <c r="CH52" s="283">
        <f t="shared" ca="1" si="197"/>
        <v>0</v>
      </c>
      <c r="CI52" s="283">
        <f t="shared" ca="1" si="197"/>
        <v>0</v>
      </c>
      <c r="CJ52" s="283">
        <f t="shared" ca="1" si="197"/>
        <v>0</v>
      </c>
      <c r="CK52" s="283">
        <f t="shared" ca="1" si="197"/>
        <v>0</v>
      </c>
      <c r="CL52" s="283">
        <f t="shared" ca="1" si="197"/>
        <v>0</v>
      </c>
      <c r="CM52" s="283">
        <f t="shared" ca="1" si="197"/>
        <v>0</v>
      </c>
      <c r="CN52" s="283">
        <f t="shared" ca="1" si="197"/>
        <v>0</v>
      </c>
      <c r="CO52" s="283">
        <f t="shared" ca="1" si="197"/>
        <v>0</v>
      </c>
      <c r="CP52" s="283">
        <f t="shared" ca="1" si="197"/>
        <v>0</v>
      </c>
      <c r="CQ52" s="283">
        <f t="shared" ca="1" si="197"/>
        <v>0</v>
      </c>
      <c r="CR52" s="283">
        <f t="shared" ca="1" si="197"/>
        <v>0</v>
      </c>
      <c r="CS52" s="283">
        <f t="shared" ca="1" si="197"/>
        <v>0</v>
      </c>
      <c r="CT52" s="283">
        <f t="shared" ca="1" si="197"/>
        <v>0</v>
      </c>
      <c r="CU52" s="283">
        <f t="shared" ca="1" si="197"/>
        <v>0</v>
      </c>
      <c r="CV52" s="283">
        <f t="shared" ca="1" si="197"/>
        <v>0</v>
      </c>
      <c r="CW52" s="283">
        <f t="shared" ca="1" si="197"/>
        <v>0</v>
      </c>
      <c r="CX52" s="283">
        <f t="shared" ca="1" si="197"/>
        <v>0</v>
      </c>
      <c r="CY52" s="283">
        <f t="shared" ca="1" si="197"/>
        <v>0</v>
      </c>
      <c r="CZ52" s="283">
        <f t="shared" ca="1" si="197"/>
        <v>0</v>
      </c>
      <c r="DA52" s="283">
        <f t="shared" ca="1" si="197"/>
        <v>0</v>
      </c>
    </row>
    <row r="53" spans="1:105" s="276" customFormat="1" ht="1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 customHeight="1">
      <c r="A54" s="288"/>
      <c r="B54" s="288"/>
      <c r="C54" s="289"/>
      <c r="D54" s="288"/>
      <c r="E54" s="290" t="s">
        <v>217</v>
      </c>
      <c r="F54" s="288"/>
      <c r="G54" s="291"/>
      <c r="H54" s="291"/>
      <c r="I54" s="288"/>
      <c r="J54" s="288">
        <f ca="1">J52+'SC-I'!J54</f>
        <v>0</v>
      </c>
      <c r="K54" s="288">
        <f ca="1">K52+'SC-I'!K54</f>
        <v>0</v>
      </c>
      <c r="L54" s="288">
        <f ca="1">L52+'SC-I'!L54</f>
        <v>0</v>
      </c>
      <c r="M54" s="288">
        <f ca="1">M52+'SC-I'!M54</f>
        <v>0</v>
      </c>
      <c r="N54" s="288">
        <f ca="1">N52+'SC-I'!N54</f>
        <v>0</v>
      </c>
      <c r="O54" s="288">
        <f ca="1">O52+'SC-I'!O54</f>
        <v>0</v>
      </c>
      <c r="P54" s="288">
        <f ca="1">P52+'SC-I'!P54</f>
        <v>0</v>
      </c>
      <c r="Q54" s="288">
        <f ca="1">Q52+'SC-I'!Q54</f>
        <v>0</v>
      </c>
      <c r="R54" s="288">
        <f ca="1">R52+'SC-I'!R54</f>
        <v>0</v>
      </c>
      <c r="S54" s="288">
        <f ca="1">S52+'SC-I'!S54</f>
        <v>0</v>
      </c>
      <c r="T54" s="288">
        <f ca="1">T52+'SC-I'!T54</f>
        <v>0</v>
      </c>
      <c r="U54" s="288">
        <f ca="1">U52+'SC-I'!U54</f>
        <v>0</v>
      </c>
      <c r="V54" s="288">
        <f ca="1">V52+'SC-I'!V54</f>
        <v>0</v>
      </c>
      <c r="W54" s="288">
        <f ca="1">W52+'SC-I'!W54</f>
        <v>0</v>
      </c>
      <c r="X54" s="288">
        <f ca="1">X52+'SC-I'!X54</f>
        <v>0</v>
      </c>
      <c r="Y54" s="288">
        <f ca="1">Y52+'SC-I'!Y54</f>
        <v>0</v>
      </c>
      <c r="Z54" s="288">
        <f ca="1">Z52+'SC-I'!Z54</f>
        <v>0</v>
      </c>
      <c r="AA54" s="288">
        <f ca="1">AA52+'SC-I'!AA54</f>
        <v>0</v>
      </c>
      <c r="AB54" s="288">
        <f ca="1">AB52+'SC-I'!AB54</f>
        <v>0</v>
      </c>
      <c r="AC54" s="288">
        <f ca="1">AC52+'SC-I'!AC54</f>
        <v>0</v>
      </c>
      <c r="AD54" s="288">
        <f ca="1">AD52+'SC-I'!AD54</f>
        <v>0</v>
      </c>
      <c r="AE54" s="288">
        <f ca="1">AE52+'SC-I'!AE54</f>
        <v>0</v>
      </c>
      <c r="AF54" s="288">
        <f ca="1">AF52+'SC-I'!AF54</f>
        <v>0</v>
      </c>
      <c r="AG54" s="288">
        <f ca="1">AG52+'SC-I'!AG54</f>
        <v>0</v>
      </c>
      <c r="AH54" s="288">
        <f ca="1">AH52+'SC-I'!AH54</f>
        <v>0</v>
      </c>
      <c r="AI54" s="288">
        <f ca="1">AI52+'SC-I'!AI54</f>
        <v>0</v>
      </c>
      <c r="AJ54" s="288">
        <f ca="1">AJ52+'SC-I'!AJ54</f>
        <v>0</v>
      </c>
      <c r="AK54" s="288">
        <f ca="1">AK52+'SC-I'!AK54</f>
        <v>0</v>
      </c>
      <c r="AL54" s="288">
        <f ca="1">AL52+'SC-I'!AL54</f>
        <v>0</v>
      </c>
      <c r="AM54" s="288">
        <f ca="1">AM52+'SC-I'!AM54</f>
        <v>0</v>
      </c>
      <c r="AN54" s="288">
        <f ca="1">AN52+'SC-I'!AN54</f>
        <v>0</v>
      </c>
      <c r="AO54" s="288">
        <f ca="1">AO52+'SC-I'!AO54</f>
        <v>0</v>
      </c>
      <c r="AP54" s="288">
        <f ca="1">AP52+'SC-I'!AP54</f>
        <v>0</v>
      </c>
      <c r="AQ54" s="288">
        <f ca="1">AQ52+'SC-I'!AQ54</f>
        <v>0</v>
      </c>
      <c r="AR54" s="288">
        <f ca="1">AR52+'SC-I'!AR54</f>
        <v>0</v>
      </c>
      <c r="AS54" s="288">
        <f ca="1">AS52+'SC-I'!AS54</f>
        <v>0</v>
      </c>
      <c r="AT54" s="288">
        <f ca="1">AT52+'SC-I'!AT54</f>
        <v>0</v>
      </c>
      <c r="AU54" s="288">
        <f ca="1">AU52+'SC-I'!AU54</f>
        <v>0</v>
      </c>
      <c r="AV54" s="288">
        <f ca="1">AV52+'SC-I'!AV54</f>
        <v>0</v>
      </c>
      <c r="AW54" s="288">
        <f ca="1">AW52+'SC-I'!AW54</f>
        <v>0</v>
      </c>
      <c r="AX54" s="288">
        <f ca="1">AX52+'SC-I'!AX54</f>
        <v>0</v>
      </c>
      <c r="AY54" s="288">
        <f ca="1">AY52+'SC-I'!AY54</f>
        <v>0</v>
      </c>
      <c r="AZ54" s="288">
        <f ca="1">AZ52+'SC-I'!AZ54</f>
        <v>0</v>
      </c>
      <c r="BA54" s="288">
        <f ca="1">BA52+'SC-I'!BA54</f>
        <v>0</v>
      </c>
      <c r="BB54" s="288">
        <f ca="1">BB52+'SC-I'!BB54</f>
        <v>0</v>
      </c>
      <c r="BC54" s="288">
        <f ca="1">BC52+'SC-I'!BC54</f>
        <v>0</v>
      </c>
      <c r="BD54" s="288">
        <f ca="1">BD52+'SC-I'!BD54</f>
        <v>0</v>
      </c>
      <c r="BE54" s="288">
        <f ca="1">BE52+'SC-I'!BE54</f>
        <v>0</v>
      </c>
      <c r="BF54" s="288">
        <f ca="1">BF52+'SC-I'!BF54</f>
        <v>0</v>
      </c>
      <c r="BG54" s="288">
        <f ca="1">BG52+'SC-I'!BG54</f>
        <v>0</v>
      </c>
      <c r="BH54" s="288">
        <f ca="1">BH52+'SC-I'!BH54</f>
        <v>0</v>
      </c>
      <c r="BI54" s="288">
        <f ca="1">BI52+'SC-I'!BI54</f>
        <v>0</v>
      </c>
      <c r="BJ54" s="288">
        <f ca="1">BJ52+'SC-I'!BJ54</f>
        <v>0</v>
      </c>
      <c r="BK54" s="288">
        <f ca="1">BK52+'SC-I'!BK54</f>
        <v>0</v>
      </c>
      <c r="BL54" s="288">
        <f ca="1">BL52+'SC-I'!BL54</f>
        <v>0</v>
      </c>
      <c r="BM54" s="288">
        <f ca="1">BM52+'SC-I'!BM54</f>
        <v>0</v>
      </c>
      <c r="BN54" s="288">
        <f ca="1">BN52+'SC-I'!BN54</f>
        <v>0</v>
      </c>
      <c r="BO54" s="288">
        <f ca="1">BO52+'SC-I'!BO54</f>
        <v>0</v>
      </c>
      <c r="BP54" s="288">
        <f ca="1">BP52+'SC-I'!BP54</f>
        <v>0</v>
      </c>
      <c r="BQ54" s="288">
        <f ca="1">BQ52+'SC-I'!BQ54</f>
        <v>0</v>
      </c>
      <c r="BR54" s="288">
        <f ca="1">BR52+'SC-I'!BR54</f>
        <v>0</v>
      </c>
      <c r="BS54" s="288">
        <f ca="1">BS52+'SC-I'!BS54</f>
        <v>0</v>
      </c>
      <c r="BT54" s="288">
        <f ca="1">BT52+'SC-I'!BT54</f>
        <v>0</v>
      </c>
      <c r="BU54" s="288">
        <f ca="1">BU52+'SC-I'!BU54</f>
        <v>0</v>
      </c>
      <c r="BV54" s="288">
        <f ca="1">BV52+'SC-I'!BV54</f>
        <v>0</v>
      </c>
      <c r="BW54" s="288">
        <f ca="1">BW52+'SC-I'!BW54</f>
        <v>0</v>
      </c>
      <c r="BX54" s="288">
        <f ca="1">BX52+'SC-I'!BX54</f>
        <v>0</v>
      </c>
      <c r="BY54" s="288">
        <f ca="1">BY52+'SC-I'!BY54</f>
        <v>0</v>
      </c>
      <c r="BZ54" s="288">
        <f ca="1">BZ52+'SC-I'!BZ54</f>
        <v>0</v>
      </c>
      <c r="CA54" s="288">
        <f ca="1">CA52+'SC-I'!CA54</f>
        <v>107861885.00000048</v>
      </c>
      <c r="CB54" s="288">
        <f ca="1">CB52+'SC-I'!CB54</f>
        <v>107861885.00000048</v>
      </c>
      <c r="CC54" s="288">
        <f ca="1">CC52+'SC-I'!CC54</f>
        <v>0</v>
      </c>
      <c r="CD54" s="288">
        <f ca="1">CD52+'SC-I'!CD54</f>
        <v>0</v>
      </c>
      <c r="CE54" s="288">
        <f ca="1">CE52+'SC-I'!CE54</f>
        <v>0</v>
      </c>
      <c r="CF54" s="288">
        <f ca="1">CF52+'SC-I'!CF54</f>
        <v>0</v>
      </c>
      <c r="CG54" s="288">
        <f ca="1">CG52+'SC-I'!CG54</f>
        <v>0</v>
      </c>
      <c r="CH54" s="288">
        <f ca="1">CH52+'SC-I'!CH54</f>
        <v>0</v>
      </c>
      <c r="CI54" s="288">
        <f ca="1">CI52+'SC-I'!CI54</f>
        <v>0</v>
      </c>
      <c r="CJ54" s="288">
        <f ca="1">CJ52+'SC-I'!CJ54</f>
        <v>0</v>
      </c>
      <c r="CK54" s="288">
        <f ca="1">CK52+'SC-I'!CK54</f>
        <v>0</v>
      </c>
      <c r="CL54" s="288">
        <f ca="1">CL52+'SC-I'!CL54</f>
        <v>0</v>
      </c>
      <c r="CM54" s="288">
        <f ca="1">CM52+'SC-I'!CM54</f>
        <v>0</v>
      </c>
      <c r="CN54" s="288">
        <f ca="1">CN52+'SC-I'!CN54</f>
        <v>0</v>
      </c>
      <c r="CO54" s="288">
        <f ca="1">CO52+'SC-I'!CO54</f>
        <v>0</v>
      </c>
      <c r="CP54" s="288">
        <f ca="1">CP52+'SC-I'!CP54</f>
        <v>0</v>
      </c>
      <c r="CQ54" s="288">
        <f ca="1">CQ52+'SC-I'!CQ54</f>
        <v>0</v>
      </c>
      <c r="CR54" s="288">
        <f ca="1">CR52+'SC-I'!CR54</f>
        <v>0</v>
      </c>
      <c r="CS54" s="288">
        <f ca="1">CS52+'SC-I'!CS54</f>
        <v>0</v>
      </c>
      <c r="CT54" s="288">
        <f ca="1">CT52+'SC-I'!CT54</f>
        <v>0</v>
      </c>
      <c r="CU54" s="288">
        <f ca="1">CU52+'SC-I'!CU54</f>
        <v>0</v>
      </c>
      <c r="CV54" s="288">
        <f ca="1">CV52+'SC-I'!CV54</f>
        <v>0</v>
      </c>
      <c r="CW54" s="288">
        <f ca="1">CW52+'SC-I'!CW54</f>
        <v>0</v>
      </c>
      <c r="CX54" s="288">
        <f ca="1">CX52+'SC-I'!CX54</f>
        <v>0</v>
      </c>
      <c r="CY54" s="288">
        <f ca="1">CY52+'SC-I'!CY54</f>
        <v>0</v>
      </c>
      <c r="CZ54" s="288">
        <f ca="1">CZ52+'SC-I'!CZ54</f>
        <v>0</v>
      </c>
      <c r="DA54" s="288">
        <f ca="1">DA52+'SC-I'!DA54</f>
        <v>0</v>
      </c>
    </row>
    <row r="55" spans="1:105" ht="12" customHeight="1">
      <c r="B55" s="293"/>
      <c r="C55" s="294"/>
      <c r="D55" s="294"/>
      <c r="E55" s="294"/>
      <c r="F55" s="294"/>
      <c r="G55" s="295"/>
      <c r="H55" s="295"/>
      <c r="I55" s="294"/>
      <c r="J55" s="294"/>
      <c r="K55" s="294"/>
    </row>
    <row r="56" spans="1:105">
      <c r="M56" s="296"/>
      <c r="O56" s="296"/>
      <c r="Q56" s="296"/>
      <c r="R56" s="296"/>
      <c r="S56" s="296"/>
      <c r="T56" s="296"/>
      <c r="U56" s="296"/>
      <c r="V56" s="296"/>
      <c r="AM56" s="298"/>
      <c r="AN56" s="297" t="s">
        <v>231</v>
      </c>
      <c r="AO56" s="298"/>
      <c r="AP56" s="298"/>
      <c r="AQ56" s="298"/>
      <c r="AR56" s="299"/>
      <c r="AS56" s="299"/>
      <c r="AT56" s="298"/>
    </row>
    <row r="57" spans="1:105">
      <c r="M57" s="296"/>
      <c r="O57" s="296"/>
      <c r="Q57" s="296"/>
      <c r="R57" s="296"/>
      <c r="S57" s="296"/>
      <c r="T57" s="296"/>
      <c r="U57" s="296"/>
      <c r="V57" s="296"/>
      <c r="AM57" s="298"/>
      <c r="AN57" s="300" t="s">
        <v>221</v>
      </c>
      <c r="AO57" s="298"/>
      <c r="AP57" s="298"/>
      <c r="AQ57" s="298"/>
      <c r="AR57" s="299"/>
      <c r="AS57" s="299"/>
      <c r="AT57" s="298"/>
    </row>
    <row r="58" spans="1:105">
      <c r="M58" s="296"/>
      <c r="O58" s="296"/>
      <c r="Q58" s="296"/>
      <c r="R58" s="296"/>
      <c r="S58" s="296"/>
      <c r="T58" s="296"/>
      <c r="U58" s="296"/>
      <c r="V58" s="296"/>
      <c r="AL58" s="298"/>
      <c r="AM58" s="298"/>
      <c r="AN58" s="298"/>
      <c r="AO58" s="298"/>
      <c r="AP58" s="298"/>
      <c r="AQ58" s="298"/>
      <c r="AR58" s="298"/>
      <c r="AS58" s="298"/>
      <c r="AT58" s="299"/>
    </row>
    <row r="59" spans="1:105">
      <c r="M59" s="296"/>
      <c r="O59" s="296"/>
      <c r="Q59" s="296"/>
      <c r="R59" s="296"/>
      <c r="S59" s="296"/>
      <c r="T59" s="296"/>
      <c r="U59" s="296"/>
      <c r="V59" s="296"/>
      <c r="AL59" s="298"/>
      <c r="AM59" s="298"/>
      <c r="AN59" s="298"/>
      <c r="AO59" s="302" t="s">
        <v>11</v>
      </c>
      <c r="AQ59" s="298"/>
      <c r="AR59" s="298"/>
      <c r="AS59" s="298"/>
      <c r="AT59" s="299"/>
      <c r="AZ59" s="301" t="str">
        <f>"Ngày 30 tháng 06 năm 2015 "</f>
        <v xml:space="preserve">Ngày 30 tháng 06 năm 2015 </v>
      </c>
    </row>
    <row r="60" spans="1:105">
      <c r="M60" s="296"/>
      <c r="O60" s="296"/>
      <c r="Q60" s="296"/>
      <c r="R60" s="296"/>
      <c r="S60" s="296"/>
      <c r="T60" s="296"/>
      <c r="U60" s="296"/>
      <c r="V60" s="296"/>
      <c r="AL60" s="298"/>
      <c r="AN60" s="298"/>
      <c r="AO60" s="304" t="s">
        <v>13</v>
      </c>
      <c r="AQ60" s="298"/>
      <c r="AR60" s="298"/>
      <c r="AS60" s="303" t="s">
        <v>12</v>
      </c>
      <c r="AT60" s="299"/>
      <c r="AZ60" s="302" t="s">
        <v>131</v>
      </c>
    </row>
    <row r="61" spans="1:105">
      <c r="M61" s="296"/>
      <c r="O61" s="296"/>
      <c r="Q61" s="296"/>
      <c r="R61" s="296"/>
      <c r="S61" s="296"/>
      <c r="T61" s="296"/>
      <c r="U61" s="296"/>
      <c r="V61" s="296"/>
      <c r="AL61" s="298"/>
      <c r="AN61" s="298"/>
      <c r="AO61" s="298"/>
      <c r="AQ61" s="298"/>
      <c r="AR61" s="298"/>
      <c r="AS61" s="305" t="s">
        <v>13</v>
      </c>
      <c r="AT61" s="299"/>
      <c r="AZ61" s="304" t="s">
        <v>161</v>
      </c>
    </row>
    <row r="62" spans="1:105">
      <c r="M62" s="296"/>
      <c r="O62" s="296"/>
      <c r="Q62" s="296"/>
      <c r="R62" s="296"/>
      <c r="S62" s="296"/>
      <c r="T62" s="296"/>
      <c r="U62" s="296"/>
      <c r="V62" s="296"/>
      <c r="AL62" s="298"/>
      <c r="AN62" s="298"/>
      <c r="AO62" s="298"/>
      <c r="AP62" s="298"/>
      <c r="AQ62" s="298"/>
      <c r="AR62" s="298"/>
      <c r="AS62" s="298"/>
      <c r="AT62" s="299"/>
      <c r="AZ62" s="298"/>
    </row>
    <row r="63" spans="1:105">
      <c r="M63" s="296"/>
      <c r="O63" s="296"/>
      <c r="Q63" s="296"/>
      <c r="R63" s="296"/>
      <c r="S63" s="296"/>
      <c r="T63" s="296"/>
      <c r="U63" s="296"/>
      <c r="V63" s="296"/>
      <c r="AZ63" s="298"/>
    </row>
    <row r="64" spans="1:105">
      <c r="M64" s="296"/>
      <c r="O64" s="296"/>
      <c r="Q64" s="296"/>
      <c r="R64" s="296"/>
      <c r="S64" s="296"/>
      <c r="T64" s="296"/>
      <c r="U64" s="296"/>
      <c r="V64" s="296"/>
    </row>
    <row r="65" spans="13:22">
      <c r="M65" s="296"/>
      <c r="O65" s="296"/>
      <c r="Q65" s="296"/>
      <c r="R65" s="296"/>
      <c r="S65" s="296"/>
      <c r="T65" s="296"/>
      <c r="U65" s="296"/>
      <c r="V65" s="296"/>
    </row>
    <row r="66" spans="13:22">
      <c r="M66" s="296"/>
      <c r="O66" s="296"/>
      <c r="Q66" s="296"/>
      <c r="R66" s="296"/>
      <c r="S66" s="296"/>
      <c r="T66" s="296"/>
      <c r="U66" s="296"/>
      <c r="V66" s="296"/>
    </row>
    <row r="67" spans="13:22">
      <c r="M67" s="296"/>
      <c r="O67" s="296"/>
      <c r="Q67" s="296"/>
      <c r="R67" s="296"/>
      <c r="S67" s="296"/>
      <c r="T67" s="296"/>
      <c r="U67" s="296"/>
      <c r="V67" s="296"/>
    </row>
    <row r="68" spans="13:22">
      <c r="M68" s="296"/>
      <c r="O68" s="296"/>
      <c r="Q68" s="296"/>
      <c r="R68" s="296"/>
      <c r="S68" s="296"/>
      <c r="T68" s="296"/>
      <c r="U68" s="296"/>
      <c r="V68" s="296"/>
    </row>
    <row r="69" spans="13:22">
      <c r="M69" s="296"/>
      <c r="O69" s="296"/>
      <c r="Q69" s="296"/>
      <c r="R69" s="296"/>
      <c r="S69" s="296"/>
      <c r="T69" s="296"/>
      <c r="U69" s="296"/>
      <c r="V69" s="296"/>
    </row>
    <row r="70" spans="13:22">
      <c r="M70" s="296"/>
      <c r="O70" s="296"/>
      <c r="Q70" s="296"/>
      <c r="R70" s="296"/>
      <c r="S70" s="296"/>
      <c r="T70" s="296"/>
      <c r="U70" s="296"/>
      <c r="V70" s="296"/>
    </row>
    <row r="71" spans="13:22">
      <c r="M71" s="296"/>
      <c r="O71" s="296"/>
      <c r="Q71" s="296"/>
      <c r="R71" s="296"/>
      <c r="S71" s="296"/>
      <c r="T71" s="296"/>
      <c r="U71" s="296"/>
      <c r="V71" s="296"/>
    </row>
    <row r="72" spans="13:22">
      <c r="M72" s="296"/>
      <c r="O72" s="296"/>
      <c r="Q72" s="296"/>
      <c r="R72" s="296"/>
      <c r="S72" s="296"/>
      <c r="T72" s="296"/>
      <c r="U72" s="296"/>
      <c r="V72" s="296"/>
    </row>
    <row r="73" spans="13:22">
      <c r="M73" s="296"/>
      <c r="O73" s="296"/>
      <c r="Q73" s="296"/>
      <c r="R73" s="296"/>
      <c r="S73" s="296"/>
      <c r="T73" s="296"/>
      <c r="U73" s="296"/>
      <c r="V73" s="296"/>
    </row>
    <row r="74" spans="13:22">
      <c r="M74" s="296"/>
      <c r="O74" s="296"/>
      <c r="Q74" s="296"/>
      <c r="R74" s="296"/>
      <c r="S74" s="296"/>
      <c r="T74" s="296"/>
      <c r="U74" s="296"/>
      <c r="V74" s="296"/>
    </row>
    <row r="75" spans="13:22">
      <c r="M75" s="296"/>
      <c r="O75" s="296"/>
      <c r="Q75" s="296"/>
      <c r="R75" s="296"/>
      <c r="S75" s="296"/>
      <c r="T75" s="296"/>
      <c r="U75" s="296"/>
      <c r="V75" s="296"/>
    </row>
    <row r="76" spans="13:22">
      <c r="M76" s="296"/>
      <c r="O76" s="296"/>
      <c r="Q76" s="296"/>
      <c r="R76" s="296"/>
      <c r="S76" s="296"/>
      <c r="T76" s="296"/>
      <c r="U76" s="296"/>
      <c r="V76" s="296"/>
    </row>
    <row r="77" spans="13:22">
      <c r="M77" s="296"/>
      <c r="O77" s="296"/>
      <c r="Q77" s="296"/>
      <c r="R77" s="296"/>
      <c r="S77" s="296"/>
      <c r="T77" s="296"/>
      <c r="U77" s="296"/>
      <c r="V77" s="296"/>
    </row>
    <row r="78" spans="13:22">
      <c r="M78" s="296"/>
      <c r="O78" s="296"/>
      <c r="Q78" s="296"/>
      <c r="R78" s="296"/>
      <c r="S78" s="296"/>
      <c r="T78" s="296"/>
      <c r="U78" s="296"/>
      <c r="V78" s="296"/>
    </row>
    <row r="79" spans="13:22">
      <c r="M79" s="296"/>
      <c r="O79" s="296"/>
      <c r="Q79" s="296"/>
      <c r="R79" s="296"/>
      <c r="S79" s="296"/>
      <c r="T79" s="296"/>
      <c r="U79" s="296"/>
      <c r="V79" s="296"/>
    </row>
    <row r="80" spans="13:22">
      <c r="M80" s="296"/>
      <c r="O80" s="296"/>
      <c r="Q80" s="296"/>
      <c r="R80" s="296"/>
      <c r="S80" s="296"/>
      <c r="T80" s="296"/>
      <c r="U80" s="296"/>
      <c r="V80" s="296"/>
    </row>
    <row r="81" spans="13:22">
      <c r="M81" s="296"/>
      <c r="O81" s="296"/>
      <c r="Q81" s="296"/>
      <c r="R81" s="296"/>
      <c r="S81" s="296"/>
      <c r="T81" s="296"/>
      <c r="U81" s="296"/>
      <c r="V81" s="296"/>
    </row>
    <row r="82" spans="13:22">
      <c r="M82" s="296"/>
      <c r="O82" s="296"/>
      <c r="Q82" s="296"/>
      <c r="R82" s="296"/>
      <c r="S82" s="296"/>
      <c r="T82" s="296"/>
      <c r="U82" s="296"/>
      <c r="V82" s="296"/>
    </row>
    <row r="83" spans="13:22">
      <c r="M83" s="296"/>
      <c r="O83" s="296"/>
      <c r="Q83" s="296"/>
      <c r="R83" s="296"/>
      <c r="S83" s="296"/>
      <c r="T83" s="296"/>
      <c r="U83" s="296"/>
      <c r="V83" s="296"/>
    </row>
    <row r="84" spans="13:22">
      <c r="M84" s="296"/>
      <c r="O84" s="296"/>
      <c r="Q84" s="296"/>
      <c r="R84" s="296"/>
      <c r="S84" s="296"/>
      <c r="T84" s="296"/>
      <c r="U84" s="296"/>
      <c r="V84" s="296"/>
    </row>
    <row r="85" spans="13:22">
      <c r="M85" s="296"/>
      <c r="O85" s="296"/>
      <c r="Q85" s="296"/>
      <c r="R85" s="296"/>
      <c r="S85" s="296"/>
      <c r="T85" s="296"/>
      <c r="U85" s="296"/>
      <c r="V85" s="296"/>
    </row>
    <row r="86" spans="13:22">
      <c r="M86" s="296"/>
      <c r="O86" s="296"/>
      <c r="Q86" s="296"/>
      <c r="R86" s="296"/>
      <c r="S86" s="296"/>
      <c r="T86" s="296"/>
      <c r="U86" s="296"/>
      <c r="V86" s="296"/>
    </row>
    <row r="87" spans="13:22">
      <c r="M87" s="296"/>
      <c r="O87" s="296"/>
      <c r="Q87" s="296"/>
      <c r="R87" s="296"/>
      <c r="S87" s="296"/>
      <c r="T87" s="296"/>
      <c r="U87" s="296"/>
      <c r="V87" s="296"/>
    </row>
    <row r="88" spans="13:22">
      <c r="M88" s="296"/>
      <c r="O88" s="296"/>
      <c r="Q88" s="296"/>
      <c r="R88" s="296"/>
      <c r="S88" s="296"/>
      <c r="T88" s="296"/>
      <c r="U88" s="296"/>
      <c r="V88" s="296"/>
    </row>
    <row r="89" spans="13:22">
      <c r="M89" s="296"/>
      <c r="O89" s="296"/>
      <c r="Q89" s="296"/>
      <c r="R89" s="296"/>
      <c r="S89" s="296"/>
      <c r="T89" s="296"/>
      <c r="U89" s="296"/>
      <c r="V89" s="296"/>
    </row>
    <row r="90" spans="13:22">
      <c r="M90" s="296"/>
      <c r="O90" s="296"/>
      <c r="Q90" s="296"/>
      <c r="R90" s="296"/>
      <c r="S90" s="296"/>
      <c r="T90" s="296"/>
      <c r="U90" s="296"/>
      <c r="V90" s="296"/>
    </row>
    <row r="91" spans="13:22">
      <c r="M91" s="296"/>
      <c r="O91" s="296"/>
      <c r="Q91" s="296"/>
      <c r="R91" s="296"/>
      <c r="S91" s="296"/>
      <c r="T91" s="296"/>
      <c r="U91" s="296"/>
      <c r="V91" s="296"/>
    </row>
    <row r="92" spans="13:22">
      <c r="M92" s="296"/>
      <c r="O92" s="296"/>
      <c r="Q92" s="296"/>
      <c r="R92" s="296"/>
      <c r="S92" s="296"/>
      <c r="T92" s="296"/>
      <c r="U92" s="296"/>
      <c r="V92" s="296"/>
    </row>
    <row r="93" spans="13:22">
      <c r="M93" s="296"/>
      <c r="O93" s="296"/>
      <c r="Q93" s="296"/>
      <c r="R93" s="296"/>
      <c r="S93" s="296"/>
      <c r="T93" s="296"/>
      <c r="U93" s="296"/>
      <c r="V93" s="296"/>
    </row>
    <row r="94" spans="13:22">
      <c r="M94" s="296"/>
      <c r="O94" s="296"/>
      <c r="Q94" s="296"/>
      <c r="R94" s="296"/>
      <c r="S94" s="296"/>
      <c r="T94" s="296"/>
      <c r="U94" s="296"/>
      <c r="V94" s="296"/>
    </row>
    <row r="95" spans="13:22">
      <c r="M95" s="296"/>
      <c r="O95" s="296"/>
      <c r="Q95" s="296"/>
      <c r="R95" s="296"/>
      <c r="S95" s="296"/>
      <c r="T95" s="296"/>
      <c r="U95" s="296"/>
      <c r="V95" s="296"/>
    </row>
    <row r="96" spans="13:22">
      <c r="M96" s="296"/>
      <c r="O96" s="296"/>
      <c r="Q96" s="296"/>
      <c r="R96" s="296"/>
      <c r="S96" s="296"/>
      <c r="T96" s="296"/>
      <c r="U96" s="296"/>
      <c r="V96" s="296"/>
    </row>
    <row r="97" spans="13:22">
      <c r="M97" s="296"/>
      <c r="O97" s="296"/>
      <c r="Q97" s="296"/>
      <c r="R97" s="296"/>
      <c r="S97" s="296"/>
      <c r="T97" s="296"/>
      <c r="U97" s="296"/>
      <c r="V97" s="296"/>
    </row>
    <row r="98" spans="13:22">
      <c r="M98" s="296"/>
      <c r="O98" s="296"/>
      <c r="Q98" s="296"/>
      <c r="R98" s="296"/>
      <c r="S98" s="296"/>
      <c r="T98" s="296"/>
      <c r="U98" s="296"/>
      <c r="V98" s="296"/>
    </row>
    <row r="99" spans="13:22">
      <c r="M99" s="296"/>
      <c r="O99" s="296"/>
      <c r="Q99" s="296"/>
      <c r="R99" s="296"/>
      <c r="S99" s="296"/>
      <c r="T99" s="296"/>
      <c r="U99" s="296"/>
      <c r="V99" s="296"/>
    </row>
    <row r="100" spans="13:22">
      <c r="M100" s="296"/>
      <c r="O100" s="296"/>
      <c r="Q100" s="296"/>
      <c r="R100" s="296"/>
      <c r="S100" s="296"/>
      <c r="T100" s="296"/>
      <c r="U100" s="296"/>
      <c r="V100" s="296"/>
    </row>
    <row r="101" spans="13:22">
      <c r="M101" s="296"/>
      <c r="O101" s="296"/>
      <c r="Q101" s="296"/>
      <c r="R101" s="296"/>
      <c r="S101" s="296"/>
      <c r="T101" s="296"/>
      <c r="U101" s="296"/>
      <c r="V101" s="296"/>
    </row>
    <row r="102" spans="13:22">
      <c r="M102" s="296"/>
      <c r="O102" s="296"/>
      <c r="Q102" s="296"/>
      <c r="R102" s="296"/>
      <c r="S102" s="296"/>
      <c r="T102" s="296"/>
      <c r="U102" s="296"/>
      <c r="V102" s="296"/>
    </row>
    <row r="103" spans="13:22">
      <c r="M103" s="296"/>
      <c r="O103" s="296"/>
      <c r="Q103" s="296"/>
      <c r="R103" s="296"/>
      <c r="S103" s="296"/>
      <c r="T103" s="296"/>
      <c r="U103" s="296"/>
      <c r="V103" s="296"/>
    </row>
    <row r="104" spans="13:22">
      <c r="M104" s="296"/>
      <c r="O104" s="296"/>
      <c r="Q104" s="296"/>
      <c r="R104" s="296"/>
      <c r="S104" s="296"/>
      <c r="T104" s="296"/>
      <c r="U104" s="296"/>
      <c r="V104" s="296"/>
    </row>
    <row r="105" spans="13:22">
      <c r="M105" s="296"/>
      <c r="O105" s="296"/>
      <c r="Q105" s="296"/>
      <c r="R105" s="296"/>
      <c r="S105" s="296"/>
      <c r="T105" s="296"/>
      <c r="U105" s="296"/>
      <c r="V105" s="296"/>
    </row>
    <row r="106" spans="13:22">
      <c r="M106" s="296"/>
      <c r="O106" s="296"/>
      <c r="Q106" s="296"/>
      <c r="R106" s="296"/>
      <c r="S106" s="296"/>
      <c r="T106" s="296"/>
      <c r="U106" s="296"/>
      <c r="V106" s="296"/>
    </row>
    <row r="107" spans="13:22">
      <c r="M107" s="296"/>
      <c r="O107" s="296"/>
      <c r="Q107" s="296"/>
      <c r="R107" s="296"/>
      <c r="S107" s="296"/>
      <c r="T107" s="296"/>
      <c r="U107" s="296"/>
      <c r="V107" s="296"/>
    </row>
    <row r="108" spans="13:22">
      <c r="M108" s="296"/>
      <c r="O108" s="296"/>
      <c r="Q108" s="296"/>
      <c r="R108" s="296"/>
      <c r="S108" s="296"/>
      <c r="T108" s="296"/>
      <c r="U108" s="296"/>
      <c r="V108" s="296"/>
    </row>
    <row r="109" spans="13:22">
      <c r="M109" s="296"/>
      <c r="O109" s="296"/>
      <c r="Q109" s="296"/>
      <c r="R109" s="296"/>
      <c r="S109" s="296"/>
      <c r="T109" s="296"/>
      <c r="U109" s="296"/>
      <c r="V109" s="296"/>
    </row>
    <row r="110" spans="13:22">
      <c r="M110" s="296"/>
      <c r="O110" s="296"/>
      <c r="Q110" s="296"/>
      <c r="R110" s="296"/>
      <c r="S110" s="296"/>
      <c r="T110" s="296"/>
      <c r="U110" s="296"/>
      <c r="V110" s="296"/>
    </row>
    <row r="111" spans="13:22">
      <c r="M111" s="296"/>
      <c r="O111" s="296"/>
      <c r="Q111" s="296"/>
      <c r="R111" s="296"/>
      <c r="S111" s="296"/>
      <c r="T111" s="296"/>
      <c r="U111" s="296"/>
      <c r="V111" s="296"/>
    </row>
    <row r="112" spans="13:22">
      <c r="M112" s="296"/>
      <c r="O112" s="296"/>
      <c r="Q112" s="296"/>
      <c r="R112" s="296"/>
      <c r="S112" s="296"/>
      <c r="T112" s="296"/>
      <c r="U112" s="296"/>
      <c r="V112" s="296"/>
    </row>
    <row r="113" spans="13:22">
      <c r="M113" s="296"/>
      <c r="O113" s="296"/>
      <c r="Q113" s="296"/>
      <c r="R113" s="296"/>
      <c r="S113" s="296"/>
      <c r="T113" s="296"/>
      <c r="U113" s="296"/>
      <c r="V113" s="296"/>
    </row>
    <row r="114" spans="13:22">
      <c r="M114" s="296"/>
      <c r="O114" s="296"/>
      <c r="Q114" s="296"/>
      <c r="R114" s="296"/>
      <c r="S114" s="296"/>
      <c r="T114" s="296"/>
      <c r="U114" s="296"/>
      <c r="V114" s="296"/>
    </row>
  </sheetData>
  <autoFilter ref="A9:BA54"/>
  <mergeCells count="59">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28515625" style="257" customWidth="1"/>
    <col min="3" max="3" width="7.85546875" style="257" customWidth="1"/>
    <col min="4" max="4" width="8.28515625" style="257" customWidth="1"/>
    <col min="5" max="5" width="44.7109375" style="257" customWidth="1"/>
    <col min="6" max="6" width="15.140625" style="307" customWidth="1"/>
    <col min="7" max="8" width="5.85546875" style="258" customWidth="1"/>
    <col min="9" max="9" width="4.85546875" style="257" customWidth="1"/>
    <col min="10" max="10" width="13.28515625" style="257" customWidth="1"/>
    <col min="11" max="11" width="12.85546875" style="257" customWidth="1"/>
    <col min="12" max="15" width="13.42578125" style="257" customWidth="1"/>
    <col min="16" max="16" width="13.5703125" style="257" customWidth="1"/>
    <col min="17" max="17" width="13.28515625" style="257" customWidth="1"/>
    <col min="18" max="18" width="13.5703125" style="257" customWidth="1"/>
    <col min="19" max="19" width="11.42578125" style="257" customWidth="1"/>
    <col min="20" max="20" width="13.7109375" style="257" customWidth="1"/>
    <col min="21" max="21" width="4.42578125" style="257" customWidth="1"/>
    <col min="22" max="22" width="14.140625" style="257" customWidth="1"/>
    <col min="23" max="23" width="13.85546875" style="257" customWidth="1"/>
    <col min="24" max="24" width="5.42578125" style="257" customWidth="1"/>
    <col min="25" max="25" width="6.140625" style="257" customWidth="1"/>
    <col min="26" max="26" width="9.5703125" style="257" customWidth="1"/>
    <col min="27" max="27" width="9.7109375" style="257" customWidth="1"/>
    <col min="28" max="28" width="13" style="257" customWidth="1"/>
    <col min="29" max="29" width="12.85546875" style="257" customWidth="1"/>
    <col min="30" max="30" width="4.5703125" style="257" customWidth="1"/>
    <col min="31" max="31" width="13.85546875" style="257" customWidth="1"/>
    <col min="32" max="32" width="4.5703125" style="257" customWidth="1"/>
    <col min="33" max="33" width="13.85546875" style="257" customWidth="1"/>
    <col min="34" max="34" width="4.7109375" style="257" customWidth="1"/>
    <col min="35" max="35" width="12.5703125" style="257" customWidth="1"/>
    <col min="36" max="36" width="11.7109375" style="257" customWidth="1"/>
    <col min="37" max="37" width="5.28515625" style="257" customWidth="1"/>
    <col min="38" max="38" width="11.140625" style="257" customWidth="1"/>
    <col min="39" max="39" width="10.28515625" style="257" customWidth="1"/>
    <col min="40" max="40" width="9.5703125" style="257" customWidth="1"/>
    <col min="41" max="41" width="9.140625" style="257" customWidth="1"/>
    <col min="42" max="42" width="12.7109375" style="257" customWidth="1"/>
    <col min="43" max="43" width="12.5703125" style="257" customWidth="1"/>
    <col min="44" max="44" width="15.140625" style="257" customWidth="1"/>
    <col min="45" max="45" width="15.5703125" style="257" customWidth="1"/>
    <col min="46" max="47" width="10.85546875" style="257" customWidth="1"/>
    <col min="48" max="48" width="7" style="257" customWidth="1"/>
    <col min="49" max="49" width="7.7109375" style="257" customWidth="1"/>
    <col min="50" max="50" width="7.140625" style="257" customWidth="1"/>
    <col min="51" max="51" width="6.7109375" style="257" customWidth="1"/>
    <col min="52" max="52" width="14.7109375" style="257" customWidth="1"/>
    <col min="53" max="53" width="15.140625" style="257" customWidth="1"/>
    <col min="54" max="16384" width="9.140625" style="257"/>
  </cols>
  <sheetData>
    <row r="1" spans="1:105" ht="12.75" customHeight="1">
      <c r="A1" s="253"/>
      <c r="B1" s="254" t="s">
        <v>121</v>
      </c>
      <c r="C1" s="255"/>
      <c r="D1" s="255"/>
      <c r="E1" s="256"/>
      <c r="I1" s="255"/>
      <c r="K1" s="1215" t="s">
        <v>191</v>
      </c>
      <c r="L1" s="1215"/>
      <c r="M1" s="1215"/>
      <c r="N1" s="1215"/>
      <c r="O1" s="1215"/>
      <c r="P1" s="1215"/>
      <c r="Q1" s="1215"/>
      <c r="R1" s="256"/>
      <c r="T1" s="255"/>
      <c r="U1" s="255"/>
      <c r="V1" s="255"/>
      <c r="W1" s="255"/>
      <c r="X1" s="255"/>
      <c r="Y1" s="255"/>
      <c r="Z1" s="255"/>
      <c r="AA1" s="255"/>
      <c r="AB1" s="255"/>
      <c r="AC1" s="255"/>
      <c r="AD1" s="255"/>
      <c r="AE1" s="255"/>
      <c r="AF1" s="432"/>
      <c r="AG1" s="432"/>
      <c r="AH1" s="255"/>
      <c r="AI1" s="255"/>
      <c r="AJ1" s="255"/>
      <c r="AK1" s="255"/>
      <c r="AL1" s="255"/>
      <c r="AM1" s="255"/>
      <c r="AN1" s="255"/>
      <c r="AO1" s="255"/>
      <c r="AP1" s="256"/>
      <c r="AQ1" s="256"/>
      <c r="AR1" s="255"/>
      <c r="AS1" s="255"/>
      <c r="AT1" s="255"/>
      <c r="AU1" s="255"/>
      <c r="AV1" s="255"/>
      <c r="AW1" s="255"/>
      <c r="AX1" s="255"/>
      <c r="AY1" s="255"/>
      <c r="AZ1" s="255"/>
      <c r="BA1" s="255"/>
    </row>
    <row r="2" spans="1:105" ht="12.75" customHeight="1">
      <c r="A2" s="253"/>
      <c r="B2" s="254" t="s">
        <v>180</v>
      </c>
      <c r="C2" s="255"/>
      <c r="D2" s="255"/>
      <c r="E2" s="255"/>
      <c r="I2" s="259"/>
      <c r="K2" s="1216" t="s">
        <v>144</v>
      </c>
      <c r="L2" s="1216"/>
      <c r="M2" s="1216"/>
      <c r="N2" s="1216"/>
      <c r="O2" s="1216"/>
      <c r="P2" s="1216"/>
      <c r="Q2" s="1216"/>
      <c r="R2" s="260"/>
      <c r="T2" s="259"/>
      <c r="U2" s="259"/>
      <c r="V2" s="259"/>
      <c r="W2" s="259"/>
      <c r="X2" s="259"/>
      <c r="Y2" s="259"/>
      <c r="Z2" s="259"/>
      <c r="AA2" s="259"/>
      <c r="AB2" s="259"/>
      <c r="AC2" s="259"/>
      <c r="AD2" s="259"/>
      <c r="AE2" s="259"/>
      <c r="AF2" s="433"/>
      <c r="AG2" s="433"/>
      <c r="AH2" s="259"/>
      <c r="AI2" s="259"/>
      <c r="AJ2" s="259"/>
      <c r="AK2" s="259"/>
      <c r="AL2" s="259"/>
      <c r="AM2" s="259"/>
      <c r="AN2" s="259"/>
      <c r="AO2" s="259"/>
      <c r="AP2" s="260"/>
      <c r="AQ2" s="260"/>
      <c r="AR2" s="259"/>
      <c r="AS2" s="259"/>
      <c r="AT2" s="259"/>
      <c r="AU2" s="259"/>
      <c r="AV2" s="259"/>
      <c r="AW2" s="259"/>
      <c r="AX2" s="259"/>
      <c r="AY2" s="259"/>
      <c r="AZ2" s="259"/>
      <c r="BA2" s="259"/>
    </row>
    <row r="3" spans="1:105" ht="10.5" customHeight="1">
      <c r="A3" s="255"/>
      <c r="B3" s="255"/>
      <c r="C3" s="255"/>
      <c r="D3" s="255"/>
      <c r="E3" s="255"/>
      <c r="F3" s="308"/>
      <c r="G3" s="261"/>
      <c r="H3" s="261"/>
      <c r="I3" s="259"/>
      <c r="K3" s="1216"/>
      <c r="L3" s="1216"/>
      <c r="M3" s="1216"/>
      <c r="N3" s="1216"/>
      <c r="O3" s="1216"/>
      <c r="P3" s="1216"/>
      <c r="Q3" s="1216"/>
      <c r="R3" s="260"/>
      <c r="T3" s="259"/>
      <c r="U3" s="259"/>
      <c r="V3" s="259"/>
      <c r="W3" s="259"/>
      <c r="X3" s="259"/>
      <c r="Y3" s="259"/>
      <c r="Z3" s="259"/>
      <c r="AA3" s="259"/>
      <c r="AB3" s="259"/>
      <c r="AC3" s="259"/>
      <c r="AD3" s="259"/>
      <c r="AE3" s="259"/>
      <c r="AF3" s="433"/>
      <c r="AG3" s="433"/>
      <c r="AH3" s="259"/>
      <c r="AI3" s="259"/>
      <c r="AJ3" s="259"/>
      <c r="AK3" s="259"/>
      <c r="AL3" s="259"/>
      <c r="AM3" s="259"/>
      <c r="AN3" s="259"/>
      <c r="AO3" s="259"/>
      <c r="AP3" s="260"/>
      <c r="AQ3" s="260"/>
      <c r="AR3" s="259"/>
      <c r="AS3" s="259"/>
      <c r="AT3" s="259"/>
      <c r="AU3" s="259"/>
      <c r="AV3" s="259"/>
      <c r="AW3" s="259"/>
      <c r="AX3" s="259"/>
      <c r="AY3" s="259"/>
      <c r="AZ3" s="259"/>
      <c r="BA3" s="259"/>
    </row>
    <row r="4" spans="1:105" ht="19.5" customHeight="1">
      <c r="B4" s="1217" t="s">
        <v>112</v>
      </c>
      <c r="C4" s="1217"/>
      <c r="D4" s="1217"/>
      <c r="E4" s="1217"/>
      <c r="F4" s="1217"/>
      <c r="G4" s="1217"/>
      <c r="H4" s="1217"/>
      <c r="I4" s="1217"/>
      <c r="J4" s="1217"/>
      <c r="K4" s="1217"/>
      <c r="L4" s="1217"/>
      <c r="M4" s="1217"/>
      <c r="N4" s="1217"/>
      <c r="O4" s="1217"/>
      <c r="P4" s="1217"/>
      <c r="Q4" s="1217"/>
      <c r="R4" s="1217"/>
      <c r="S4" s="262"/>
      <c r="T4" s="264"/>
      <c r="U4" s="264"/>
      <c r="V4" s="264"/>
      <c r="W4" s="264"/>
      <c r="X4" s="264"/>
      <c r="Y4" s="264"/>
      <c r="Z4" s="264"/>
      <c r="AA4" s="264"/>
      <c r="AB4" s="264"/>
      <c r="AC4" s="264"/>
      <c r="AD4" s="264"/>
      <c r="AE4" s="264"/>
      <c r="AF4" s="264"/>
      <c r="AG4" s="264"/>
      <c r="AH4" s="264"/>
      <c r="AI4" s="264"/>
      <c r="AJ4" s="264"/>
      <c r="AK4" s="264"/>
      <c r="AL4" s="264"/>
      <c r="AM4" s="264"/>
      <c r="AN4" s="264"/>
      <c r="AO4" s="264"/>
      <c r="AP4" s="309"/>
      <c r="AQ4" s="309"/>
      <c r="AR4" s="264"/>
      <c r="AS4" s="264"/>
      <c r="AT4" s="264"/>
      <c r="AU4" s="264"/>
      <c r="AV4" s="264"/>
      <c r="AW4" s="264"/>
      <c r="AX4" s="264"/>
      <c r="AY4" s="264"/>
      <c r="AZ4" s="264"/>
      <c r="BA4" s="264"/>
    </row>
    <row r="5" spans="1:105" ht="15">
      <c r="B5" s="1218" t="s">
        <v>222</v>
      </c>
      <c r="C5" s="1218"/>
      <c r="D5" s="1218"/>
      <c r="E5" s="1218"/>
      <c r="F5" s="1218"/>
      <c r="G5" s="1218"/>
      <c r="H5" s="1218"/>
      <c r="I5" s="1218"/>
      <c r="J5" s="1218"/>
      <c r="K5" s="1218"/>
      <c r="L5" s="1218"/>
      <c r="M5" s="1218"/>
      <c r="N5" s="1218"/>
      <c r="O5" s="1218"/>
      <c r="P5" s="1218"/>
      <c r="Q5" s="1218"/>
      <c r="R5" s="1218"/>
      <c r="S5" s="265"/>
      <c r="AP5" s="265"/>
      <c r="AQ5" s="265"/>
    </row>
    <row r="7" spans="1:105" ht="13.5" customHeight="1">
      <c r="A7" s="1219" t="s">
        <v>37</v>
      </c>
      <c r="B7" s="1213" t="s">
        <v>22</v>
      </c>
      <c r="C7" s="1221" t="s">
        <v>1</v>
      </c>
      <c r="D7" s="1222"/>
      <c r="E7" s="1213" t="s">
        <v>0</v>
      </c>
      <c r="F7" s="1213" t="s">
        <v>113</v>
      </c>
      <c r="G7" s="1223" t="s">
        <v>114</v>
      </c>
      <c r="H7" s="1223"/>
      <c r="I7" s="1214" t="s">
        <v>37</v>
      </c>
      <c r="J7" s="1213" t="s">
        <v>193</v>
      </c>
      <c r="K7" s="1213"/>
      <c r="L7" s="1213" t="s">
        <v>194</v>
      </c>
      <c r="M7" s="1213"/>
      <c r="N7" s="1213" t="s">
        <v>269</v>
      </c>
      <c r="O7" s="1213"/>
      <c r="P7" s="1213" t="s">
        <v>981</v>
      </c>
      <c r="Q7" s="1213"/>
      <c r="R7" s="1213" t="s">
        <v>195</v>
      </c>
      <c r="S7" s="1213"/>
      <c r="T7" s="1213" t="s">
        <v>196</v>
      </c>
      <c r="U7" s="1213"/>
      <c r="V7" s="1213" t="s">
        <v>982</v>
      </c>
      <c r="W7" s="1213"/>
      <c r="X7" s="1213" t="s">
        <v>983</v>
      </c>
      <c r="Y7" s="1213"/>
      <c r="Z7" s="1213" t="s">
        <v>984</v>
      </c>
      <c r="AA7" s="1213"/>
      <c r="AB7" s="1213" t="s">
        <v>985</v>
      </c>
      <c r="AC7" s="1213"/>
      <c r="AD7" s="1213" t="s">
        <v>986</v>
      </c>
      <c r="AE7" s="1213"/>
      <c r="AF7" s="1213" t="s">
        <v>987</v>
      </c>
      <c r="AG7" s="1213"/>
      <c r="AH7" s="1213" t="s">
        <v>988</v>
      </c>
      <c r="AI7" s="1213"/>
      <c r="AJ7" s="1213" t="s">
        <v>989</v>
      </c>
      <c r="AK7" s="1213"/>
      <c r="AL7" s="1213" t="s">
        <v>990</v>
      </c>
      <c r="AM7" s="1213"/>
      <c r="AN7" s="1213" t="s">
        <v>991</v>
      </c>
      <c r="AO7" s="1213"/>
      <c r="AP7" s="1213" t="s">
        <v>992</v>
      </c>
      <c r="AQ7" s="1213"/>
      <c r="AR7" s="1213" t="s">
        <v>993</v>
      </c>
      <c r="AS7" s="1213"/>
      <c r="AT7" s="1213" t="s">
        <v>197</v>
      </c>
      <c r="AU7" s="1213"/>
      <c r="AV7" s="1213" t="s">
        <v>198</v>
      </c>
      <c r="AW7" s="1213"/>
      <c r="AX7" s="1213" t="s">
        <v>994</v>
      </c>
      <c r="AY7" s="1213"/>
      <c r="AZ7" s="1213" t="s">
        <v>995</v>
      </c>
      <c r="BA7" s="1213"/>
      <c r="BB7" s="1213" t="s">
        <v>996</v>
      </c>
      <c r="BC7" s="1213"/>
      <c r="BD7" s="1213" t="s">
        <v>199</v>
      </c>
      <c r="BE7" s="1213"/>
      <c r="BF7" s="1213" t="s">
        <v>997</v>
      </c>
      <c r="BG7" s="1213"/>
      <c r="BH7" s="1213" t="s">
        <v>200</v>
      </c>
      <c r="BI7" s="1213"/>
      <c r="BJ7" s="1213" t="s">
        <v>998</v>
      </c>
      <c r="BK7" s="1213"/>
      <c r="BL7" s="1213" t="s">
        <v>999</v>
      </c>
      <c r="BM7" s="1213"/>
      <c r="BN7" s="1213" t="s">
        <v>1000</v>
      </c>
      <c r="BO7" s="1213"/>
      <c r="BP7" s="1213" t="s">
        <v>1001</v>
      </c>
      <c r="BQ7" s="1213"/>
      <c r="BR7" s="1213" t="s">
        <v>201</v>
      </c>
      <c r="BS7" s="1213"/>
      <c r="BT7" s="1213" t="s">
        <v>202</v>
      </c>
      <c r="BU7" s="1213"/>
      <c r="BV7" s="1213" t="s">
        <v>264</v>
      </c>
      <c r="BW7" s="1213"/>
      <c r="BX7" s="1213" t="s">
        <v>203</v>
      </c>
      <c r="BY7" s="1213"/>
      <c r="BZ7" s="1213" t="s">
        <v>204</v>
      </c>
      <c r="CA7" s="1213"/>
      <c r="CB7" s="1213" t="s">
        <v>205</v>
      </c>
      <c r="CC7" s="1213"/>
      <c r="CD7" s="1213" t="s">
        <v>1002</v>
      </c>
      <c r="CE7" s="1213"/>
      <c r="CF7" s="1213" t="s">
        <v>1003</v>
      </c>
      <c r="CG7" s="1213"/>
      <c r="CH7" s="1213" t="s">
        <v>206</v>
      </c>
      <c r="CI7" s="1213"/>
      <c r="CJ7" s="1213" t="s">
        <v>1004</v>
      </c>
      <c r="CK7" s="1213"/>
      <c r="CL7" s="1213" t="s">
        <v>1005</v>
      </c>
      <c r="CM7" s="1213"/>
      <c r="CN7" s="1213" t="s">
        <v>207</v>
      </c>
      <c r="CO7" s="1213"/>
      <c r="CP7" s="1213" t="s">
        <v>1006</v>
      </c>
      <c r="CQ7" s="1213"/>
      <c r="CR7" s="1213" t="s">
        <v>208</v>
      </c>
      <c r="CS7" s="1213"/>
      <c r="CT7" s="1213" t="s">
        <v>209</v>
      </c>
      <c r="CU7" s="1213"/>
      <c r="CV7" s="1213" t="s">
        <v>210</v>
      </c>
      <c r="CW7" s="1213"/>
      <c r="CX7" s="1213" t="s">
        <v>211</v>
      </c>
      <c r="CY7" s="1213"/>
      <c r="CZ7" s="1213" t="s">
        <v>212</v>
      </c>
      <c r="DA7" s="1213"/>
    </row>
    <row r="8" spans="1:105" ht="22.5" customHeight="1">
      <c r="A8" s="1220"/>
      <c r="B8" s="1213"/>
      <c r="C8" s="1006" t="s">
        <v>17</v>
      </c>
      <c r="D8" s="1005" t="s">
        <v>34</v>
      </c>
      <c r="E8" s="1213"/>
      <c r="F8" s="1213"/>
      <c r="G8" s="1007" t="s">
        <v>24</v>
      </c>
      <c r="H8" s="1007" t="s">
        <v>25</v>
      </c>
      <c r="I8" s="1214"/>
      <c r="J8" s="1005" t="s">
        <v>24</v>
      </c>
      <c r="K8" s="1005" t="s">
        <v>25</v>
      </c>
      <c r="L8" s="1005" t="s">
        <v>24</v>
      </c>
      <c r="M8" s="1005" t="s">
        <v>25</v>
      </c>
      <c r="N8" s="1005" t="s">
        <v>24</v>
      </c>
      <c r="O8" s="1005" t="s">
        <v>25</v>
      </c>
      <c r="P8" s="1005" t="s">
        <v>24</v>
      </c>
      <c r="Q8" s="1005" t="s">
        <v>25</v>
      </c>
      <c r="R8" s="1005" t="s">
        <v>24</v>
      </c>
      <c r="S8" s="1005" t="s">
        <v>25</v>
      </c>
      <c r="T8" s="1005" t="s">
        <v>24</v>
      </c>
      <c r="U8" s="1005" t="s">
        <v>25</v>
      </c>
      <c r="V8" s="1005" t="s">
        <v>24</v>
      </c>
      <c r="W8" s="1005" t="s">
        <v>25</v>
      </c>
      <c r="X8" s="1005" t="s">
        <v>24</v>
      </c>
      <c r="Y8" s="1005" t="s">
        <v>25</v>
      </c>
      <c r="Z8" s="1005" t="s">
        <v>24</v>
      </c>
      <c r="AA8" s="1005" t="s">
        <v>25</v>
      </c>
      <c r="AB8" s="1005" t="s">
        <v>24</v>
      </c>
      <c r="AC8" s="1005" t="s">
        <v>25</v>
      </c>
      <c r="AD8" s="1005" t="s">
        <v>24</v>
      </c>
      <c r="AE8" s="1005" t="s">
        <v>25</v>
      </c>
      <c r="AF8" s="1005" t="s">
        <v>24</v>
      </c>
      <c r="AG8" s="1005" t="s">
        <v>25</v>
      </c>
      <c r="AH8" s="1005" t="s">
        <v>24</v>
      </c>
      <c r="AI8" s="1005" t="s">
        <v>25</v>
      </c>
      <c r="AJ8" s="1005" t="s">
        <v>24</v>
      </c>
      <c r="AK8" s="1005" t="s">
        <v>25</v>
      </c>
      <c r="AL8" s="1005" t="s">
        <v>24</v>
      </c>
      <c r="AM8" s="1005" t="s">
        <v>25</v>
      </c>
      <c r="AN8" s="1005" t="s">
        <v>24</v>
      </c>
      <c r="AO8" s="1005" t="s">
        <v>25</v>
      </c>
      <c r="AP8" s="1005" t="s">
        <v>24</v>
      </c>
      <c r="AQ8" s="1005" t="s">
        <v>25</v>
      </c>
      <c r="AR8" s="1005" t="s">
        <v>24</v>
      </c>
      <c r="AS8" s="1005" t="s">
        <v>25</v>
      </c>
      <c r="AT8" s="1005" t="s">
        <v>24</v>
      </c>
      <c r="AU8" s="1005" t="s">
        <v>25</v>
      </c>
      <c r="AV8" s="1005" t="s">
        <v>24</v>
      </c>
      <c r="AW8" s="1005" t="s">
        <v>25</v>
      </c>
      <c r="AX8" s="1005" t="s">
        <v>24</v>
      </c>
      <c r="AY8" s="1005" t="s">
        <v>25</v>
      </c>
      <c r="AZ8" s="1005" t="s">
        <v>24</v>
      </c>
      <c r="BA8" s="1005" t="s">
        <v>25</v>
      </c>
      <c r="BB8" s="1005" t="s">
        <v>24</v>
      </c>
      <c r="BC8" s="1005" t="s">
        <v>25</v>
      </c>
      <c r="BD8" s="1005" t="s">
        <v>24</v>
      </c>
      <c r="BE8" s="1005" t="s">
        <v>25</v>
      </c>
      <c r="BF8" s="1005" t="s">
        <v>24</v>
      </c>
      <c r="BG8" s="1005" t="s">
        <v>25</v>
      </c>
      <c r="BH8" s="1005" t="s">
        <v>24</v>
      </c>
      <c r="BI8" s="1005" t="s">
        <v>25</v>
      </c>
      <c r="BJ8" s="1005" t="s">
        <v>24</v>
      </c>
      <c r="BK8" s="1005" t="s">
        <v>25</v>
      </c>
      <c r="BL8" s="1005" t="s">
        <v>24</v>
      </c>
      <c r="BM8" s="1005" t="s">
        <v>25</v>
      </c>
      <c r="BN8" s="1005" t="s">
        <v>24</v>
      </c>
      <c r="BO8" s="1005" t="s">
        <v>25</v>
      </c>
      <c r="BP8" s="1005" t="s">
        <v>24</v>
      </c>
      <c r="BQ8" s="1005" t="s">
        <v>25</v>
      </c>
      <c r="BR8" s="1005" t="s">
        <v>24</v>
      </c>
      <c r="BS8" s="1005" t="s">
        <v>25</v>
      </c>
      <c r="BT8" s="1005" t="s">
        <v>24</v>
      </c>
      <c r="BU8" s="1005" t="s">
        <v>25</v>
      </c>
      <c r="BV8" s="1005" t="s">
        <v>24</v>
      </c>
      <c r="BW8" s="1005" t="s">
        <v>25</v>
      </c>
      <c r="BX8" s="1005" t="s">
        <v>24</v>
      </c>
      <c r="BY8" s="1005" t="s">
        <v>25</v>
      </c>
      <c r="BZ8" s="1005" t="s">
        <v>24</v>
      </c>
      <c r="CA8" s="1005" t="s">
        <v>25</v>
      </c>
      <c r="CB8" s="1005" t="s">
        <v>24</v>
      </c>
      <c r="CC8" s="1005" t="s">
        <v>25</v>
      </c>
      <c r="CD8" s="1005" t="s">
        <v>24</v>
      </c>
      <c r="CE8" s="1005" t="s">
        <v>25</v>
      </c>
      <c r="CF8" s="1005" t="s">
        <v>24</v>
      </c>
      <c r="CG8" s="1005" t="s">
        <v>25</v>
      </c>
      <c r="CH8" s="1005" t="s">
        <v>24</v>
      </c>
      <c r="CI8" s="1005" t="s">
        <v>25</v>
      </c>
      <c r="CJ8" s="1005" t="s">
        <v>24</v>
      </c>
      <c r="CK8" s="1005" t="s">
        <v>25</v>
      </c>
      <c r="CL8" s="1005" t="s">
        <v>24</v>
      </c>
      <c r="CM8" s="1005" t="s">
        <v>25</v>
      </c>
      <c r="CN8" s="1005" t="s">
        <v>24</v>
      </c>
      <c r="CO8" s="1005" t="s">
        <v>25</v>
      </c>
      <c r="CP8" s="1005" t="s">
        <v>24</v>
      </c>
      <c r="CQ8" s="1005" t="s">
        <v>25</v>
      </c>
      <c r="CR8" s="1005" t="s">
        <v>24</v>
      </c>
      <c r="CS8" s="1005" t="s">
        <v>25</v>
      </c>
      <c r="CT8" s="1005" t="s">
        <v>24</v>
      </c>
      <c r="CU8" s="1005" t="s">
        <v>25</v>
      </c>
      <c r="CV8" s="1005" t="s">
        <v>24</v>
      </c>
      <c r="CW8" s="1005" t="s">
        <v>25</v>
      </c>
      <c r="CX8" s="1005" t="s">
        <v>24</v>
      </c>
      <c r="CY8" s="1005" t="s">
        <v>25</v>
      </c>
      <c r="CZ8" s="1005" t="s">
        <v>24</v>
      </c>
      <c r="DA8" s="1005"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'SC-II'!J53</f>
        <v>3705039095</v>
      </c>
      <c r="K10" s="275">
        <f ca="1">'SC-II'!K53</f>
        <v>0</v>
      </c>
      <c r="L10" s="275">
        <f ca="1">'SC-II'!L53</f>
        <v>19829295</v>
      </c>
      <c r="M10" s="275">
        <f ca="1">'SC-II'!M53</f>
        <v>0</v>
      </c>
      <c r="N10" s="275">
        <f ca="1">'SC-II'!N53</f>
        <v>2236796790</v>
      </c>
      <c r="O10" s="275">
        <f ca="1">'SC-II'!O53</f>
        <v>0</v>
      </c>
      <c r="P10" s="275">
        <f ca="1">'SC-II'!P53</f>
        <v>3343381600</v>
      </c>
      <c r="Q10" s="275">
        <f ca="1">'SC-II'!Q53</f>
        <v>0</v>
      </c>
      <c r="R10" s="275">
        <f ca="1">'SC-II'!R53</f>
        <v>162420936</v>
      </c>
      <c r="S10" s="275">
        <f ca="1">'SC-II'!S53</f>
        <v>0</v>
      </c>
      <c r="T10" s="275">
        <f ca="1">'SC-II'!T53</f>
        <v>1500000000</v>
      </c>
      <c r="U10" s="275">
        <f ca="1">'SC-II'!U53</f>
        <v>0</v>
      </c>
      <c r="V10" s="275">
        <f ca="1">'SC-II'!V53</f>
        <v>0</v>
      </c>
      <c r="W10" s="275">
        <f ca="1">'SC-II'!W53</f>
        <v>0</v>
      </c>
      <c r="X10" s="275">
        <f ca="1">'SC-II'!X53</f>
        <v>2772400000</v>
      </c>
      <c r="Y10" s="275">
        <f ca="1">'SC-II'!Y53</f>
        <v>0</v>
      </c>
      <c r="Z10" s="275">
        <f ca="1">'SC-II'!Z53</f>
        <v>526519887</v>
      </c>
      <c r="AA10" s="275">
        <f ca="1">'SC-II'!AA53</f>
        <v>0</v>
      </c>
      <c r="AB10" s="275">
        <f ca="1">'SC-II'!AB53</f>
        <v>0</v>
      </c>
      <c r="AC10" s="275">
        <f ca="1">'SC-II'!AC53</f>
        <v>0</v>
      </c>
      <c r="AD10" s="275">
        <f ca="1">'SC-II'!AD53</f>
        <v>0</v>
      </c>
      <c r="AE10" s="275">
        <f ca="1">'SC-II'!AE53</f>
        <v>0</v>
      </c>
      <c r="AF10" s="275">
        <f ca="1">'SC-II'!AF53</f>
        <v>9386323824</v>
      </c>
      <c r="AG10" s="275">
        <f ca="1">'SC-II'!AG53</f>
        <v>0</v>
      </c>
      <c r="AH10" s="275">
        <f ca="1">'SC-II'!AH53</f>
        <v>7490743648</v>
      </c>
      <c r="AI10" s="275">
        <f ca="1">'SC-II'!AI53</f>
        <v>0</v>
      </c>
      <c r="AJ10" s="275">
        <f ca="1">'SC-II'!AJ53</f>
        <v>3807898863</v>
      </c>
      <c r="AK10" s="275">
        <f ca="1">'SC-II'!AK53</f>
        <v>0</v>
      </c>
      <c r="AL10" s="275">
        <f ca="1">'SC-II'!AL53</f>
        <v>3790918485</v>
      </c>
      <c r="AM10" s="275">
        <f ca="1">'SC-II'!AM53</f>
        <v>0</v>
      </c>
      <c r="AN10" s="275">
        <f ca="1">'SC-II'!AN53</f>
        <v>5405781300</v>
      </c>
      <c r="AO10" s="275">
        <f ca="1">'SC-II'!AO53</f>
        <v>0</v>
      </c>
      <c r="AP10" s="275">
        <f ca="1">'SC-II'!AP53</f>
        <v>0</v>
      </c>
      <c r="AQ10" s="275">
        <f ca="1">'SC-II'!AQ53</f>
        <v>9132359256</v>
      </c>
      <c r="AR10" s="275">
        <f ca="1">'SC-II'!AR53</f>
        <v>0</v>
      </c>
      <c r="AS10" s="275">
        <f ca="1">'SC-II'!AS53</f>
        <v>600642360</v>
      </c>
      <c r="AT10" s="275">
        <f ca="1">'SC-II'!AT53</f>
        <v>0</v>
      </c>
      <c r="AU10" s="275">
        <f ca="1">'SC-II'!AU53</f>
        <v>0</v>
      </c>
      <c r="AV10" s="275">
        <f ca="1">'SC-II'!AV53</f>
        <v>0</v>
      </c>
      <c r="AW10" s="275">
        <f ca="1">'SC-II'!AW53</f>
        <v>476953252</v>
      </c>
      <c r="AX10" s="275">
        <f ca="1">'SC-II'!AX53</f>
        <v>0</v>
      </c>
      <c r="AY10" s="275">
        <f ca="1">'SC-II'!AY53</f>
        <v>0</v>
      </c>
      <c r="AZ10" s="275">
        <f ca="1">'SC-II'!AZ53</f>
        <v>0</v>
      </c>
      <c r="BA10" s="275">
        <f ca="1">'SC-II'!BA53</f>
        <v>0</v>
      </c>
      <c r="BB10" s="275">
        <f ca="1">'SC-II'!BB53</f>
        <v>0</v>
      </c>
      <c r="BC10" s="275">
        <f ca="1">'SC-II'!BC53</f>
        <v>0</v>
      </c>
      <c r="BD10" s="275">
        <f ca="1">'SC-II'!BD53</f>
        <v>0</v>
      </c>
      <c r="BE10" s="275">
        <f ca="1">'SC-II'!BE53</f>
        <v>3313435</v>
      </c>
      <c r="BF10" s="275">
        <f ca="1">'SC-II'!BF53</f>
        <v>3389804</v>
      </c>
      <c r="BG10" s="275">
        <f ca="1">'SC-II'!BG53</f>
        <v>0</v>
      </c>
      <c r="BH10" s="275">
        <f ca="1">'SC-II'!BH53</f>
        <v>0</v>
      </c>
      <c r="BI10" s="275">
        <f ca="1">'SC-II'!BI53</f>
        <v>0</v>
      </c>
      <c r="BJ10" s="275">
        <f ca="1">'SC-II'!BJ53</f>
        <v>0</v>
      </c>
      <c r="BK10" s="275">
        <f ca="1">'SC-II'!BK53</f>
        <v>0</v>
      </c>
      <c r="BL10" s="275">
        <f ca="1">'SC-II'!BL53</f>
        <v>0</v>
      </c>
      <c r="BM10" s="275">
        <f ca="1">'SC-II'!BM53</f>
        <v>40272309</v>
      </c>
      <c r="BN10" s="275">
        <f ca="1">'SC-II'!BN53</f>
        <v>0</v>
      </c>
      <c r="BO10" s="275">
        <f ca="1">'SC-II'!BO53</f>
        <v>6403142</v>
      </c>
      <c r="BP10" s="275">
        <f ca="1">'SC-II'!BP53</f>
        <v>0</v>
      </c>
      <c r="BQ10" s="275">
        <f ca="1">'SC-II'!BQ53</f>
        <v>2761373</v>
      </c>
      <c r="BR10" s="275">
        <f ca="1">'SC-II'!BR53</f>
        <v>0</v>
      </c>
      <c r="BS10" s="275">
        <f ca="1">'SC-II'!BS53</f>
        <v>0</v>
      </c>
      <c r="BT10" s="275">
        <f ca="1">'SC-II'!BT53</f>
        <v>0</v>
      </c>
      <c r="BU10" s="275">
        <f ca="1">'SC-II'!BU53</f>
        <v>2169121879</v>
      </c>
      <c r="BV10" s="275">
        <f ca="1">'SC-II'!BV53</f>
        <v>0</v>
      </c>
      <c r="BW10" s="275">
        <f ca="1">'SC-II'!BW53</f>
        <v>21202920500</v>
      </c>
      <c r="BX10" s="275">
        <f ca="1">'SC-II'!BX53</f>
        <v>0</v>
      </c>
      <c r="BY10" s="275">
        <f ca="1">'SC-II'!BY53</f>
        <v>10000000000</v>
      </c>
      <c r="BZ10" s="275">
        <f ca="1">'SC-II'!BZ53</f>
        <v>0</v>
      </c>
      <c r="CA10" s="275">
        <f ca="1">'SC-II'!CA53</f>
        <v>594397022.00000048</v>
      </c>
      <c r="CB10" s="275">
        <f ca="1">'SC-II'!CB53</f>
        <v>77701001</v>
      </c>
      <c r="CC10" s="275">
        <f ca="1">'SC-II'!CC53</f>
        <v>0</v>
      </c>
      <c r="CD10" s="275">
        <f ca="1">'SC-II'!CD53</f>
        <v>0</v>
      </c>
      <c r="CE10" s="275">
        <f ca="1">'SC-II'!CE53</f>
        <v>0</v>
      </c>
      <c r="CF10" s="275">
        <f ca="1">'SC-II'!CF53</f>
        <v>0</v>
      </c>
      <c r="CG10" s="275">
        <f ca="1">'SC-II'!CG53</f>
        <v>0</v>
      </c>
      <c r="CH10" s="275">
        <f ca="1">'SC-II'!CH53</f>
        <v>0</v>
      </c>
      <c r="CI10" s="275">
        <f ca="1">'SC-II'!CI53</f>
        <v>0</v>
      </c>
      <c r="CJ10" s="275">
        <f ca="1">'SC-II'!CJ53</f>
        <v>0</v>
      </c>
      <c r="CK10" s="275">
        <f ca="1">'SC-II'!CK53</f>
        <v>0</v>
      </c>
      <c r="CL10" s="275">
        <f ca="1">'SC-II'!CL53</f>
        <v>0</v>
      </c>
      <c r="CM10" s="275">
        <f ca="1">'SC-II'!CM53</f>
        <v>0</v>
      </c>
      <c r="CN10" s="275">
        <f ca="1">'SC-II'!CN53</f>
        <v>0</v>
      </c>
      <c r="CO10" s="275">
        <f ca="1">'SC-II'!CO53</f>
        <v>0</v>
      </c>
      <c r="CP10" s="275">
        <f ca="1">'SC-II'!CP53</f>
        <v>0</v>
      </c>
      <c r="CQ10" s="275">
        <f ca="1">'SC-II'!CQ53</f>
        <v>0</v>
      </c>
      <c r="CR10" s="275">
        <f ca="1">'SC-II'!CR53</f>
        <v>0</v>
      </c>
      <c r="CS10" s="275">
        <f ca="1">'SC-II'!CS53</f>
        <v>0</v>
      </c>
      <c r="CT10" s="275">
        <f ca="1">'SC-II'!CT53</f>
        <v>0</v>
      </c>
      <c r="CU10" s="275">
        <f ca="1">'SC-II'!CU53</f>
        <v>0</v>
      </c>
      <c r="CV10" s="275">
        <f ca="1">'SC-II'!CV53</f>
        <v>0</v>
      </c>
      <c r="CW10" s="275">
        <f ca="1">'SC-II'!CW53</f>
        <v>0</v>
      </c>
      <c r="CX10" s="275">
        <f ca="1">'SC-II'!CX53</f>
        <v>0</v>
      </c>
      <c r="CY10" s="275">
        <f ca="1">'SC-II'!CY53</f>
        <v>0</v>
      </c>
      <c r="CZ10" s="275">
        <f ca="1">'SC-II'!CZ53</f>
        <v>0</v>
      </c>
      <c r="DA10" s="275">
        <f ca="1">'SC-II'!DA53</f>
        <v>0</v>
      </c>
    </row>
    <row r="11" spans="1:105" s="276" customFormat="1" ht="15.75" customHeight="1">
      <c r="A11" s="63">
        <f t="array" aca="1" ref="A11" ca="1">IF(C11&lt;&gt;0,SUM(($C$11:C11&lt;&gt;0)*1),"")</f>
        <v>1</v>
      </c>
      <c r="B11" s="277" t="str">
        <f ca="1">IF(ROWS($1:1)&gt;COUNT(Dong8),"",OFFSET(TH!C$1,SMALL(Dong8,ROWS($1:1)),))</f>
        <v/>
      </c>
      <c r="C11" s="277" t="str">
        <f ca="1">IF(ROWS($1:1)&gt;COUNT(Dong8),"",OFFSET(TH!D$1,SMALL(Dong8,ROWS($1:1)),))</f>
        <v/>
      </c>
      <c r="D11" s="277" t="str">
        <f ca="1">IF(ROWS($1:1)&gt;COUNT(Dong8),"",OFFSET(TH!E$1,SMALL(Dong8,ROWS($1:1)),))</f>
        <v/>
      </c>
      <c r="E11" s="372" t="str">
        <f ca="1">IF(ROWS($1:1)&gt;COUNT(Dong8),"",OFFSET(TH!F$1,SMALL(Dong8,ROWS($1:1)),))</f>
        <v/>
      </c>
      <c r="F11" s="328" t="str">
        <f ca="1">IF(ROWS($1:1)&gt;COUNT(Dong8),"",OFFSET(TH!M$1,SMALL(Dong8,ROWS($1:1)),))</f>
        <v/>
      </c>
      <c r="G11" s="330" t="str">
        <f ca="1">IF(ROWS($1:1)&gt;COUNT(Dong8),"",OFFSET(TH!N$1,SMALL(Dong8,ROWS($1:1)),))</f>
        <v/>
      </c>
      <c r="H11" s="330" t="str">
        <f ca="1">IF(ROWS($1:1)&gt;COUNT(Dong8),"",OFFSET(TH!O$1,SMALL(Dong8,ROWS($1:1)),))</f>
        <v/>
      </c>
      <c r="I11" s="63">
        <f t="shared" ref="I11:I26"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75" customHeight="1">
      <c r="A12" s="63" t="str">
        <f t="array" ref="A12">IF(C12&lt;&gt;0,SUM(($C$11:C12&lt;&gt;0)*1),"")</f>
        <v/>
      </c>
      <c r="B12" s="277"/>
      <c r="C12" s="277"/>
      <c r="D12" s="277"/>
      <c r="E12" s="372"/>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75" customHeight="1">
      <c r="A13" s="63" t="str">
        <f t="array" ref="A13">IF(C13&lt;&gt;0,SUM(($C$11:C13&lt;&gt;0)*1),"")</f>
        <v/>
      </c>
      <c r="B13" s="277"/>
      <c r="C13" s="277"/>
      <c r="D13" s="277"/>
      <c r="E13" s="372"/>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75" customHeight="1">
      <c r="A14" s="63" t="str">
        <f t="array" ref="A14">IF(C14&lt;&gt;0,SUM(($C$11:C14&lt;&gt;0)*1),"")</f>
        <v/>
      </c>
      <c r="B14" s="277"/>
      <c r="C14" s="277"/>
      <c r="D14" s="277"/>
      <c r="E14" s="372"/>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75" customHeight="1">
      <c r="A15" s="63" t="str">
        <f t="array" ref="A15">IF(C15&lt;&gt;0,SUM(($C$11:C15&lt;&gt;0)*1),"")</f>
        <v/>
      </c>
      <c r="B15" s="277"/>
      <c r="C15" s="277"/>
      <c r="D15" s="277"/>
      <c r="E15" s="372"/>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75" customHeight="1">
      <c r="A16" s="63" t="str">
        <f t="array" ref="A16">IF(C16&lt;&gt;0,SUM(($C$11:C16&lt;&gt;0)*1),"")</f>
        <v/>
      </c>
      <c r="B16" s="277"/>
      <c r="C16" s="277"/>
      <c r="D16" s="277"/>
      <c r="E16" s="372"/>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75" customHeight="1">
      <c r="A17" s="63" t="str">
        <f t="array" ref="A17">IF(C17&lt;&gt;0,SUM(($C$11:C17&lt;&gt;0)*1),"")</f>
        <v/>
      </c>
      <c r="B17" s="277"/>
      <c r="C17" s="277"/>
      <c r="D17" s="277"/>
      <c r="E17" s="372"/>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75" customHeight="1">
      <c r="A18" s="63" t="str">
        <f t="array" ref="A18">IF(C18&lt;&gt;0,SUM(($C$11:C18&lt;&gt;0)*1),"")</f>
        <v/>
      </c>
      <c r="B18" s="277"/>
      <c r="C18" s="277"/>
      <c r="D18" s="277"/>
      <c r="E18" s="372"/>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75" customHeight="1">
      <c r="A19" s="63" t="str">
        <f t="array" ref="A19">IF(C19&lt;&gt;0,SUM(($C$11:C19&lt;&gt;0)*1),"")</f>
        <v/>
      </c>
      <c r="B19" s="277"/>
      <c r="C19" s="277"/>
      <c r="D19" s="277"/>
      <c r="E19" s="372"/>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75" customHeight="1">
      <c r="A20" s="63" t="str">
        <f t="array" ref="A20">IF(C20&lt;&gt;0,SUM(($C$11:C20&lt;&gt;0)*1),"")</f>
        <v/>
      </c>
      <c r="B20" s="277"/>
      <c r="C20" s="277"/>
      <c r="D20" s="277"/>
      <c r="E20" s="372"/>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75" customHeight="1">
      <c r="A21" s="63" t="str">
        <f t="array" ref="A21">IF(C21&lt;&gt;0,SUM(($C$11:C21&lt;&gt;0)*1),"")</f>
        <v/>
      </c>
      <c r="B21" s="277"/>
      <c r="C21" s="277"/>
      <c r="D21" s="277"/>
      <c r="E21" s="372"/>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75" customHeight="1">
      <c r="A22" s="63" t="str">
        <f t="array" ref="A22">IF(C22&lt;&gt;0,SUM(($C$11:C22&lt;&gt;0)*1),"")</f>
        <v/>
      </c>
      <c r="B22" s="277"/>
      <c r="C22" s="277"/>
      <c r="D22" s="277"/>
      <c r="E22" s="372"/>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75" customHeight="1">
      <c r="A23" s="63" t="str">
        <f t="array" ref="A23">IF(C23&lt;&gt;0,SUM(($C$11:C23&lt;&gt;0)*1),"")</f>
        <v/>
      </c>
      <c r="B23" s="277"/>
      <c r="C23" s="277"/>
      <c r="D23" s="277"/>
      <c r="E23" s="372"/>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75" customHeight="1">
      <c r="A24" s="63" t="str">
        <f t="array" ref="A24">IF(C24&lt;&gt;0,SUM(($C$11:C24&lt;&gt;0)*1),"")</f>
        <v/>
      </c>
      <c r="B24" s="277"/>
      <c r="C24" s="277"/>
      <c r="D24" s="277"/>
      <c r="E24" s="372"/>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75" customHeight="1">
      <c r="A25" s="63" t="str">
        <f t="array" ref="A25">IF(C25&lt;&gt;0,SUM(($C$11:C25&lt;&gt;0)*1),"")</f>
        <v/>
      </c>
      <c r="B25" s="277"/>
      <c r="C25" s="277"/>
      <c r="D25" s="277"/>
      <c r="E25" s="372"/>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75" customHeight="1">
      <c r="A26" s="63" t="str">
        <f t="array" ref="A26">IF(C26&lt;&gt;0,SUM(($C$11:C26&lt;&gt;0)*1),"")</f>
        <v/>
      </c>
      <c r="B26" s="277"/>
      <c r="C26" s="277"/>
      <c r="D26" s="277"/>
      <c r="E26" s="372"/>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75" customHeight="1">
      <c r="A27" s="63" t="str">
        <f t="array" ref="A27">IF(C27&lt;&gt;0,SUM(($C$11:C27&lt;&gt;0)*1),"")</f>
        <v/>
      </c>
      <c r="B27" s="277"/>
      <c r="C27" s="277"/>
      <c r="D27" s="277"/>
      <c r="E27" s="372"/>
      <c r="F27" s="328"/>
      <c r="G27" s="330"/>
      <c r="H27" s="330"/>
      <c r="I27" s="63" t="str">
        <f>A27</f>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75" customHeight="1">
      <c r="A28" s="63" t="str">
        <f t="array" ref="A28">IF(C28&lt;&gt;0,SUM(($C$11:C28&lt;&gt;0)*1),"")</f>
        <v/>
      </c>
      <c r="B28" s="277"/>
      <c r="C28" s="277"/>
      <c r="D28" s="277"/>
      <c r="E28" s="372"/>
      <c r="F28" s="328"/>
      <c r="G28" s="330"/>
      <c r="H28" s="330"/>
      <c r="I28" s="63" t="str">
        <f t="shared" ref="I28:I50" si="97">A28</f>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75" customHeight="1">
      <c r="A29" s="63" t="str">
        <f t="array" ref="A29">IF(C29&lt;&gt;0,SUM(($C$11:C29&lt;&gt;0)*1),"")</f>
        <v/>
      </c>
      <c r="B29" s="277"/>
      <c r="C29" s="277"/>
      <c r="D29" s="277"/>
      <c r="E29" s="372"/>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75" customHeight="1">
      <c r="A30" s="63" t="str">
        <f t="array" ref="A30">IF(C30&lt;&gt;0,SUM(($C$11:C30&lt;&gt;0)*1),"")</f>
        <v/>
      </c>
      <c r="B30" s="277"/>
      <c r="C30" s="277"/>
      <c r="D30" s="277"/>
      <c r="E30" s="372"/>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75" customHeight="1">
      <c r="A31" s="63" t="str">
        <f t="array" ref="A31">IF(C31&lt;&gt;0,SUM(($C$11:C31&lt;&gt;0)*1),"")</f>
        <v/>
      </c>
      <c r="B31" s="277"/>
      <c r="C31" s="277"/>
      <c r="D31" s="277"/>
      <c r="E31" s="372"/>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75" customHeight="1">
      <c r="A32" s="63" t="str">
        <f t="array" ref="A32">IF(C32&lt;&gt;0,SUM(($C$11:C32&lt;&gt;0)*1),"")</f>
        <v/>
      </c>
      <c r="B32" s="277"/>
      <c r="C32" s="277"/>
      <c r="D32" s="277"/>
      <c r="E32" s="372"/>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75" customHeight="1">
      <c r="A33" s="63" t="str">
        <f t="array" ref="A33">IF(C33&lt;&gt;0,SUM(($C$11:C33&lt;&gt;0)*1),"")</f>
        <v/>
      </c>
      <c r="B33" s="277"/>
      <c r="C33" s="277"/>
      <c r="D33" s="277"/>
      <c r="E33" s="372"/>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75" customHeight="1">
      <c r="A34" s="63" t="str">
        <f t="array" ref="A34">IF(C34&lt;&gt;0,SUM(($C$11:C34&lt;&gt;0)*1),"")</f>
        <v/>
      </c>
      <c r="B34" s="277"/>
      <c r="C34" s="277"/>
      <c r="D34" s="277"/>
      <c r="E34" s="372"/>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75" customHeight="1">
      <c r="A35" s="63" t="str">
        <f t="array" ref="A35">IF(C35&lt;&gt;0,SUM(($C$11:C35&lt;&gt;0)*1),"")</f>
        <v/>
      </c>
      <c r="B35" s="277"/>
      <c r="C35" s="277"/>
      <c r="D35" s="277"/>
      <c r="E35" s="372"/>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75" customHeight="1">
      <c r="A36" s="63" t="str">
        <f t="array" ref="A36">IF(C36&lt;&gt;0,SUM(($C$11:C36&lt;&gt;0)*1),"")</f>
        <v/>
      </c>
      <c r="B36" s="277"/>
      <c r="C36" s="277"/>
      <c r="D36" s="277"/>
      <c r="E36" s="372"/>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75" customHeight="1">
      <c r="A37" s="63" t="str">
        <f t="array" ref="A37">IF(C37&lt;&gt;0,SUM(($C$11:C37&lt;&gt;0)*1),"")</f>
        <v/>
      </c>
      <c r="B37" s="277"/>
      <c r="C37" s="277"/>
      <c r="D37" s="277"/>
      <c r="E37" s="372"/>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75" customHeight="1">
      <c r="A38" s="63" t="str">
        <f t="array" ref="A38">IF(C38&lt;&gt;0,SUM(($C$11:C38&lt;&gt;0)*1),"")</f>
        <v/>
      </c>
      <c r="B38" s="277"/>
      <c r="C38" s="277"/>
      <c r="D38" s="277"/>
      <c r="E38" s="372"/>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75" customHeight="1">
      <c r="A39" s="63" t="str">
        <f t="array" ref="A39">IF(C39&lt;&gt;0,SUM(($C$11:C39&lt;&gt;0)*1),"")</f>
        <v/>
      </c>
      <c r="B39" s="277"/>
      <c r="C39" s="277"/>
      <c r="D39" s="277"/>
      <c r="E39" s="372"/>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75" customHeight="1">
      <c r="A40" s="63">
        <f t="array" aca="1" ref="A40" ca="1">IF(C40&lt;&gt;0,SUM(($C$11:C40&lt;&gt;0)*1),"")</f>
        <v>2</v>
      </c>
      <c r="B40" s="277">
        <v>42643</v>
      </c>
      <c r="C40" s="280" t="s">
        <v>115</v>
      </c>
      <c r="D40" s="280">
        <f t="shared" ref="D40:D50" si="98">B40</f>
        <v>42643</v>
      </c>
      <c r="E40" s="982" t="s">
        <v>938</v>
      </c>
      <c r="F40" s="983">
        <f ca="1">AY52</f>
        <v>0</v>
      </c>
      <c r="G40" s="984" t="s">
        <v>943</v>
      </c>
      <c r="H40" s="984"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75" customHeight="1">
      <c r="A41" s="63">
        <f t="array" aca="1" ref="A41" ca="1">IF(C41&lt;&gt;0,SUM(($C$11:C41&lt;&gt;0)*1),"")</f>
        <v>3</v>
      </c>
      <c r="B41" s="277">
        <v>42643</v>
      </c>
      <c r="C41" s="280" t="s">
        <v>115</v>
      </c>
      <c r="D41" s="280">
        <f t="shared" si="98"/>
        <v>42643</v>
      </c>
      <c r="E41" s="982" t="s">
        <v>939</v>
      </c>
      <c r="F41" s="983">
        <f ca="1">CL52</f>
        <v>0</v>
      </c>
      <c r="G41" s="984" t="s">
        <v>109</v>
      </c>
      <c r="H41" s="984"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75" customHeight="1">
      <c r="A42" s="63">
        <f t="array" aca="1" ref="A42" ca="1">IF(C42&lt;&gt;0,SUM(($C$11:C42&lt;&gt;0)*1),"")</f>
        <v>4</v>
      </c>
      <c r="B42" s="277">
        <v>42643</v>
      </c>
      <c r="C42" s="280" t="s">
        <v>115</v>
      </c>
      <c r="D42" s="280">
        <f t="shared" si="98"/>
        <v>42643</v>
      </c>
      <c r="E42" s="982" t="s">
        <v>116</v>
      </c>
      <c r="F42" s="983">
        <f ca="1">CN52</f>
        <v>0</v>
      </c>
      <c r="G42" s="984" t="s">
        <v>109</v>
      </c>
      <c r="H42" s="984"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75" customHeight="1">
      <c r="A43" s="63">
        <f t="array" aca="1" ref="A43" ca="1">IF(C43&lt;&gt;0,SUM(($C$11:C43&lt;&gt;0)*1),"")</f>
        <v>5</v>
      </c>
      <c r="B43" s="277">
        <v>42643</v>
      </c>
      <c r="C43" s="280" t="s">
        <v>115</v>
      </c>
      <c r="D43" s="280">
        <f t="shared" si="98"/>
        <v>42643</v>
      </c>
      <c r="E43" s="982" t="s">
        <v>940</v>
      </c>
      <c r="F43" s="983">
        <f ca="1">CP52</f>
        <v>0</v>
      </c>
      <c r="G43" s="984" t="s">
        <v>109</v>
      </c>
      <c r="H43" s="984"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75" customHeight="1">
      <c r="A44" s="63">
        <f t="array" aca="1" ref="A44" ca="1">IF(C44&lt;&gt;0,SUM(($C$11:C44&lt;&gt;0)*1),"")</f>
        <v>6</v>
      </c>
      <c r="B44" s="277">
        <v>42643</v>
      </c>
      <c r="C44" s="280" t="s">
        <v>115</v>
      </c>
      <c r="D44" s="280">
        <f t="shared" si="98"/>
        <v>42643</v>
      </c>
      <c r="E44" s="982" t="s">
        <v>117</v>
      </c>
      <c r="F44" s="983">
        <f ca="1">CR52</f>
        <v>0</v>
      </c>
      <c r="G44" s="984" t="s">
        <v>109</v>
      </c>
      <c r="H44" s="984"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75" customHeight="1">
      <c r="A45" s="63">
        <f t="array" aca="1" ref="A45" ca="1">IF(C45&lt;&gt;0,SUM(($C$11:C45&lt;&gt;0)*1),"")</f>
        <v>7</v>
      </c>
      <c r="B45" s="277">
        <v>42643</v>
      </c>
      <c r="C45" s="280" t="s">
        <v>115</v>
      </c>
      <c r="D45" s="280">
        <f t="shared" si="98"/>
        <v>42643</v>
      </c>
      <c r="E45" s="982" t="s">
        <v>215</v>
      </c>
      <c r="F45" s="983"/>
      <c r="G45" s="984" t="s">
        <v>109</v>
      </c>
      <c r="H45" s="984"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75" customHeight="1">
      <c r="A46" s="63">
        <f t="array" aca="1" ref="A46" ca="1">IF(C46&lt;&gt;0,SUM(($C$11:C46&lt;&gt;0)*1),"")</f>
        <v>8</v>
      </c>
      <c r="B46" s="277">
        <v>42643</v>
      </c>
      <c r="C46" s="280" t="s">
        <v>115</v>
      </c>
      <c r="D46" s="280">
        <f t="shared" si="98"/>
        <v>42643</v>
      </c>
      <c r="E46" s="982" t="s">
        <v>118</v>
      </c>
      <c r="F46" s="983">
        <f ca="1">CI52</f>
        <v>0</v>
      </c>
      <c r="G46" s="984" t="s">
        <v>43</v>
      </c>
      <c r="H46" s="984"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75" customHeight="1">
      <c r="A47" s="63">
        <f t="array" aca="1" ref="A47" ca="1">IF(C47&lt;&gt;0,SUM(($C$11:C47&lt;&gt;0)*1),"")</f>
        <v>9</v>
      </c>
      <c r="B47" s="277">
        <v>42643</v>
      </c>
      <c r="C47" s="280" t="s">
        <v>115</v>
      </c>
      <c r="D47" s="280">
        <f t="shared" si="98"/>
        <v>42643</v>
      </c>
      <c r="E47" s="982" t="s">
        <v>941</v>
      </c>
      <c r="F47" s="983">
        <f ca="1">CE52</f>
        <v>0</v>
      </c>
      <c r="G47" s="984" t="s">
        <v>297</v>
      </c>
      <c r="H47" s="984"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75" customHeight="1">
      <c r="A48" s="63">
        <f t="array" aca="1" ref="A48" ca="1">IF(C48&lt;&gt;0,SUM(($C$11:C48&lt;&gt;0)*1),"")</f>
        <v>10</v>
      </c>
      <c r="B48" s="277">
        <v>42643</v>
      </c>
      <c r="C48" s="280" t="s">
        <v>115</v>
      </c>
      <c r="D48" s="280">
        <f t="shared" si="98"/>
        <v>42643</v>
      </c>
      <c r="E48" s="982" t="s">
        <v>942</v>
      </c>
      <c r="F48" s="983">
        <f ca="1">CG52</f>
        <v>0</v>
      </c>
      <c r="G48" s="984" t="s">
        <v>299</v>
      </c>
      <c r="H48" s="984"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75" customHeight="1">
      <c r="A49" s="63">
        <f t="array" aca="1" ref="A49" ca="1">IF(C49&lt;&gt;0,SUM(($C$11:C49&lt;&gt;0)*1),"")</f>
        <v>11</v>
      </c>
      <c r="B49" s="277">
        <v>42643</v>
      </c>
      <c r="C49" s="280" t="s">
        <v>115</v>
      </c>
      <c r="D49" s="280">
        <f t="shared" si="98"/>
        <v>42643</v>
      </c>
      <c r="E49" s="982" t="s">
        <v>119</v>
      </c>
      <c r="F49" s="983">
        <f ca="1">CU52</f>
        <v>0</v>
      </c>
      <c r="G49" s="984" t="s">
        <v>103</v>
      </c>
      <c r="H49" s="984"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75" customHeight="1">
      <c r="A50" s="63">
        <f t="array" aca="1" ref="A50" ca="1">IF(C50&lt;&gt;0,SUM(($C$11:C50&lt;&gt;0)*1),"")</f>
        <v>12</v>
      </c>
      <c r="B50" s="277">
        <v>42643</v>
      </c>
      <c r="C50" s="280" t="s">
        <v>115</v>
      </c>
      <c r="D50" s="280">
        <f t="shared" si="98"/>
        <v>42643</v>
      </c>
      <c r="E50" s="982" t="s">
        <v>120</v>
      </c>
      <c r="F50" s="983">
        <f ca="1">CV52</f>
        <v>0</v>
      </c>
      <c r="G50" s="984" t="s">
        <v>109</v>
      </c>
      <c r="H50" s="984"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75" customHeight="1">
      <c r="A51" s="63" t="str">
        <f t="array" ref="A51">IF(C51&lt;&gt;0,SUM(($C$11:C51&lt;&gt;0)*1),"")</f>
        <v/>
      </c>
      <c r="B51" s="243"/>
      <c r="C51" s="281"/>
      <c r="D51" s="243"/>
      <c r="E51" s="278"/>
      <c r="F51" s="65"/>
      <c r="G51" s="282"/>
      <c r="H51" s="282"/>
      <c r="I51" s="63" t="str">
        <f t="shared" ref="I51" si="99">A51</f>
        <v/>
      </c>
      <c r="J51" s="279">
        <f t="shared" ref="J51" si="100">IF($G51="1111",$F51,0)</f>
        <v>0</v>
      </c>
      <c r="K51" s="279">
        <f t="shared" ref="K51" si="101">IF($H51="1111",$F51,0)</f>
        <v>0</v>
      </c>
      <c r="L51" s="279">
        <f t="shared" ref="L51" si="102">IF($G51="1121",$F51,0)</f>
        <v>0</v>
      </c>
      <c r="M51" s="279">
        <f t="shared" ref="M51" si="103">IF($H51="1121",$F51,0)</f>
        <v>0</v>
      </c>
      <c r="N51" s="279">
        <f t="shared" ref="N51" si="104">IF($G51="1122",$F51,0)</f>
        <v>0</v>
      </c>
      <c r="O51" s="279">
        <f t="shared" ref="O51" si="105">IF($H51="1122",$F51,0)</f>
        <v>0</v>
      </c>
      <c r="P51" s="279">
        <f t="shared" ref="P51" si="106">IF($G51="131",$F51,0)</f>
        <v>0</v>
      </c>
      <c r="Q51" s="279">
        <f t="shared" ref="Q51" si="107">IF($H51="131",$F51,0)</f>
        <v>0</v>
      </c>
      <c r="R51" s="279">
        <f t="shared" ref="R51" si="108">IF($G51="1331",$F51,0)</f>
        <v>0</v>
      </c>
      <c r="S51" s="279">
        <f t="shared" ref="S51" si="109">IF($H51="1331",$F51,0)</f>
        <v>0</v>
      </c>
      <c r="T51" s="279">
        <f t="shared" ref="T51" si="110">IF($G51="1388",$F51,0)</f>
        <v>0</v>
      </c>
      <c r="U51" s="279">
        <f t="shared" ref="U51" si="111">IF($H51="1388",$F51,0)</f>
        <v>0</v>
      </c>
      <c r="V51" s="279">
        <f t="shared" ref="V51" si="112">IF($G51="141",$F51,0)</f>
        <v>0</v>
      </c>
      <c r="W51" s="279">
        <f t="shared" ref="W51" si="113">IF($H51="141",$F51,0)</f>
        <v>0</v>
      </c>
      <c r="X51" s="279">
        <f t="shared" ref="X51" si="114">IF($G51="1521",$F51,0)</f>
        <v>0</v>
      </c>
      <c r="Y51" s="279">
        <f t="shared" ref="Y51" si="115">IF($H51="1521",$F51,0)</f>
        <v>0</v>
      </c>
      <c r="Z51" s="279">
        <f t="shared" ref="Z51" si="116">IF($G51="1522",$F51,0)</f>
        <v>0</v>
      </c>
      <c r="AA51" s="279">
        <f t="shared" ref="AA51" si="117">IF($H51="1522",$F51,0)</f>
        <v>0</v>
      </c>
      <c r="AB51" s="279">
        <f t="shared" ref="AB51" si="118">IF($G51="153",$F51,0)</f>
        <v>0</v>
      </c>
      <c r="AC51" s="279">
        <f t="shared" ref="AC51" si="119">IF($H51="153",$F51,0)</f>
        <v>0</v>
      </c>
      <c r="AD51" s="279">
        <f t="shared" ref="AD51" si="120">IF($G51="154",$F51,0)</f>
        <v>0</v>
      </c>
      <c r="AE51" s="279">
        <f t="shared" ref="AE51" si="121">IF($H51="154",$F51,0)</f>
        <v>0</v>
      </c>
      <c r="AF51" s="279">
        <f t="shared" ref="AF51" si="122">IF($G51="155",$F51,0)</f>
        <v>0</v>
      </c>
      <c r="AG51" s="279">
        <f t="shared" ref="AG51" si="123">IF($H51="155",$F51,0)</f>
        <v>0</v>
      </c>
      <c r="AH51" s="279">
        <f t="shared" ref="AH51" si="124">IF($G51="2111",$F51,0)</f>
        <v>0</v>
      </c>
      <c r="AI51" s="279">
        <f t="shared" ref="AI51" si="125">IF($H51="2111",$F51,0)</f>
        <v>0</v>
      </c>
      <c r="AJ51" s="279">
        <f t="shared" ref="AJ51" si="126">IF($G51="2112",$F51,0)</f>
        <v>0</v>
      </c>
      <c r="AK51" s="279">
        <f t="shared" ref="AK51" si="127">IF($H51="2112",$F51,0)</f>
        <v>0</v>
      </c>
      <c r="AL51" s="279">
        <f t="shared" ref="AL51" si="128">IF($G51="2113",$F51,0)</f>
        <v>0</v>
      </c>
      <c r="AM51" s="279">
        <f t="shared" ref="AM51" si="129">IF($H51="2113",$F51,0)</f>
        <v>0</v>
      </c>
      <c r="AN51" s="279">
        <f t="shared" ref="AN51" si="130">IF($G51="2131",$F51,0)</f>
        <v>0</v>
      </c>
      <c r="AO51" s="279">
        <f t="shared" ref="AO51" si="131">IF($H51="2131",$F51,0)</f>
        <v>0</v>
      </c>
      <c r="AP51" s="279">
        <f t="shared" ref="AP51" si="132">IF($G51="2141",$F51,0)</f>
        <v>0</v>
      </c>
      <c r="AQ51" s="279">
        <f t="shared" ref="AQ51" si="133">IF($H51="2141",$F51,0)</f>
        <v>0</v>
      </c>
      <c r="AR51" s="279">
        <f t="shared" ref="AR51" si="134">IF($G51="2143",$F51,0)</f>
        <v>0</v>
      </c>
      <c r="AS51" s="279">
        <f t="shared" ref="AS51" si="135">IF($H51="2143",$F51,0)</f>
        <v>0</v>
      </c>
      <c r="AT51" s="279">
        <f t="shared" ref="AT51" si="136">IF($G51="2412",$F51,0)</f>
        <v>0</v>
      </c>
      <c r="AU51" s="279">
        <f t="shared" ref="AU51" si="137">IF($H51="2412",$F51,0)</f>
        <v>0</v>
      </c>
      <c r="AV51" s="279">
        <f t="shared" ref="AV51" si="138">IF($G51="331",$F51,0)</f>
        <v>0</v>
      </c>
      <c r="AW51" s="279">
        <f t="shared" ref="AW51" si="139">IF($H51="331",$F51,0)</f>
        <v>0</v>
      </c>
      <c r="AX51" s="279">
        <f t="shared" ref="AX51" si="140">IF($G51="33311",$F51,0)</f>
        <v>0</v>
      </c>
      <c r="AY51" s="279">
        <f t="shared" ref="AY51" si="141">IF($H51="33311",$F51,0)</f>
        <v>0</v>
      </c>
      <c r="AZ51" s="279">
        <f t="shared" ref="AZ51" si="142">IF($G51="33312",$F51,0)</f>
        <v>0</v>
      </c>
      <c r="BA51" s="279">
        <f t="shared" ref="BA51" si="143">IF($H51="33312",$F51,0)</f>
        <v>0</v>
      </c>
      <c r="BB51" s="279">
        <f t="shared" ref="BB51" si="144">IF($G51="3333",$F51,0)</f>
        <v>0</v>
      </c>
      <c r="BC51" s="279">
        <f t="shared" ref="BC51" si="145">IF($H51="3333",$F51,0)</f>
        <v>0</v>
      </c>
      <c r="BD51" s="279">
        <f t="shared" ref="BD51" si="146">IF($G51="3334",$F51,0)</f>
        <v>0</v>
      </c>
      <c r="BE51" s="279">
        <f t="shared" ref="BE51" si="147">IF($H51="3334",$F51,0)</f>
        <v>0</v>
      </c>
      <c r="BF51" s="279">
        <f t="shared" ref="BF51" si="148">IF($G51="3335",$F51,0)</f>
        <v>0</v>
      </c>
      <c r="BG51" s="279">
        <f t="shared" ref="BG51" si="149">IF($H51="3335",$F51,0)</f>
        <v>0</v>
      </c>
      <c r="BH51" s="279">
        <f t="shared" ref="BH51" si="150">IF($G51="33382",$F51,0)</f>
        <v>0</v>
      </c>
      <c r="BI51" s="279">
        <f t="shared" ref="BI51" si="151">IF($H51="33382",$F51,0)</f>
        <v>0</v>
      </c>
      <c r="BJ51" s="279">
        <f t="shared" ref="BJ51" si="152">IF($G51="3341",$F51,0)</f>
        <v>0</v>
      </c>
      <c r="BK51" s="279">
        <f t="shared" ref="BK51" si="153">IF($H51="3341",$F51,0)</f>
        <v>0</v>
      </c>
      <c r="BL51" s="279">
        <f t="shared" ref="BL51" si="154">IF($G51="3383",$F51,0)</f>
        <v>0</v>
      </c>
      <c r="BM51" s="279">
        <f t="shared" ref="BM51" si="155">IF($H51="3383",$F51,0)</f>
        <v>0</v>
      </c>
      <c r="BN51" s="279">
        <f t="shared" ref="BN51" si="156">IF($G51="3384",$F51,0)</f>
        <v>0</v>
      </c>
      <c r="BO51" s="279">
        <f t="shared" ref="BO51" si="157">IF($H51="3384",$F51,0)</f>
        <v>0</v>
      </c>
      <c r="BP51" s="279">
        <f t="shared" ref="BP51" si="158">IF($G51="3386",$F51,0)</f>
        <v>0</v>
      </c>
      <c r="BQ51" s="279">
        <f t="shared" ref="BQ51" si="159">IF($H51="3386",$F51,0)</f>
        <v>0</v>
      </c>
      <c r="BR51" s="279">
        <f t="shared" ref="BR51" si="160">IF($G51="3388",$F51,0)</f>
        <v>0</v>
      </c>
      <c r="BS51" s="279">
        <f t="shared" ref="BS51" si="161">IF($H51="3388",$F51,0)</f>
        <v>0</v>
      </c>
      <c r="BT51" s="279">
        <f t="shared" ref="BT51" si="162">IF($G51="3411",$F51,0)</f>
        <v>0</v>
      </c>
      <c r="BU51" s="279">
        <f t="shared" ref="BU51" si="163">IF($H51="3411",$F51,0)</f>
        <v>0</v>
      </c>
      <c r="BV51" s="279">
        <f t="shared" ref="BV51" si="164">IF($G51="3412",$F51,0)</f>
        <v>0</v>
      </c>
      <c r="BW51" s="279">
        <f t="shared" ref="BW51" si="165">IF($H51="3412",$F51,0)</f>
        <v>0</v>
      </c>
      <c r="BX51" s="279">
        <f t="shared" ref="BX51" si="166">IF($G51="4111",$F51,0)</f>
        <v>0</v>
      </c>
      <c r="BY51" s="279">
        <f t="shared" ref="BY51" si="167">IF($H51="4111",$F51,0)</f>
        <v>0</v>
      </c>
      <c r="BZ51" s="279">
        <f t="shared" ref="BZ51" si="168">IF($G51="4211",$F51,0)</f>
        <v>0</v>
      </c>
      <c r="CA51" s="279">
        <f t="shared" ref="CA51" si="169">IF($H51="4211",$F51,0)</f>
        <v>0</v>
      </c>
      <c r="CB51" s="279">
        <f t="shared" ref="CB51" si="170">IF($G51="4212",$F51,0)</f>
        <v>0</v>
      </c>
      <c r="CC51" s="279">
        <f t="shared" ref="CC51" si="171">IF($H51="4212",$F51,0)</f>
        <v>0</v>
      </c>
      <c r="CD51" s="279">
        <f t="shared" ref="CD51" si="172">IF($G51="5112N",$F51,0)</f>
        <v>0</v>
      </c>
      <c r="CE51" s="279">
        <f t="shared" ref="CE51" si="173">IF($H51="5112N",$F51,0)</f>
        <v>0</v>
      </c>
      <c r="CF51" s="279">
        <f t="shared" ref="CF51" si="174">IF($G51="5112X",$F51,0)</f>
        <v>0</v>
      </c>
      <c r="CG51" s="279">
        <f t="shared" ref="CG51" si="175">IF($H51="5112X",$F51,0)</f>
        <v>0</v>
      </c>
      <c r="CH51" s="279">
        <f t="shared" ref="CH51" si="176">IF($G51="515",$F51,0)</f>
        <v>0</v>
      </c>
      <c r="CI51" s="279">
        <f t="shared" ref="CI51" si="177">IF($H51="515",$F51,0)</f>
        <v>0</v>
      </c>
      <c r="CJ51" s="279">
        <f t="shared" ref="CJ51" si="178">IF($G51="5213",$F51,0)</f>
        <v>0</v>
      </c>
      <c r="CK51" s="279">
        <f t="shared" ref="CK51" si="179">IF($H51="5213",$F51,0)</f>
        <v>0</v>
      </c>
      <c r="CL51" s="279">
        <f t="shared" ref="CL51" si="180">IF($G51="632",$F51,0)</f>
        <v>0</v>
      </c>
      <c r="CM51" s="279">
        <f t="shared" ref="CM51" si="181">IF($H51="632",$F51,0)</f>
        <v>0</v>
      </c>
      <c r="CN51" s="279">
        <f t="shared" ref="CN51" si="182">IF($G51="635",$F51,0)</f>
        <v>0</v>
      </c>
      <c r="CO51" s="279">
        <f t="shared" ref="CO51" si="183">IF($H51="635",$F51,0)</f>
        <v>0</v>
      </c>
      <c r="CP51" s="279">
        <f t="shared" ref="CP51" si="184">IF($G51="641",$F51,0)</f>
        <v>0</v>
      </c>
      <c r="CQ51" s="279">
        <f t="shared" ref="CQ51" si="185">IF($H51="641",$F51,0)</f>
        <v>0</v>
      </c>
      <c r="CR51" s="279">
        <f t="shared" ref="CR51" si="186">IF($G51="642",$F51,0)</f>
        <v>0</v>
      </c>
      <c r="CS51" s="279">
        <f t="shared" ref="CS51" si="187">IF($H51="642",$F51,0)</f>
        <v>0</v>
      </c>
      <c r="CT51" s="279">
        <f t="shared" ref="CT51" si="188">IF($G51="711",$F51,0)</f>
        <v>0</v>
      </c>
      <c r="CU51" s="279">
        <f t="shared" ref="CU51" si="189">IF($H51="711",$F51,0)</f>
        <v>0</v>
      </c>
      <c r="CV51" s="279">
        <f t="shared" ref="CV51" si="190">IF($G51="811",$F51,0)</f>
        <v>0</v>
      </c>
      <c r="CW51" s="279">
        <f t="shared" ref="CW51" si="191">IF($H51="811",$F51,0)</f>
        <v>0</v>
      </c>
      <c r="CX51" s="279">
        <f t="shared" ref="CX51" si="192">IF($G51="821",$F51,0)</f>
        <v>0</v>
      </c>
      <c r="CY51" s="279">
        <f t="shared" ref="CY51" si="193">IF($H51="821",$F51,0)</f>
        <v>0</v>
      </c>
      <c r="CZ51" s="279">
        <f t="shared" ref="CZ51" si="194">IF($G51="911",$F51,0)</f>
        <v>0</v>
      </c>
      <c r="DA51" s="279">
        <f t="shared" ref="DA51" si="195">IF($H51="911",$F51,0)</f>
        <v>0</v>
      </c>
    </row>
    <row r="52" spans="1:105" s="276" customFormat="1" ht="15.75" customHeight="1">
      <c r="A52" s="283"/>
      <c r="B52" s="283"/>
      <c r="C52" s="310"/>
      <c r="D52" s="283"/>
      <c r="E52" s="278" t="s">
        <v>175</v>
      </c>
      <c r="F52" s="283"/>
      <c r="G52" s="282"/>
      <c r="H52" s="282"/>
      <c r="I52" s="283"/>
      <c r="J52" s="283">
        <f t="shared" ref="J52:AO52" ca="1" si="196">SUM(J11:J51)</f>
        <v>0</v>
      </c>
      <c r="K52" s="283">
        <f t="shared" ca="1" si="196"/>
        <v>0</v>
      </c>
      <c r="L52" s="283">
        <f t="shared" ca="1" si="196"/>
        <v>0</v>
      </c>
      <c r="M52" s="283">
        <f t="shared" ca="1" si="196"/>
        <v>0</v>
      </c>
      <c r="N52" s="283">
        <f t="shared" ca="1" si="196"/>
        <v>0</v>
      </c>
      <c r="O52" s="283">
        <f t="shared" ca="1" si="196"/>
        <v>0</v>
      </c>
      <c r="P52" s="283">
        <f t="shared" ca="1" si="196"/>
        <v>0</v>
      </c>
      <c r="Q52" s="283">
        <f t="shared" ca="1" si="196"/>
        <v>0</v>
      </c>
      <c r="R52" s="283">
        <f t="shared" ca="1" si="196"/>
        <v>0</v>
      </c>
      <c r="S52" s="283">
        <f t="shared" ca="1" si="196"/>
        <v>0</v>
      </c>
      <c r="T52" s="283">
        <f t="shared" ca="1" si="196"/>
        <v>0</v>
      </c>
      <c r="U52" s="283">
        <f t="shared" ca="1" si="196"/>
        <v>0</v>
      </c>
      <c r="V52" s="283">
        <f t="shared" ca="1" si="196"/>
        <v>0</v>
      </c>
      <c r="W52" s="283">
        <f t="shared" ca="1" si="196"/>
        <v>0</v>
      </c>
      <c r="X52" s="283">
        <f t="shared" ca="1" si="196"/>
        <v>0</v>
      </c>
      <c r="Y52" s="283">
        <f t="shared" ca="1" si="196"/>
        <v>0</v>
      </c>
      <c r="Z52" s="283">
        <f t="shared" ca="1" si="196"/>
        <v>0</v>
      </c>
      <c r="AA52" s="283">
        <f t="shared" ca="1" si="196"/>
        <v>0</v>
      </c>
      <c r="AB52" s="283">
        <f t="shared" ca="1" si="196"/>
        <v>0</v>
      </c>
      <c r="AC52" s="283">
        <f t="shared" ca="1" si="196"/>
        <v>0</v>
      </c>
      <c r="AD52" s="283">
        <f t="shared" ca="1" si="196"/>
        <v>0</v>
      </c>
      <c r="AE52" s="283">
        <f t="shared" ca="1" si="196"/>
        <v>0</v>
      </c>
      <c r="AF52" s="283">
        <f t="shared" ca="1" si="196"/>
        <v>0</v>
      </c>
      <c r="AG52" s="283">
        <f t="shared" ca="1" si="196"/>
        <v>0</v>
      </c>
      <c r="AH52" s="283">
        <f t="shared" ca="1" si="196"/>
        <v>0</v>
      </c>
      <c r="AI52" s="283">
        <f t="shared" ca="1" si="196"/>
        <v>0</v>
      </c>
      <c r="AJ52" s="283">
        <f t="shared" ca="1" si="196"/>
        <v>0</v>
      </c>
      <c r="AK52" s="283">
        <f t="shared" ca="1" si="196"/>
        <v>0</v>
      </c>
      <c r="AL52" s="283">
        <f t="shared" ca="1" si="196"/>
        <v>0</v>
      </c>
      <c r="AM52" s="283">
        <f t="shared" ca="1" si="196"/>
        <v>0</v>
      </c>
      <c r="AN52" s="283">
        <f t="shared" ca="1" si="196"/>
        <v>0</v>
      </c>
      <c r="AO52" s="283">
        <f t="shared" ca="1" si="196"/>
        <v>0</v>
      </c>
      <c r="AP52" s="283">
        <f t="shared" ref="AP52:BU52" ca="1" si="197">SUM(AP11:AP51)</f>
        <v>0</v>
      </c>
      <c r="AQ52" s="283">
        <f t="shared" ca="1" si="197"/>
        <v>0</v>
      </c>
      <c r="AR52" s="283">
        <f t="shared" ca="1" si="197"/>
        <v>0</v>
      </c>
      <c r="AS52" s="283">
        <f t="shared" ca="1" si="197"/>
        <v>0</v>
      </c>
      <c r="AT52" s="283">
        <f t="shared" ca="1" si="197"/>
        <v>0</v>
      </c>
      <c r="AU52" s="283">
        <f t="shared" ca="1" si="197"/>
        <v>0</v>
      </c>
      <c r="AV52" s="283">
        <f t="shared" ca="1" si="197"/>
        <v>0</v>
      </c>
      <c r="AW52" s="283">
        <f t="shared" ca="1" si="197"/>
        <v>0</v>
      </c>
      <c r="AX52" s="283">
        <f t="shared" ca="1" si="197"/>
        <v>0</v>
      </c>
      <c r="AY52" s="283">
        <f t="shared" ca="1" si="197"/>
        <v>0</v>
      </c>
      <c r="AZ52" s="283">
        <f t="shared" ca="1" si="197"/>
        <v>0</v>
      </c>
      <c r="BA52" s="283">
        <f t="shared" ca="1" si="197"/>
        <v>0</v>
      </c>
      <c r="BB52" s="283">
        <f t="shared" ca="1" si="197"/>
        <v>0</v>
      </c>
      <c r="BC52" s="283">
        <f t="shared" ca="1" si="197"/>
        <v>0</v>
      </c>
      <c r="BD52" s="283">
        <f t="shared" ca="1" si="197"/>
        <v>0</v>
      </c>
      <c r="BE52" s="283">
        <f t="shared" ca="1" si="197"/>
        <v>0</v>
      </c>
      <c r="BF52" s="283">
        <f t="shared" ca="1" si="197"/>
        <v>0</v>
      </c>
      <c r="BG52" s="283">
        <f t="shared" ca="1" si="197"/>
        <v>0</v>
      </c>
      <c r="BH52" s="283">
        <f t="shared" ca="1" si="197"/>
        <v>0</v>
      </c>
      <c r="BI52" s="283">
        <f t="shared" ca="1" si="197"/>
        <v>0</v>
      </c>
      <c r="BJ52" s="283">
        <f t="shared" ca="1" si="197"/>
        <v>0</v>
      </c>
      <c r="BK52" s="283">
        <f t="shared" ca="1" si="197"/>
        <v>0</v>
      </c>
      <c r="BL52" s="283">
        <f t="shared" ca="1" si="197"/>
        <v>0</v>
      </c>
      <c r="BM52" s="283">
        <f t="shared" ca="1" si="197"/>
        <v>0</v>
      </c>
      <c r="BN52" s="283">
        <f t="shared" ca="1" si="197"/>
        <v>0</v>
      </c>
      <c r="BO52" s="283">
        <f t="shared" ca="1" si="197"/>
        <v>0</v>
      </c>
      <c r="BP52" s="283">
        <f t="shared" ca="1" si="197"/>
        <v>0</v>
      </c>
      <c r="BQ52" s="283">
        <f t="shared" ca="1" si="197"/>
        <v>0</v>
      </c>
      <c r="BR52" s="283">
        <f t="shared" ca="1" si="197"/>
        <v>0</v>
      </c>
      <c r="BS52" s="283">
        <f t="shared" ca="1" si="197"/>
        <v>0</v>
      </c>
      <c r="BT52" s="283">
        <f t="shared" ca="1" si="197"/>
        <v>0</v>
      </c>
      <c r="BU52" s="283">
        <f t="shared" ca="1" si="197"/>
        <v>0</v>
      </c>
      <c r="BV52" s="283">
        <f t="shared" ref="BV52:DA52" ca="1" si="198">SUM(BV11:BV51)</f>
        <v>0</v>
      </c>
      <c r="BW52" s="283">
        <f t="shared" ca="1" si="198"/>
        <v>0</v>
      </c>
      <c r="BX52" s="283">
        <f t="shared" ca="1" si="198"/>
        <v>0</v>
      </c>
      <c r="BY52" s="283">
        <f t="shared" ca="1" si="198"/>
        <v>0</v>
      </c>
      <c r="BZ52" s="283">
        <f t="shared" ca="1" si="198"/>
        <v>0</v>
      </c>
      <c r="CA52" s="283">
        <f t="shared" ca="1" si="198"/>
        <v>0</v>
      </c>
      <c r="CB52" s="283">
        <f t="shared" ca="1" si="198"/>
        <v>0</v>
      </c>
      <c r="CC52" s="283">
        <f t="shared" ca="1" si="198"/>
        <v>0</v>
      </c>
      <c r="CD52" s="283">
        <f t="shared" ca="1" si="198"/>
        <v>0</v>
      </c>
      <c r="CE52" s="283">
        <f t="shared" ca="1" si="198"/>
        <v>0</v>
      </c>
      <c r="CF52" s="283">
        <f t="shared" ca="1" si="198"/>
        <v>0</v>
      </c>
      <c r="CG52" s="283">
        <f t="shared" ca="1" si="198"/>
        <v>0</v>
      </c>
      <c r="CH52" s="283">
        <f t="shared" ca="1" si="198"/>
        <v>0</v>
      </c>
      <c r="CI52" s="283">
        <f t="shared" ca="1" si="198"/>
        <v>0</v>
      </c>
      <c r="CJ52" s="283">
        <f t="shared" ca="1" si="198"/>
        <v>0</v>
      </c>
      <c r="CK52" s="283">
        <f t="shared" ca="1" si="198"/>
        <v>0</v>
      </c>
      <c r="CL52" s="283">
        <f t="shared" ca="1" si="198"/>
        <v>0</v>
      </c>
      <c r="CM52" s="283">
        <f t="shared" ca="1" si="198"/>
        <v>0</v>
      </c>
      <c r="CN52" s="283">
        <f t="shared" ca="1" si="198"/>
        <v>0</v>
      </c>
      <c r="CO52" s="283">
        <f t="shared" ca="1" si="198"/>
        <v>0</v>
      </c>
      <c r="CP52" s="283">
        <f t="shared" ca="1" si="198"/>
        <v>0</v>
      </c>
      <c r="CQ52" s="283">
        <f t="shared" ca="1" si="198"/>
        <v>0</v>
      </c>
      <c r="CR52" s="283">
        <f t="shared" ca="1" si="198"/>
        <v>0</v>
      </c>
      <c r="CS52" s="283">
        <f t="shared" ca="1" si="198"/>
        <v>0</v>
      </c>
      <c r="CT52" s="283">
        <f t="shared" ca="1" si="198"/>
        <v>0</v>
      </c>
      <c r="CU52" s="283">
        <f t="shared" ca="1" si="198"/>
        <v>0</v>
      </c>
      <c r="CV52" s="283">
        <f t="shared" ca="1" si="198"/>
        <v>0</v>
      </c>
      <c r="CW52" s="283">
        <f t="shared" ca="1" si="198"/>
        <v>0</v>
      </c>
      <c r="CX52" s="283">
        <f t="shared" ca="1" si="198"/>
        <v>0</v>
      </c>
      <c r="CY52" s="283">
        <f t="shared" ca="1" si="198"/>
        <v>0</v>
      </c>
      <c r="CZ52" s="283">
        <f t="shared" ca="1" si="198"/>
        <v>0</v>
      </c>
      <c r="DA52" s="283">
        <f t="shared" ca="1" si="198"/>
        <v>0</v>
      </c>
    </row>
    <row r="53" spans="1:105" s="276" customFormat="1" ht="15.7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75" customHeight="1">
      <c r="A54" s="288"/>
      <c r="B54" s="288"/>
      <c r="C54" s="289"/>
      <c r="D54" s="288"/>
      <c r="E54" s="290" t="s">
        <v>217</v>
      </c>
      <c r="F54" s="288"/>
      <c r="G54" s="291"/>
      <c r="H54" s="291"/>
      <c r="I54" s="288"/>
      <c r="J54" s="288">
        <f ca="1">J52+'SC-II'!J54</f>
        <v>0</v>
      </c>
      <c r="K54" s="288">
        <f ca="1">K52+'SC-II'!K54</f>
        <v>0</v>
      </c>
      <c r="L54" s="288">
        <f ca="1">L52+'SC-II'!L54</f>
        <v>0</v>
      </c>
      <c r="M54" s="288">
        <f ca="1">M52+'SC-II'!M54</f>
        <v>0</v>
      </c>
      <c r="N54" s="288">
        <f ca="1">N52+'SC-II'!N54</f>
        <v>0</v>
      </c>
      <c r="O54" s="288">
        <f ca="1">O52+'SC-II'!O54</f>
        <v>0</v>
      </c>
      <c r="P54" s="288">
        <f ca="1">P52+'SC-II'!P54</f>
        <v>0</v>
      </c>
      <c r="Q54" s="288">
        <f ca="1">Q52+'SC-II'!Q54</f>
        <v>0</v>
      </c>
      <c r="R54" s="288">
        <f ca="1">R52+'SC-II'!R54</f>
        <v>0</v>
      </c>
      <c r="S54" s="288">
        <f ca="1">S52+'SC-II'!S54</f>
        <v>0</v>
      </c>
      <c r="T54" s="288">
        <f ca="1">T52+'SC-II'!T54</f>
        <v>0</v>
      </c>
      <c r="U54" s="288">
        <f ca="1">U52+'SC-II'!U54</f>
        <v>0</v>
      </c>
      <c r="V54" s="288">
        <f ca="1">V52+'SC-II'!V54</f>
        <v>0</v>
      </c>
      <c r="W54" s="288">
        <f ca="1">W52+'SC-II'!W54</f>
        <v>0</v>
      </c>
      <c r="X54" s="288">
        <f ca="1">X52+'SC-II'!X54</f>
        <v>0</v>
      </c>
      <c r="Y54" s="288">
        <f ca="1">Y52+'SC-II'!Y54</f>
        <v>0</v>
      </c>
      <c r="Z54" s="288">
        <f ca="1">Z52+'SC-II'!Z54</f>
        <v>0</v>
      </c>
      <c r="AA54" s="288">
        <f ca="1">AA52+'SC-II'!AA54</f>
        <v>0</v>
      </c>
      <c r="AB54" s="288">
        <f ca="1">AB52+'SC-II'!AB54</f>
        <v>0</v>
      </c>
      <c r="AC54" s="288">
        <f ca="1">AC52+'SC-II'!AC54</f>
        <v>0</v>
      </c>
      <c r="AD54" s="288">
        <f ca="1">AD52+'SC-II'!AD54</f>
        <v>0</v>
      </c>
      <c r="AE54" s="288">
        <f ca="1">AE52+'SC-II'!AE54</f>
        <v>0</v>
      </c>
      <c r="AF54" s="288">
        <f ca="1">AF52+'SC-II'!AF54</f>
        <v>0</v>
      </c>
      <c r="AG54" s="288">
        <f ca="1">AG52+'SC-II'!AG54</f>
        <v>0</v>
      </c>
      <c r="AH54" s="288">
        <f ca="1">AH52+'SC-II'!AH54</f>
        <v>0</v>
      </c>
      <c r="AI54" s="288">
        <f ca="1">AI52+'SC-II'!AI54</f>
        <v>0</v>
      </c>
      <c r="AJ54" s="288">
        <f ca="1">AJ52+'SC-II'!AJ54</f>
        <v>0</v>
      </c>
      <c r="AK54" s="288">
        <f ca="1">AK52+'SC-II'!AK54</f>
        <v>0</v>
      </c>
      <c r="AL54" s="288">
        <f ca="1">AL52+'SC-II'!AL54</f>
        <v>0</v>
      </c>
      <c r="AM54" s="288">
        <f ca="1">AM52+'SC-II'!AM54</f>
        <v>0</v>
      </c>
      <c r="AN54" s="288">
        <f ca="1">AN52+'SC-II'!AN54</f>
        <v>0</v>
      </c>
      <c r="AO54" s="288">
        <f ca="1">AO52+'SC-II'!AO54</f>
        <v>0</v>
      </c>
      <c r="AP54" s="288">
        <f ca="1">AP52+'SC-II'!AP54</f>
        <v>0</v>
      </c>
      <c r="AQ54" s="288">
        <f ca="1">AQ52+'SC-II'!AQ54</f>
        <v>0</v>
      </c>
      <c r="AR54" s="288">
        <f ca="1">AR52+'SC-II'!AR54</f>
        <v>0</v>
      </c>
      <c r="AS54" s="288">
        <f ca="1">AS52+'SC-II'!AS54</f>
        <v>0</v>
      </c>
      <c r="AT54" s="288">
        <f ca="1">AT52+'SC-II'!AT54</f>
        <v>0</v>
      </c>
      <c r="AU54" s="288">
        <f ca="1">AU52+'SC-II'!AU54</f>
        <v>0</v>
      </c>
      <c r="AV54" s="288">
        <f ca="1">AV52+'SC-II'!AV54</f>
        <v>0</v>
      </c>
      <c r="AW54" s="288">
        <f ca="1">AW52+'SC-II'!AW54</f>
        <v>0</v>
      </c>
      <c r="AX54" s="288">
        <f ca="1">AX52+'SC-II'!AX54</f>
        <v>0</v>
      </c>
      <c r="AY54" s="288">
        <f ca="1">AY52+'SC-II'!AY54</f>
        <v>0</v>
      </c>
      <c r="AZ54" s="288">
        <f ca="1">AZ52+'SC-II'!AZ54</f>
        <v>0</v>
      </c>
      <c r="BA54" s="288">
        <f ca="1">BA52+'SC-II'!BA54</f>
        <v>0</v>
      </c>
      <c r="BB54" s="288">
        <f ca="1">BB52+'SC-II'!BB54</f>
        <v>0</v>
      </c>
      <c r="BC54" s="288">
        <f ca="1">BC52+'SC-II'!BC54</f>
        <v>0</v>
      </c>
      <c r="BD54" s="288">
        <f ca="1">BD52+'SC-II'!BD54</f>
        <v>0</v>
      </c>
      <c r="BE54" s="288">
        <f ca="1">BE52+'SC-II'!BE54</f>
        <v>0</v>
      </c>
      <c r="BF54" s="288">
        <f ca="1">BF52+'SC-II'!BF54</f>
        <v>0</v>
      </c>
      <c r="BG54" s="288">
        <f ca="1">BG52+'SC-II'!BG54</f>
        <v>0</v>
      </c>
      <c r="BH54" s="288">
        <f ca="1">BH52+'SC-II'!BH54</f>
        <v>0</v>
      </c>
      <c r="BI54" s="288">
        <f ca="1">BI52+'SC-II'!BI54</f>
        <v>0</v>
      </c>
      <c r="BJ54" s="288">
        <f ca="1">BJ52+'SC-II'!BJ54</f>
        <v>0</v>
      </c>
      <c r="BK54" s="288">
        <f ca="1">BK52+'SC-II'!BK54</f>
        <v>0</v>
      </c>
      <c r="BL54" s="288">
        <f ca="1">BL52+'SC-II'!BL54</f>
        <v>0</v>
      </c>
      <c r="BM54" s="288">
        <f ca="1">BM52+'SC-II'!BM54</f>
        <v>0</v>
      </c>
      <c r="BN54" s="288">
        <f ca="1">BN52+'SC-II'!BN54</f>
        <v>0</v>
      </c>
      <c r="BO54" s="288">
        <f ca="1">BO52+'SC-II'!BO54</f>
        <v>0</v>
      </c>
      <c r="BP54" s="288">
        <f ca="1">BP52+'SC-II'!BP54</f>
        <v>0</v>
      </c>
      <c r="BQ54" s="288">
        <f ca="1">BQ52+'SC-II'!BQ54</f>
        <v>0</v>
      </c>
      <c r="BR54" s="288">
        <f ca="1">BR52+'SC-II'!BR54</f>
        <v>0</v>
      </c>
      <c r="BS54" s="288">
        <f ca="1">BS52+'SC-II'!BS54</f>
        <v>0</v>
      </c>
      <c r="BT54" s="288">
        <f ca="1">BT52+'SC-II'!BT54</f>
        <v>0</v>
      </c>
      <c r="BU54" s="288">
        <f ca="1">BU52+'SC-II'!BU54</f>
        <v>0</v>
      </c>
      <c r="BV54" s="288">
        <f ca="1">BV52+'SC-II'!BV54</f>
        <v>0</v>
      </c>
      <c r="BW54" s="288">
        <f ca="1">BW52+'SC-II'!BW54</f>
        <v>0</v>
      </c>
      <c r="BX54" s="288">
        <f ca="1">BX52+'SC-II'!BX54</f>
        <v>0</v>
      </c>
      <c r="BY54" s="288">
        <f ca="1">BY52+'SC-II'!BY54</f>
        <v>0</v>
      </c>
      <c r="BZ54" s="288">
        <f ca="1">BZ52+'SC-II'!BZ54</f>
        <v>0</v>
      </c>
      <c r="CA54" s="288">
        <f ca="1">CA52+'SC-II'!CA54</f>
        <v>107861885.00000048</v>
      </c>
      <c r="CB54" s="288">
        <f ca="1">CB52+'SC-II'!CB54</f>
        <v>107861885.00000048</v>
      </c>
      <c r="CC54" s="288">
        <f ca="1">CC52+'SC-II'!CC54</f>
        <v>0</v>
      </c>
      <c r="CD54" s="288">
        <f ca="1">CD52+'SC-II'!CD54</f>
        <v>0</v>
      </c>
      <c r="CE54" s="288">
        <f ca="1">CE52+'SC-II'!CE54</f>
        <v>0</v>
      </c>
      <c r="CF54" s="288">
        <f ca="1">CF52+'SC-II'!CF54</f>
        <v>0</v>
      </c>
      <c r="CG54" s="288">
        <f ca="1">CG52+'SC-II'!CG54</f>
        <v>0</v>
      </c>
      <c r="CH54" s="288">
        <f ca="1">CH52+'SC-II'!CH54</f>
        <v>0</v>
      </c>
      <c r="CI54" s="288">
        <f ca="1">CI52+'SC-II'!CI54</f>
        <v>0</v>
      </c>
      <c r="CJ54" s="288">
        <f ca="1">CJ52+'SC-II'!CJ54</f>
        <v>0</v>
      </c>
      <c r="CK54" s="288">
        <f ca="1">CK52+'SC-II'!CK54</f>
        <v>0</v>
      </c>
      <c r="CL54" s="288">
        <f ca="1">CL52+'SC-II'!CL54</f>
        <v>0</v>
      </c>
      <c r="CM54" s="288">
        <f ca="1">CM52+'SC-II'!CM54</f>
        <v>0</v>
      </c>
      <c r="CN54" s="288">
        <f ca="1">CN52+'SC-II'!CN54</f>
        <v>0</v>
      </c>
      <c r="CO54" s="288">
        <f ca="1">CO52+'SC-II'!CO54</f>
        <v>0</v>
      </c>
      <c r="CP54" s="288">
        <f ca="1">CP52+'SC-II'!CP54</f>
        <v>0</v>
      </c>
      <c r="CQ54" s="288">
        <f ca="1">CQ52+'SC-II'!CQ54</f>
        <v>0</v>
      </c>
      <c r="CR54" s="288">
        <f ca="1">CR52+'SC-II'!CR54</f>
        <v>0</v>
      </c>
      <c r="CS54" s="288">
        <f ca="1">CS52+'SC-II'!CS54</f>
        <v>0</v>
      </c>
      <c r="CT54" s="288">
        <f ca="1">CT52+'SC-II'!CT54</f>
        <v>0</v>
      </c>
      <c r="CU54" s="288">
        <f ca="1">CU52+'SC-II'!CU54</f>
        <v>0</v>
      </c>
      <c r="CV54" s="288">
        <f ca="1">CV52+'SC-II'!CV54</f>
        <v>0</v>
      </c>
      <c r="CW54" s="288">
        <f ca="1">CW52+'SC-II'!CW54</f>
        <v>0</v>
      </c>
      <c r="CX54" s="288">
        <f ca="1">CX52+'SC-II'!CX54</f>
        <v>0</v>
      </c>
      <c r="CY54" s="288">
        <f ca="1">CY52+'SC-II'!CY54</f>
        <v>0</v>
      </c>
      <c r="CZ54" s="288">
        <f ca="1">CZ52+'SC-II'!CZ54</f>
        <v>0</v>
      </c>
      <c r="DA54" s="288">
        <f ca="1">DA52+'SC-II'!DA54</f>
        <v>0</v>
      </c>
    </row>
    <row r="55" spans="1:105" ht="12" customHeight="1">
      <c r="B55" s="293"/>
      <c r="C55" s="294"/>
      <c r="D55" s="294"/>
      <c r="E55" s="294"/>
      <c r="F55" s="294"/>
      <c r="G55" s="295"/>
      <c r="H55" s="295"/>
      <c r="I55" s="294"/>
      <c r="J55" s="294"/>
      <c r="K55" s="294"/>
      <c r="AR55" s="293"/>
      <c r="AS55" s="293"/>
      <c r="AT55" s="294"/>
      <c r="AU55" s="294"/>
      <c r="AV55" s="294"/>
      <c r="AW55" s="295"/>
      <c r="AX55" s="295"/>
      <c r="AY55" s="295"/>
      <c r="AZ55" s="295"/>
      <c r="BA55" s="311"/>
    </row>
    <row r="56" spans="1:105">
      <c r="F56" s="257"/>
      <c r="M56" s="296"/>
      <c r="O56" s="296"/>
      <c r="Q56" s="296"/>
      <c r="R56" s="296"/>
      <c r="S56" s="296"/>
      <c r="T56" s="296"/>
      <c r="U56" s="296"/>
      <c r="V56" s="296"/>
      <c r="AL56" s="297" t="s">
        <v>232</v>
      </c>
      <c r="AM56" s="298"/>
      <c r="AN56" s="298"/>
      <c r="AO56" s="298"/>
      <c r="AP56" s="298"/>
      <c r="AQ56" s="298"/>
      <c r="AR56" s="299"/>
      <c r="AS56" s="299"/>
      <c r="AT56" s="298"/>
    </row>
    <row r="57" spans="1:105">
      <c r="F57" s="257"/>
      <c r="M57" s="296"/>
      <c r="O57" s="296"/>
      <c r="Q57" s="296"/>
      <c r="R57" s="296"/>
      <c r="S57" s="296"/>
      <c r="T57" s="296"/>
      <c r="U57" s="296"/>
      <c r="V57" s="296"/>
      <c r="AL57" s="300" t="s">
        <v>223</v>
      </c>
      <c r="AM57" s="298"/>
      <c r="AN57" s="298"/>
      <c r="AO57" s="298"/>
      <c r="AP57" s="298"/>
      <c r="AQ57" s="298"/>
      <c r="AR57" s="299"/>
      <c r="AS57" s="299"/>
      <c r="AT57" s="298"/>
    </row>
    <row r="58" spans="1:105">
      <c r="F58" s="257"/>
      <c r="M58" s="296"/>
      <c r="O58" s="296"/>
      <c r="Q58" s="296"/>
      <c r="R58" s="296"/>
      <c r="S58" s="296"/>
      <c r="T58" s="296"/>
      <c r="U58" s="296"/>
      <c r="V58" s="296"/>
      <c r="AL58" s="298"/>
      <c r="AM58" s="298"/>
      <c r="AN58" s="298"/>
      <c r="AO58" s="298"/>
      <c r="AP58" s="298"/>
      <c r="AQ58" s="298"/>
      <c r="AR58" s="298"/>
      <c r="AS58" s="298"/>
      <c r="AT58" s="299"/>
    </row>
    <row r="59" spans="1:105">
      <c r="F59" s="257"/>
      <c r="M59" s="296"/>
      <c r="O59" s="296"/>
      <c r="Q59" s="296"/>
      <c r="R59" s="296"/>
      <c r="S59" s="296"/>
      <c r="T59" s="296"/>
      <c r="U59" s="296"/>
      <c r="V59" s="296"/>
      <c r="AL59" s="298"/>
      <c r="AM59" s="298"/>
      <c r="AN59" s="298"/>
      <c r="AO59" s="298"/>
      <c r="AP59" s="298"/>
      <c r="AQ59" s="298"/>
      <c r="AR59" s="298"/>
      <c r="AS59" s="298"/>
      <c r="AT59" s="299"/>
      <c r="AZ59" s="301" t="str">
        <f>"Ngày 30 tháng 09 năm 2015 "</f>
        <v xml:space="preserve">Ngày 30 tháng 09 năm 2015 </v>
      </c>
    </row>
    <row r="60" spans="1:105">
      <c r="F60" s="257"/>
      <c r="M60" s="296"/>
      <c r="O60" s="296"/>
      <c r="Q60" s="296"/>
      <c r="R60" s="296"/>
      <c r="S60" s="296"/>
      <c r="T60" s="296"/>
      <c r="U60" s="296"/>
      <c r="V60" s="296"/>
      <c r="AL60" s="298"/>
      <c r="AM60" s="302" t="s">
        <v>11</v>
      </c>
      <c r="AN60" s="298"/>
      <c r="AO60" s="298"/>
      <c r="AP60" s="298"/>
      <c r="AQ60" s="298"/>
      <c r="AR60" s="298"/>
      <c r="AS60" s="303" t="s">
        <v>12</v>
      </c>
      <c r="AT60" s="299"/>
      <c r="AZ60" s="302" t="s">
        <v>131</v>
      </c>
    </row>
    <row r="61" spans="1:105">
      <c r="F61" s="257"/>
      <c r="M61" s="296"/>
      <c r="O61" s="296"/>
      <c r="Q61" s="296"/>
      <c r="R61" s="296"/>
      <c r="S61" s="296"/>
      <c r="T61" s="296"/>
      <c r="U61" s="296"/>
      <c r="V61" s="296"/>
      <c r="AL61" s="298"/>
      <c r="AM61" s="304" t="s">
        <v>13</v>
      </c>
      <c r="AN61" s="298"/>
      <c r="AO61" s="298"/>
      <c r="AP61" s="298"/>
      <c r="AQ61" s="298"/>
      <c r="AR61" s="298"/>
      <c r="AS61" s="305" t="s">
        <v>13</v>
      </c>
      <c r="AT61" s="299"/>
      <c r="AZ61" s="304" t="s">
        <v>161</v>
      </c>
    </row>
    <row r="62" spans="1:105">
      <c r="F62" s="257"/>
      <c r="M62" s="296"/>
      <c r="O62" s="296"/>
      <c r="Q62" s="296"/>
      <c r="R62" s="296"/>
      <c r="S62" s="296"/>
      <c r="T62" s="296"/>
      <c r="U62" s="296"/>
      <c r="V62" s="296"/>
      <c r="AL62" s="298"/>
      <c r="AM62" s="298"/>
      <c r="AN62" s="298"/>
      <c r="AO62" s="298"/>
      <c r="AP62" s="298"/>
      <c r="AQ62" s="298"/>
      <c r="AR62" s="298"/>
      <c r="AS62" s="298"/>
      <c r="AT62" s="299"/>
      <c r="AZ62" s="298"/>
    </row>
    <row r="63" spans="1:105">
      <c r="F63" s="257"/>
      <c r="M63" s="296"/>
      <c r="O63" s="296"/>
      <c r="Q63" s="296"/>
      <c r="R63" s="296"/>
      <c r="S63" s="296"/>
      <c r="T63" s="296"/>
      <c r="U63" s="296"/>
      <c r="V63" s="296"/>
      <c r="AZ63" s="298"/>
    </row>
    <row r="64" spans="1:105">
      <c r="F64" s="257"/>
      <c r="M64" s="296"/>
      <c r="O64" s="296"/>
      <c r="Q64" s="296"/>
      <c r="R64" s="296"/>
      <c r="S64" s="296"/>
      <c r="T64" s="296"/>
      <c r="U64" s="296"/>
      <c r="V64" s="296"/>
    </row>
    <row r="65" spans="6:22">
      <c r="F65" s="257"/>
      <c r="M65" s="296"/>
      <c r="O65" s="296"/>
      <c r="Q65" s="296"/>
      <c r="R65" s="296"/>
      <c r="S65" s="296"/>
      <c r="T65" s="296"/>
      <c r="U65" s="296"/>
      <c r="V65" s="296"/>
    </row>
    <row r="66" spans="6:22">
      <c r="F66" s="257"/>
      <c r="M66" s="296"/>
      <c r="O66" s="296"/>
      <c r="Q66" s="296"/>
      <c r="R66" s="296"/>
      <c r="S66" s="296"/>
      <c r="T66" s="296"/>
      <c r="U66" s="296"/>
      <c r="V66" s="296"/>
    </row>
    <row r="67" spans="6:22">
      <c r="F67" s="257"/>
      <c r="M67" s="296"/>
      <c r="O67" s="296"/>
      <c r="Q67" s="296"/>
      <c r="R67" s="296"/>
      <c r="S67" s="296"/>
      <c r="T67" s="296"/>
      <c r="U67" s="296"/>
      <c r="V67" s="296"/>
    </row>
    <row r="68" spans="6:22">
      <c r="F68" s="257"/>
      <c r="M68" s="296"/>
      <c r="O68" s="296"/>
      <c r="Q68" s="296"/>
      <c r="R68" s="296"/>
      <c r="S68" s="296"/>
      <c r="T68" s="296"/>
      <c r="U68" s="296"/>
      <c r="V68" s="296"/>
    </row>
    <row r="69" spans="6:22">
      <c r="F69" s="257"/>
      <c r="M69" s="296"/>
      <c r="O69" s="296"/>
      <c r="Q69" s="296"/>
      <c r="R69" s="296"/>
      <c r="S69" s="296"/>
      <c r="T69" s="296"/>
      <c r="U69" s="296"/>
      <c r="V69" s="296"/>
    </row>
    <row r="78" spans="6:22">
      <c r="R78" s="296"/>
    </row>
    <row r="79" spans="6:22">
      <c r="R79" s="296"/>
    </row>
    <row r="80" spans="6:22">
      <c r="M80" s="296"/>
      <c r="O80" s="296"/>
      <c r="P80" s="296"/>
      <c r="Q80" s="296"/>
      <c r="R80" s="296"/>
    </row>
    <row r="81" spans="13:18">
      <c r="M81" s="296"/>
      <c r="O81" s="296"/>
      <c r="P81" s="296"/>
      <c r="Q81" s="296"/>
      <c r="R81" s="296"/>
    </row>
    <row r="82" spans="13:18">
      <c r="M82" s="296"/>
      <c r="O82" s="296"/>
      <c r="P82" s="296"/>
      <c r="Q82" s="296"/>
    </row>
    <row r="83" spans="13:18">
      <c r="M83" s="296"/>
      <c r="O83" s="296"/>
      <c r="P83" s="296"/>
      <c r="Q83" s="296"/>
    </row>
    <row r="85" spans="13:18">
      <c r="M85" s="296"/>
      <c r="O85" s="296"/>
      <c r="P85" s="296"/>
      <c r="Q85" s="296"/>
      <c r="R85" s="296"/>
    </row>
    <row r="86" spans="13:18">
      <c r="M86" s="296"/>
      <c r="O86" s="296"/>
      <c r="P86" s="296"/>
      <c r="Q86" s="296"/>
      <c r="R86" s="296"/>
    </row>
    <row r="93" spans="13:18">
      <c r="M93" s="296"/>
      <c r="O93" s="296"/>
      <c r="P93" s="296"/>
      <c r="Q93" s="296"/>
      <c r="R93" s="296"/>
    </row>
    <row r="94" spans="13:18">
      <c r="M94" s="296"/>
      <c r="O94" s="296"/>
      <c r="P94" s="296"/>
      <c r="Q94" s="296"/>
      <c r="R94" s="296"/>
    </row>
    <row r="95" spans="13:18">
      <c r="M95" s="296"/>
      <c r="O95" s="296"/>
      <c r="P95" s="296"/>
      <c r="Q95" s="296"/>
      <c r="R95" s="296"/>
    </row>
    <row r="99" spans="13:18">
      <c r="M99" s="296"/>
      <c r="O99" s="296"/>
      <c r="P99" s="296"/>
      <c r="Q99" s="296"/>
      <c r="R99" s="296"/>
    </row>
    <row r="100" spans="13:18">
      <c r="M100" s="296"/>
      <c r="O100" s="296"/>
      <c r="P100" s="296"/>
      <c r="Q100" s="296"/>
      <c r="R100" s="296"/>
    </row>
    <row r="101" spans="13:18">
      <c r="M101" s="296"/>
      <c r="O101" s="296"/>
      <c r="P101" s="296"/>
      <c r="Q101" s="296"/>
      <c r="R101" s="296"/>
    </row>
    <row r="102" spans="13:18">
      <c r="M102" s="296"/>
      <c r="O102" s="296"/>
      <c r="P102" s="296"/>
      <c r="Q102" s="296"/>
      <c r="R102" s="296"/>
    </row>
    <row r="103" spans="13:18">
      <c r="M103" s="296"/>
      <c r="O103" s="296"/>
      <c r="P103" s="296"/>
      <c r="Q103" s="296"/>
      <c r="R103" s="296"/>
    </row>
    <row r="104" spans="13:18">
      <c r="M104" s="296"/>
      <c r="O104" s="296"/>
      <c r="P104" s="296"/>
      <c r="Q104" s="296"/>
      <c r="R104" s="296"/>
    </row>
    <row r="105" spans="13:18">
      <c r="M105" s="296"/>
      <c r="O105" s="296"/>
      <c r="P105" s="296"/>
      <c r="Q105" s="296"/>
      <c r="R105" s="296"/>
    </row>
    <row r="106" spans="13:18">
      <c r="M106" s="296"/>
      <c r="O106" s="296"/>
      <c r="P106" s="296"/>
      <c r="Q106" s="296"/>
      <c r="R106" s="296"/>
    </row>
    <row r="107" spans="13:18">
      <c r="M107" s="296"/>
      <c r="O107" s="296"/>
      <c r="P107" s="296"/>
      <c r="Q107" s="296"/>
      <c r="R107" s="296"/>
    </row>
    <row r="108" spans="13:18">
      <c r="M108" s="296"/>
      <c r="O108" s="296"/>
      <c r="P108" s="296"/>
      <c r="Q108" s="296"/>
      <c r="R108" s="296"/>
    </row>
    <row r="109" spans="13:18">
      <c r="M109" s="296"/>
      <c r="O109" s="296"/>
      <c r="P109" s="296"/>
      <c r="Q109" s="296"/>
      <c r="R109" s="296"/>
    </row>
    <row r="110" spans="13:18">
      <c r="M110" s="296"/>
      <c r="O110" s="296"/>
      <c r="P110" s="296"/>
      <c r="Q110" s="296"/>
      <c r="R110" s="296"/>
    </row>
    <row r="111" spans="13:18">
      <c r="M111" s="296"/>
      <c r="O111" s="296"/>
      <c r="P111" s="296"/>
      <c r="Q111" s="296"/>
      <c r="R111" s="296"/>
    </row>
    <row r="112" spans="13:18">
      <c r="M112" s="296"/>
      <c r="O112" s="296"/>
      <c r="P112" s="296"/>
      <c r="Q112" s="296"/>
      <c r="R112" s="296"/>
    </row>
    <row r="113" spans="13:18">
      <c r="M113" s="296"/>
      <c r="O113" s="296"/>
      <c r="P113" s="296"/>
      <c r="Q113" s="296"/>
      <c r="R113" s="296"/>
    </row>
    <row r="114" spans="13:18">
      <c r="M114" s="296"/>
      <c r="O114" s="296"/>
      <c r="P114" s="296"/>
      <c r="Q114" s="296"/>
      <c r="R114" s="296"/>
    </row>
    <row r="115" spans="13:18">
      <c r="M115" s="296"/>
      <c r="O115" s="296"/>
      <c r="P115" s="296"/>
      <c r="Q115" s="296"/>
      <c r="R115" s="296"/>
    </row>
    <row r="116" spans="13:18">
      <c r="M116" s="296"/>
      <c r="O116" s="296"/>
      <c r="P116" s="296"/>
      <c r="Q116" s="296"/>
      <c r="R116" s="296"/>
    </row>
    <row r="117" spans="13:18">
      <c r="M117" s="296"/>
      <c r="O117" s="296"/>
      <c r="P117" s="296"/>
      <c r="Q117" s="296"/>
      <c r="R117" s="296"/>
    </row>
    <row r="118" spans="13:18">
      <c r="M118" s="296"/>
      <c r="O118" s="296"/>
      <c r="P118" s="296"/>
      <c r="Q118" s="296"/>
      <c r="R118" s="296"/>
    </row>
    <row r="119" spans="13:18">
      <c r="M119" s="296"/>
      <c r="O119" s="296"/>
      <c r="P119" s="296"/>
      <c r="Q119" s="296"/>
      <c r="R119" s="296"/>
    </row>
    <row r="120" spans="13:18">
      <c r="M120" s="296"/>
      <c r="O120" s="296"/>
      <c r="P120" s="296"/>
      <c r="Q120" s="296"/>
      <c r="R120" s="296"/>
    </row>
    <row r="121" spans="13:18">
      <c r="M121" s="296"/>
      <c r="O121" s="296"/>
      <c r="P121" s="296"/>
      <c r="Q121" s="296"/>
      <c r="R121" s="296"/>
    </row>
    <row r="122" spans="13:18">
      <c r="M122" s="296"/>
      <c r="O122" s="296"/>
      <c r="P122" s="296"/>
      <c r="Q122" s="296"/>
      <c r="R122" s="296"/>
    </row>
    <row r="123" spans="13:18">
      <c r="M123" s="296"/>
      <c r="O123" s="296"/>
      <c r="P123" s="296"/>
      <c r="Q123" s="296"/>
      <c r="R123" s="296"/>
    </row>
    <row r="124" spans="13:18">
      <c r="M124" s="296"/>
      <c r="O124" s="296"/>
      <c r="P124" s="296"/>
      <c r="Q124" s="296"/>
      <c r="R124" s="296"/>
    </row>
    <row r="125" spans="13:18">
      <c r="M125" s="296"/>
      <c r="O125" s="296"/>
      <c r="P125" s="296"/>
      <c r="Q125" s="296"/>
      <c r="R125" s="296"/>
    </row>
    <row r="126" spans="13:18">
      <c r="M126" s="296"/>
      <c r="O126" s="296"/>
      <c r="P126" s="296"/>
      <c r="Q126" s="296"/>
      <c r="R126" s="296"/>
    </row>
    <row r="127" spans="13:18">
      <c r="M127" s="296"/>
      <c r="O127" s="296"/>
      <c r="P127" s="296"/>
      <c r="Q127" s="296"/>
      <c r="R127" s="296"/>
    </row>
    <row r="128" spans="13:18">
      <c r="M128" s="296"/>
      <c r="O128" s="296"/>
      <c r="P128" s="296"/>
      <c r="Q128" s="296"/>
      <c r="R128" s="296"/>
    </row>
    <row r="129" spans="13:18">
      <c r="M129" s="296"/>
      <c r="O129" s="296"/>
      <c r="P129" s="296"/>
      <c r="Q129" s="296"/>
      <c r="R129" s="296"/>
    </row>
    <row r="130" spans="13:18">
      <c r="M130" s="296"/>
      <c r="O130" s="296"/>
      <c r="P130" s="296"/>
      <c r="Q130" s="296"/>
      <c r="R130" s="296"/>
    </row>
    <row r="131" spans="13:18">
      <c r="M131" s="296"/>
      <c r="O131" s="296"/>
      <c r="P131" s="296"/>
      <c r="Q131" s="296"/>
      <c r="R131" s="296"/>
    </row>
    <row r="132" spans="13:18">
      <c r="M132" s="296"/>
      <c r="O132" s="296"/>
      <c r="P132" s="296"/>
      <c r="Q132" s="296"/>
      <c r="R132" s="296"/>
    </row>
    <row r="133" spans="13:18">
      <c r="M133" s="296"/>
      <c r="O133" s="296"/>
      <c r="P133" s="296"/>
      <c r="Q133" s="296"/>
      <c r="R133" s="296"/>
    </row>
    <row r="134" spans="13:18">
      <c r="M134" s="296"/>
      <c r="O134" s="296"/>
      <c r="P134" s="296"/>
      <c r="Q134" s="296"/>
      <c r="R134"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38" spans="13:18">
      <c r="M138" s="296"/>
      <c r="O138" s="296"/>
      <c r="P138" s="296"/>
      <c r="Q138" s="296"/>
      <c r="R138" s="296"/>
    </row>
    <row r="139" spans="13:18">
      <c r="M139" s="296"/>
      <c r="O139" s="296"/>
      <c r="P139" s="296"/>
      <c r="Q139" s="296"/>
      <c r="R139" s="296"/>
    </row>
    <row r="140" spans="13:18">
      <c r="M140" s="296"/>
      <c r="O140" s="296"/>
      <c r="P140" s="296"/>
      <c r="Q140" s="296"/>
      <c r="R140"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57" customWidth="1"/>
    <col min="2" max="2" width="8.42578125" style="257" customWidth="1"/>
    <col min="3" max="3" width="7.85546875" style="257" customWidth="1"/>
    <col min="4" max="4" width="8.7109375" style="257" customWidth="1"/>
    <col min="5" max="5" width="44" style="257" customWidth="1"/>
    <col min="6" max="6" width="13.5703125" style="257" customWidth="1"/>
    <col min="7" max="8" width="5.85546875" style="258" customWidth="1"/>
    <col min="9" max="9" width="4.85546875" style="257" customWidth="1"/>
    <col min="10" max="10" width="13.140625" style="257" customWidth="1"/>
    <col min="11" max="11" width="13.28515625" style="257" customWidth="1"/>
    <col min="12" max="12" width="13.7109375" style="257" customWidth="1"/>
    <col min="13" max="13" width="14" style="257" customWidth="1"/>
    <col min="14" max="14" width="13.7109375" style="257" customWidth="1"/>
    <col min="15" max="15" width="14" style="257" customWidth="1"/>
    <col min="16" max="16" width="12.7109375" style="257" customWidth="1"/>
    <col min="17" max="17" width="14.5703125" style="257" customWidth="1"/>
    <col min="18" max="18" width="13.28515625" style="257" customWidth="1"/>
    <col min="19" max="19" width="13" style="257" customWidth="1"/>
    <col min="20" max="20" width="14" style="257" customWidth="1"/>
    <col min="21" max="21" width="5" style="257" customWidth="1"/>
    <col min="22" max="22" width="13.7109375" style="257" customWidth="1"/>
    <col min="23" max="23" width="13.42578125" style="257" customWidth="1"/>
    <col min="24" max="24" width="6.140625" style="257" customWidth="1"/>
    <col min="25" max="25" width="7.140625" style="257" customWidth="1"/>
    <col min="26" max="27" width="9.42578125" style="257" customWidth="1"/>
    <col min="28" max="28" width="11.140625" style="257" customWidth="1"/>
    <col min="29" max="29" width="13" style="257" customWidth="1"/>
    <col min="30" max="30" width="4.5703125" style="257" customWidth="1"/>
    <col min="31" max="31" width="13.5703125" style="257" customWidth="1"/>
    <col min="32" max="32" width="4.5703125" style="257" customWidth="1"/>
    <col min="33" max="33" width="13.5703125" style="257" customWidth="1"/>
    <col min="34" max="34" width="4.42578125" style="257" customWidth="1"/>
    <col min="35" max="35" width="12.7109375" style="257" customWidth="1"/>
    <col min="36" max="36" width="11.140625" style="257" customWidth="1"/>
    <col min="37" max="37" width="4.7109375" style="257" customWidth="1"/>
    <col min="38" max="38" width="12.28515625" style="257" customWidth="1"/>
    <col min="39" max="39" width="11.42578125" style="257" customWidth="1"/>
    <col min="40" max="40" width="11.28515625" style="257" customWidth="1"/>
    <col min="41" max="41" width="11.140625" style="257" customWidth="1"/>
    <col min="42" max="43" width="12.5703125" style="257" customWidth="1"/>
    <col min="44" max="44" width="13.42578125" style="257" customWidth="1"/>
    <col min="45" max="45" width="12.7109375" style="257" customWidth="1"/>
    <col min="46" max="46" width="11.85546875" style="257" customWidth="1"/>
    <col min="47" max="47" width="11.5703125" style="257" customWidth="1"/>
    <col min="48" max="48" width="7.5703125" style="257" customWidth="1"/>
    <col min="49" max="49" width="8.140625" style="257" customWidth="1"/>
    <col min="50" max="50" width="7.5703125" style="257" customWidth="1"/>
    <col min="51" max="51" width="7.42578125" style="257" customWidth="1"/>
    <col min="52" max="53" width="13.140625" style="257" customWidth="1"/>
    <col min="54" max="16384" width="9.140625" style="257"/>
  </cols>
  <sheetData>
    <row r="1" spans="1:105" ht="12.75" customHeight="1">
      <c r="A1" s="253"/>
      <c r="B1" s="254" t="s">
        <v>121</v>
      </c>
      <c r="C1" s="255"/>
      <c r="D1" s="255"/>
      <c r="E1" s="256"/>
      <c r="I1" s="255"/>
      <c r="L1" s="1215" t="s">
        <v>191</v>
      </c>
      <c r="M1" s="1215"/>
      <c r="N1" s="1215"/>
      <c r="O1" s="1215"/>
      <c r="P1" s="1215"/>
      <c r="Q1" s="1215"/>
      <c r="R1" s="361"/>
      <c r="T1" s="255"/>
      <c r="U1" s="255"/>
      <c r="V1" s="255"/>
      <c r="W1" s="255"/>
      <c r="X1" s="255"/>
      <c r="Y1" s="255"/>
      <c r="Z1" s="255"/>
      <c r="AA1" s="255"/>
      <c r="AB1" s="255"/>
      <c r="AC1" s="255"/>
      <c r="AD1" s="255"/>
      <c r="AE1" s="255"/>
      <c r="AF1" s="432"/>
      <c r="AG1" s="432"/>
      <c r="AH1" s="255"/>
      <c r="AI1" s="255"/>
      <c r="AJ1" s="255"/>
      <c r="AK1" s="255"/>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L2" s="1216" t="s">
        <v>144</v>
      </c>
      <c r="M2" s="1216"/>
      <c r="N2" s="1216"/>
      <c r="O2" s="1216"/>
      <c r="P2" s="1216"/>
      <c r="Q2" s="1216"/>
      <c r="R2" s="362"/>
      <c r="T2" s="259"/>
      <c r="U2" s="259"/>
      <c r="V2" s="259"/>
      <c r="W2" s="259"/>
      <c r="X2" s="259"/>
      <c r="Y2" s="259"/>
      <c r="Z2" s="259"/>
      <c r="AA2" s="259"/>
      <c r="AB2" s="259"/>
      <c r="AC2" s="259"/>
      <c r="AD2" s="259"/>
      <c r="AE2" s="259"/>
      <c r="AF2" s="433"/>
      <c r="AG2" s="433"/>
      <c r="AH2" s="259"/>
      <c r="AI2" s="259"/>
      <c r="AJ2" s="259"/>
      <c r="AK2" s="259"/>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L3" s="1216"/>
      <c r="M3" s="1216"/>
      <c r="N3" s="1216"/>
      <c r="O3" s="1216"/>
      <c r="P3" s="1216"/>
      <c r="Q3" s="1216"/>
      <c r="R3" s="362"/>
      <c r="T3" s="259"/>
      <c r="U3" s="259"/>
      <c r="V3" s="259"/>
      <c r="W3" s="259"/>
      <c r="X3" s="259"/>
      <c r="Y3" s="259"/>
      <c r="Z3" s="259"/>
      <c r="AA3" s="259"/>
      <c r="AB3" s="259"/>
      <c r="AC3" s="259"/>
      <c r="AD3" s="259"/>
      <c r="AE3" s="259"/>
      <c r="AF3" s="433"/>
      <c r="AG3" s="433"/>
      <c r="AH3" s="259"/>
      <c r="AI3" s="259"/>
      <c r="AJ3" s="259"/>
      <c r="AK3" s="259"/>
      <c r="AL3" s="259"/>
      <c r="AM3" s="259"/>
      <c r="AN3" s="259"/>
      <c r="AO3" s="259"/>
      <c r="AP3" s="259"/>
      <c r="AQ3" s="259"/>
      <c r="AR3" s="259"/>
      <c r="AS3" s="259"/>
      <c r="AT3" s="259"/>
      <c r="AU3" s="259"/>
      <c r="AV3" s="259"/>
      <c r="AW3" s="259"/>
      <c r="AX3" s="259"/>
      <c r="AY3" s="259"/>
      <c r="AZ3" s="259"/>
      <c r="BA3" s="259"/>
    </row>
    <row r="4" spans="1:105" ht="19.5" customHeight="1">
      <c r="B4" s="1217" t="s">
        <v>112</v>
      </c>
      <c r="C4" s="1217"/>
      <c r="D4" s="1217"/>
      <c r="E4" s="1217"/>
      <c r="F4" s="1217"/>
      <c r="G4" s="1217"/>
      <c r="H4" s="1217"/>
      <c r="I4" s="1217"/>
      <c r="J4" s="1217"/>
      <c r="K4" s="1217"/>
      <c r="L4" s="1217"/>
      <c r="M4" s="1217"/>
      <c r="N4" s="1217"/>
      <c r="O4" s="1217"/>
      <c r="P4" s="1217"/>
      <c r="Q4" s="1217"/>
      <c r="R4" s="1217"/>
      <c r="S4" s="262"/>
      <c r="T4" s="264"/>
      <c r="U4" s="264"/>
      <c r="V4" s="264"/>
      <c r="W4" s="264"/>
      <c r="X4" s="264"/>
      <c r="Y4" s="264"/>
      <c r="Z4" s="264"/>
      <c r="AA4" s="264"/>
      <c r="AB4" s="264"/>
      <c r="AC4" s="264"/>
      <c r="AD4" s="264"/>
      <c r="AE4" s="264"/>
      <c r="AF4" s="264"/>
      <c r="AG4" s="264"/>
      <c r="AH4" s="264"/>
      <c r="AI4" s="264"/>
      <c r="AJ4" s="264"/>
      <c r="AK4" s="264"/>
      <c r="AL4" s="264"/>
      <c r="AM4" s="264"/>
      <c r="AN4" s="264"/>
      <c r="AO4" s="264"/>
      <c r="AP4" s="264"/>
      <c r="AQ4" s="264"/>
      <c r="AR4" s="264"/>
      <c r="AS4" s="264"/>
      <c r="AT4" s="264"/>
      <c r="AU4" s="264"/>
      <c r="AV4" s="264"/>
      <c r="AW4" s="264"/>
      <c r="AX4" s="264"/>
      <c r="AY4" s="264"/>
      <c r="AZ4" s="264"/>
      <c r="BA4" s="264"/>
    </row>
    <row r="5" spans="1:105" ht="15">
      <c r="B5" s="1218" t="s">
        <v>224</v>
      </c>
      <c r="C5" s="1218"/>
      <c r="D5" s="1218"/>
      <c r="E5" s="1218"/>
      <c r="F5" s="1218"/>
      <c r="G5" s="1218"/>
      <c r="H5" s="1218"/>
      <c r="I5" s="1218"/>
      <c r="J5" s="1218"/>
      <c r="K5" s="1218"/>
      <c r="L5" s="1218"/>
      <c r="M5" s="1218"/>
      <c r="N5" s="1218"/>
      <c r="O5" s="1218"/>
      <c r="P5" s="1218"/>
      <c r="Q5" s="1218"/>
      <c r="R5" s="1218"/>
      <c r="S5" s="265"/>
    </row>
    <row r="7" spans="1:105" ht="13.5" customHeight="1">
      <c r="A7" s="1219" t="s">
        <v>37</v>
      </c>
      <c r="B7" s="1213" t="s">
        <v>22</v>
      </c>
      <c r="C7" s="1221" t="s">
        <v>1</v>
      </c>
      <c r="D7" s="1222"/>
      <c r="E7" s="1213" t="s">
        <v>0</v>
      </c>
      <c r="F7" s="1213" t="s">
        <v>113</v>
      </c>
      <c r="G7" s="1223" t="s">
        <v>114</v>
      </c>
      <c r="H7" s="1223"/>
      <c r="I7" s="1214" t="s">
        <v>37</v>
      </c>
      <c r="J7" s="1213" t="s">
        <v>193</v>
      </c>
      <c r="K7" s="1213"/>
      <c r="L7" s="1213" t="s">
        <v>194</v>
      </c>
      <c r="M7" s="1213"/>
      <c r="N7" s="1213" t="s">
        <v>269</v>
      </c>
      <c r="O7" s="1213"/>
      <c r="P7" s="1213" t="s">
        <v>981</v>
      </c>
      <c r="Q7" s="1213"/>
      <c r="R7" s="1213" t="s">
        <v>195</v>
      </c>
      <c r="S7" s="1213"/>
      <c r="T7" s="1213" t="s">
        <v>196</v>
      </c>
      <c r="U7" s="1213"/>
      <c r="V7" s="1213" t="s">
        <v>982</v>
      </c>
      <c r="W7" s="1213"/>
      <c r="X7" s="1213" t="s">
        <v>983</v>
      </c>
      <c r="Y7" s="1213"/>
      <c r="Z7" s="1213" t="s">
        <v>984</v>
      </c>
      <c r="AA7" s="1213"/>
      <c r="AB7" s="1213" t="s">
        <v>985</v>
      </c>
      <c r="AC7" s="1213"/>
      <c r="AD7" s="1213" t="s">
        <v>986</v>
      </c>
      <c r="AE7" s="1213"/>
      <c r="AF7" s="1213" t="s">
        <v>987</v>
      </c>
      <c r="AG7" s="1213"/>
      <c r="AH7" s="1213" t="s">
        <v>988</v>
      </c>
      <c r="AI7" s="1213"/>
      <c r="AJ7" s="1213" t="s">
        <v>989</v>
      </c>
      <c r="AK7" s="1213"/>
      <c r="AL7" s="1213" t="s">
        <v>990</v>
      </c>
      <c r="AM7" s="1213"/>
      <c r="AN7" s="1213" t="s">
        <v>991</v>
      </c>
      <c r="AO7" s="1213"/>
      <c r="AP7" s="1213" t="s">
        <v>992</v>
      </c>
      <c r="AQ7" s="1213"/>
      <c r="AR7" s="1213" t="s">
        <v>993</v>
      </c>
      <c r="AS7" s="1213"/>
      <c r="AT7" s="1213" t="s">
        <v>197</v>
      </c>
      <c r="AU7" s="1213"/>
      <c r="AV7" s="1213" t="s">
        <v>198</v>
      </c>
      <c r="AW7" s="1213"/>
      <c r="AX7" s="1213" t="s">
        <v>994</v>
      </c>
      <c r="AY7" s="1213"/>
      <c r="AZ7" s="1213" t="s">
        <v>995</v>
      </c>
      <c r="BA7" s="1213"/>
      <c r="BB7" s="1213" t="s">
        <v>996</v>
      </c>
      <c r="BC7" s="1213"/>
      <c r="BD7" s="1213" t="s">
        <v>199</v>
      </c>
      <c r="BE7" s="1213"/>
      <c r="BF7" s="1213" t="s">
        <v>997</v>
      </c>
      <c r="BG7" s="1213"/>
      <c r="BH7" s="1213" t="s">
        <v>200</v>
      </c>
      <c r="BI7" s="1213"/>
      <c r="BJ7" s="1213" t="s">
        <v>998</v>
      </c>
      <c r="BK7" s="1213"/>
      <c r="BL7" s="1213" t="s">
        <v>999</v>
      </c>
      <c r="BM7" s="1213"/>
      <c r="BN7" s="1213" t="s">
        <v>1000</v>
      </c>
      <c r="BO7" s="1213"/>
      <c r="BP7" s="1213" t="s">
        <v>1001</v>
      </c>
      <c r="BQ7" s="1213"/>
      <c r="BR7" s="1213" t="s">
        <v>201</v>
      </c>
      <c r="BS7" s="1213"/>
      <c r="BT7" s="1213" t="s">
        <v>202</v>
      </c>
      <c r="BU7" s="1213"/>
      <c r="BV7" s="1213" t="s">
        <v>264</v>
      </c>
      <c r="BW7" s="1213"/>
      <c r="BX7" s="1213" t="s">
        <v>203</v>
      </c>
      <c r="BY7" s="1213"/>
      <c r="BZ7" s="1213" t="s">
        <v>204</v>
      </c>
      <c r="CA7" s="1213"/>
      <c r="CB7" s="1213" t="s">
        <v>205</v>
      </c>
      <c r="CC7" s="1213"/>
      <c r="CD7" s="1213" t="s">
        <v>1002</v>
      </c>
      <c r="CE7" s="1213"/>
      <c r="CF7" s="1213" t="s">
        <v>1003</v>
      </c>
      <c r="CG7" s="1213"/>
      <c r="CH7" s="1213" t="s">
        <v>206</v>
      </c>
      <c r="CI7" s="1213"/>
      <c r="CJ7" s="1213" t="s">
        <v>1004</v>
      </c>
      <c r="CK7" s="1213"/>
      <c r="CL7" s="1213" t="s">
        <v>1005</v>
      </c>
      <c r="CM7" s="1213"/>
      <c r="CN7" s="1213" t="s">
        <v>207</v>
      </c>
      <c r="CO7" s="1213"/>
      <c r="CP7" s="1213" t="s">
        <v>1006</v>
      </c>
      <c r="CQ7" s="1213"/>
      <c r="CR7" s="1213" t="s">
        <v>208</v>
      </c>
      <c r="CS7" s="1213"/>
      <c r="CT7" s="1213" t="s">
        <v>209</v>
      </c>
      <c r="CU7" s="1213"/>
      <c r="CV7" s="1213" t="s">
        <v>210</v>
      </c>
      <c r="CW7" s="1213"/>
      <c r="CX7" s="1213" t="s">
        <v>211</v>
      </c>
      <c r="CY7" s="1213"/>
      <c r="CZ7" s="1213" t="s">
        <v>212</v>
      </c>
      <c r="DA7" s="1213"/>
    </row>
    <row r="8" spans="1:105" ht="22.5" customHeight="1">
      <c r="A8" s="1220"/>
      <c r="B8" s="1213"/>
      <c r="C8" s="1006" t="s">
        <v>17</v>
      </c>
      <c r="D8" s="1005" t="s">
        <v>34</v>
      </c>
      <c r="E8" s="1213"/>
      <c r="F8" s="1213"/>
      <c r="G8" s="1007" t="s">
        <v>24</v>
      </c>
      <c r="H8" s="1007" t="s">
        <v>25</v>
      </c>
      <c r="I8" s="1214"/>
      <c r="J8" s="1005" t="s">
        <v>24</v>
      </c>
      <c r="K8" s="1005" t="s">
        <v>25</v>
      </c>
      <c r="L8" s="1005" t="s">
        <v>24</v>
      </c>
      <c r="M8" s="1005" t="s">
        <v>25</v>
      </c>
      <c r="N8" s="1005" t="s">
        <v>24</v>
      </c>
      <c r="O8" s="1005" t="s">
        <v>25</v>
      </c>
      <c r="P8" s="1005" t="s">
        <v>24</v>
      </c>
      <c r="Q8" s="1005" t="s">
        <v>25</v>
      </c>
      <c r="R8" s="1005" t="s">
        <v>24</v>
      </c>
      <c r="S8" s="1005" t="s">
        <v>25</v>
      </c>
      <c r="T8" s="1005" t="s">
        <v>24</v>
      </c>
      <c r="U8" s="1005" t="s">
        <v>25</v>
      </c>
      <c r="V8" s="1005" t="s">
        <v>24</v>
      </c>
      <c r="W8" s="1005" t="s">
        <v>25</v>
      </c>
      <c r="X8" s="1005" t="s">
        <v>24</v>
      </c>
      <c r="Y8" s="1005" t="s">
        <v>25</v>
      </c>
      <c r="Z8" s="1005" t="s">
        <v>24</v>
      </c>
      <c r="AA8" s="1005" t="s">
        <v>25</v>
      </c>
      <c r="AB8" s="1005" t="s">
        <v>24</v>
      </c>
      <c r="AC8" s="1005" t="s">
        <v>25</v>
      </c>
      <c r="AD8" s="1005" t="s">
        <v>24</v>
      </c>
      <c r="AE8" s="1005" t="s">
        <v>25</v>
      </c>
      <c r="AF8" s="1005" t="s">
        <v>24</v>
      </c>
      <c r="AG8" s="1005" t="s">
        <v>25</v>
      </c>
      <c r="AH8" s="1005" t="s">
        <v>24</v>
      </c>
      <c r="AI8" s="1005" t="s">
        <v>25</v>
      </c>
      <c r="AJ8" s="1005" t="s">
        <v>24</v>
      </c>
      <c r="AK8" s="1005" t="s">
        <v>25</v>
      </c>
      <c r="AL8" s="1005" t="s">
        <v>24</v>
      </c>
      <c r="AM8" s="1005" t="s">
        <v>25</v>
      </c>
      <c r="AN8" s="1005" t="s">
        <v>24</v>
      </c>
      <c r="AO8" s="1005" t="s">
        <v>25</v>
      </c>
      <c r="AP8" s="1005" t="s">
        <v>24</v>
      </c>
      <c r="AQ8" s="1005" t="s">
        <v>25</v>
      </c>
      <c r="AR8" s="1005" t="s">
        <v>24</v>
      </c>
      <c r="AS8" s="1005" t="s">
        <v>25</v>
      </c>
      <c r="AT8" s="1005" t="s">
        <v>24</v>
      </c>
      <c r="AU8" s="1005" t="s">
        <v>25</v>
      </c>
      <c r="AV8" s="1005" t="s">
        <v>24</v>
      </c>
      <c r="AW8" s="1005" t="s">
        <v>25</v>
      </c>
      <c r="AX8" s="1005" t="s">
        <v>24</v>
      </c>
      <c r="AY8" s="1005" t="s">
        <v>25</v>
      </c>
      <c r="AZ8" s="1005" t="s">
        <v>24</v>
      </c>
      <c r="BA8" s="1005" t="s">
        <v>25</v>
      </c>
      <c r="BB8" s="1005" t="s">
        <v>24</v>
      </c>
      <c r="BC8" s="1005" t="s">
        <v>25</v>
      </c>
      <c r="BD8" s="1005" t="s">
        <v>24</v>
      </c>
      <c r="BE8" s="1005" t="s">
        <v>25</v>
      </c>
      <c r="BF8" s="1005" t="s">
        <v>24</v>
      </c>
      <c r="BG8" s="1005" t="s">
        <v>25</v>
      </c>
      <c r="BH8" s="1005" t="s">
        <v>24</v>
      </c>
      <c r="BI8" s="1005" t="s">
        <v>25</v>
      </c>
      <c r="BJ8" s="1005" t="s">
        <v>24</v>
      </c>
      <c r="BK8" s="1005" t="s">
        <v>25</v>
      </c>
      <c r="BL8" s="1005" t="s">
        <v>24</v>
      </c>
      <c r="BM8" s="1005" t="s">
        <v>25</v>
      </c>
      <c r="BN8" s="1005" t="s">
        <v>24</v>
      </c>
      <c r="BO8" s="1005" t="s">
        <v>25</v>
      </c>
      <c r="BP8" s="1005" t="s">
        <v>24</v>
      </c>
      <c r="BQ8" s="1005" t="s">
        <v>25</v>
      </c>
      <c r="BR8" s="1005" t="s">
        <v>24</v>
      </c>
      <c r="BS8" s="1005" t="s">
        <v>25</v>
      </c>
      <c r="BT8" s="1005" t="s">
        <v>24</v>
      </c>
      <c r="BU8" s="1005" t="s">
        <v>25</v>
      </c>
      <c r="BV8" s="1005" t="s">
        <v>24</v>
      </c>
      <c r="BW8" s="1005" t="s">
        <v>25</v>
      </c>
      <c r="BX8" s="1005" t="s">
        <v>24</v>
      </c>
      <c r="BY8" s="1005" t="s">
        <v>25</v>
      </c>
      <c r="BZ8" s="1005" t="s">
        <v>24</v>
      </c>
      <c r="CA8" s="1005" t="s">
        <v>25</v>
      </c>
      <c r="CB8" s="1005" t="s">
        <v>24</v>
      </c>
      <c r="CC8" s="1005" t="s">
        <v>25</v>
      </c>
      <c r="CD8" s="1005" t="s">
        <v>24</v>
      </c>
      <c r="CE8" s="1005" t="s">
        <v>25</v>
      </c>
      <c r="CF8" s="1005" t="s">
        <v>24</v>
      </c>
      <c r="CG8" s="1005" t="s">
        <v>25</v>
      </c>
      <c r="CH8" s="1005" t="s">
        <v>24</v>
      </c>
      <c r="CI8" s="1005" t="s">
        <v>25</v>
      </c>
      <c r="CJ8" s="1005" t="s">
        <v>24</v>
      </c>
      <c r="CK8" s="1005" t="s">
        <v>25</v>
      </c>
      <c r="CL8" s="1005" t="s">
        <v>24</v>
      </c>
      <c r="CM8" s="1005" t="s">
        <v>25</v>
      </c>
      <c r="CN8" s="1005" t="s">
        <v>24</v>
      </c>
      <c r="CO8" s="1005" t="s">
        <v>25</v>
      </c>
      <c r="CP8" s="1005" t="s">
        <v>24</v>
      </c>
      <c r="CQ8" s="1005" t="s">
        <v>25</v>
      </c>
      <c r="CR8" s="1005" t="s">
        <v>24</v>
      </c>
      <c r="CS8" s="1005" t="s">
        <v>25</v>
      </c>
      <c r="CT8" s="1005" t="s">
        <v>24</v>
      </c>
      <c r="CU8" s="1005" t="s">
        <v>25</v>
      </c>
      <c r="CV8" s="1005" t="s">
        <v>24</v>
      </c>
      <c r="CW8" s="1005" t="s">
        <v>25</v>
      </c>
      <c r="CX8" s="1005" t="s">
        <v>24</v>
      </c>
      <c r="CY8" s="1005" t="s">
        <v>25</v>
      </c>
      <c r="CZ8" s="1005" t="s">
        <v>24</v>
      </c>
      <c r="DA8" s="1005"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'SC-III'!J53</f>
        <v>3705039095</v>
      </c>
      <c r="K10" s="275">
        <f ca="1">'SC-III'!K53</f>
        <v>0</v>
      </c>
      <c r="L10" s="275">
        <f ca="1">'SC-III'!L53</f>
        <v>19829295</v>
      </c>
      <c r="M10" s="275">
        <f ca="1">'SC-III'!M53</f>
        <v>0</v>
      </c>
      <c r="N10" s="275">
        <f ca="1">'SC-III'!N53</f>
        <v>2236796790</v>
      </c>
      <c r="O10" s="275">
        <f ca="1">'SC-III'!O53</f>
        <v>0</v>
      </c>
      <c r="P10" s="275">
        <f ca="1">'SC-III'!P53</f>
        <v>3343381600</v>
      </c>
      <c r="Q10" s="275">
        <f ca="1">'SC-III'!Q53</f>
        <v>0</v>
      </c>
      <c r="R10" s="275">
        <f ca="1">'SC-III'!R53</f>
        <v>162420936</v>
      </c>
      <c r="S10" s="275">
        <f ca="1">'SC-III'!S53</f>
        <v>0</v>
      </c>
      <c r="T10" s="275">
        <f ca="1">'SC-III'!T53</f>
        <v>1500000000</v>
      </c>
      <c r="U10" s="275">
        <f ca="1">'SC-III'!U53</f>
        <v>0</v>
      </c>
      <c r="V10" s="275">
        <f ca="1">'SC-III'!V53</f>
        <v>0</v>
      </c>
      <c r="W10" s="275">
        <f ca="1">'SC-III'!W53</f>
        <v>0</v>
      </c>
      <c r="X10" s="275">
        <f ca="1">'SC-III'!X53</f>
        <v>2772400000</v>
      </c>
      <c r="Y10" s="275">
        <f ca="1">'SC-III'!Y53</f>
        <v>0</v>
      </c>
      <c r="Z10" s="275">
        <f ca="1">'SC-III'!Z53</f>
        <v>526519887</v>
      </c>
      <c r="AA10" s="275">
        <f ca="1">'SC-III'!AA53</f>
        <v>0</v>
      </c>
      <c r="AB10" s="275">
        <f ca="1">'SC-III'!AB53</f>
        <v>0</v>
      </c>
      <c r="AC10" s="275">
        <f ca="1">'SC-III'!AC53</f>
        <v>0</v>
      </c>
      <c r="AD10" s="275">
        <f ca="1">'SC-III'!AD53</f>
        <v>0</v>
      </c>
      <c r="AE10" s="275">
        <f ca="1">'SC-III'!AE53</f>
        <v>0</v>
      </c>
      <c r="AF10" s="275">
        <f ca="1">'SC-III'!AF53</f>
        <v>9386323824</v>
      </c>
      <c r="AG10" s="275">
        <f ca="1">'SC-III'!AG53</f>
        <v>0</v>
      </c>
      <c r="AH10" s="275">
        <f ca="1">'SC-III'!AH53</f>
        <v>7490743648</v>
      </c>
      <c r="AI10" s="275">
        <f ca="1">'SC-III'!AI53</f>
        <v>0</v>
      </c>
      <c r="AJ10" s="275">
        <f ca="1">'SC-III'!AJ53</f>
        <v>3807898863</v>
      </c>
      <c r="AK10" s="275">
        <f ca="1">'SC-III'!AK53</f>
        <v>0</v>
      </c>
      <c r="AL10" s="275">
        <f ca="1">'SC-III'!AL53</f>
        <v>3790918485</v>
      </c>
      <c r="AM10" s="275">
        <f ca="1">'SC-III'!AM53</f>
        <v>0</v>
      </c>
      <c r="AN10" s="275">
        <f ca="1">'SC-III'!AN53</f>
        <v>5405781300</v>
      </c>
      <c r="AO10" s="275">
        <f ca="1">'SC-III'!AO53</f>
        <v>0</v>
      </c>
      <c r="AP10" s="275">
        <f ca="1">'SC-III'!AP53</f>
        <v>0</v>
      </c>
      <c r="AQ10" s="275">
        <f ca="1">'SC-III'!AQ53</f>
        <v>9132359256</v>
      </c>
      <c r="AR10" s="275">
        <f ca="1">'SC-III'!AR53</f>
        <v>0</v>
      </c>
      <c r="AS10" s="275">
        <f ca="1">'SC-III'!AS53</f>
        <v>600642360</v>
      </c>
      <c r="AT10" s="275">
        <f ca="1">'SC-III'!AT53</f>
        <v>0</v>
      </c>
      <c r="AU10" s="275">
        <f ca="1">'SC-III'!AU53</f>
        <v>0</v>
      </c>
      <c r="AV10" s="275">
        <f ca="1">'SC-III'!AV53</f>
        <v>0</v>
      </c>
      <c r="AW10" s="275">
        <f ca="1">'SC-III'!AW53</f>
        <v>476953252</v>
      </c>
      <c r="AX10" s="275">
        <f ca="1">'SC-III'!AX53</f>
        <v>0</v>
      </c>
      <c r="AY10" s="275">
        <f ca="1">'SC-III'!AY53</f>
        <v>0</v>
      </c>
      <c r="AZ10" s="275">
        <f ca="1">'SC-III'!AZ53</f>
        <v>0</v>
      </c>
      <c r="BA10" s="275">
        <f ca="1">'SC-III'!BA53</f>
        <v>0</v>
      </c>
      <c r="BB10" s="275">
        <f ca="1">'SC-III'!BB53</f>
        <v>0</v>
      </c>
      <c r="BC10" s="275">
        <f ca="1">'SC-III'!BC53</f>
        <v>0</v>
      </c>
      <c r="BD10" s="275">
        <f ca="1">'SC-III'!BD53</f>
        <v>0</v>
      </c>
      <c r="BE10" s="275">
        <f ca="1">'SC-III'!BE53</f>
        <v>3313435</v>
      </c>
      <c r="BF10" s="275">
        <f ca="1">'SC-III'!BF53</f>
        <v>3389804</v>
      </c>
      <c r="BG10" s="275">
        <f ca="1">'SC-III'!BG53</f>
        <v>0</v>
      </c>
      <c r="BH10" s="275">
        <f ca="1">'SC-III'!BH53</f>
        <v>0</v>
      </c>
      <c r="BI10" s="275">
        <f ca="1">'SC-III'!BI53</f>
        <v>0</v>
      </c>
      <c r="BJ10" s="275">
        <f ca="1">'SC-III'!BJ53</f>
        <v>0</v>
      </c>
      <c r="BK10" s="275">
        <f ca="1">'SC-III'!BK53</f>
        <v>0</v>
      </c>
      <c r="BL10" s="275">
        <f ca="1">'SC-III'!BL53</f>
        <v>0</v>
      </c>
      <c r="BM10" s="275">
        <f ca="1">'SC-III'!BM53</f>
        <v>40272309</v>
      </c>
      <c r="BN10" s="275">
        <f ca="1">'SC-III'!BN53</f>
        <v>0</v>
      </c>
      <c r="BO10" s="275">
        <f ca="1">'SC-III'!BO53</f>
        <v>6403142</v>
      </c>
      <c r="BP10" s="275">
        <f ca="1">'SC-III'!BP53</f>
        <v>0</v>
      </c>
      <c r="BQ10" s="275">
        <f ca="1">'SC-III'!BQ53</f>
        <v>2761373</v>
      </c>
      <c r="BR10" s="275">
        <f ca="1">'SC-III'!BR53</f>
        <v>0</v>
      </c>
      <c r="BS10" s="275">
        <f ca="1">'SC-III'!BS53</f>
        <v>0</v>
      </c>
      <c r="BT10" s="275">
        <f ca="1">'SC-III'!BT53</f>
        <v>0</v>
      </c>
      <c r="BU10" s="275">
        <f ca="1">'SC-III'!BU53</f>
        <v>2169121879</v>
      </c>
      <c r="BV10" s="275">
        <f ca="1">'SC-III'!BV53</f>
        <v>0</v>
      </c>
      <c r="BW10" s="275">
        <f ca="1">'SC-III'!BW53</f>
        <v>21202920500</v>
      </c>
      <c r="BX10" s="275">
        <f ca="1">'SC-III'!BX53</f>
        <v>0</v>
      </c>
      <c r="BY10" s="275">
        <f ca="1">'SC-III'!BY53</f>
        <v>10000000000</v>
      </c>
      <c r="BZ10" s="275">
        <f ca="1">'SC-III'!BZ53</f>
        <v>0</v>
      </c>
      <c r="CA10" s="275">
        <f ca="1">'SC-III'!CA53</f>
        <v>594397022.00000048</v>
      </c>
      <c r="CB10" s="275">
        <f ca="1">'SC-III'!CB53</f>
        <v>77701001</v>
      </c>
      <c r="CC10" s="275">
        <f ca="1">'SC-III'!CC53</f>
        <v>0</v>
      </c>
      <c r="CD10" s="275">
        <f ca="1">'SC-III'!CD53</f>
        <v>0</v>
      </c>
      <c r="CE10" s="275">
        <f ca="1">'SC-III'!CE53</f>
        <v>0</v>
      </c>
      <c r="CF10" s="275">
        <f ca="1">'SC-III'!CF53</f>
        <v>0</v>
      </c>
      <c r="CG10" s="275">
        <f ca="1">'SC-III'!CG53</f>
        <v>0</v>
      </c>
      <c r="CH10" s="275">
        <f ca="1">'SC-III'!CH53</f>
        <v>0</v>
      </c>
      <c r="CI10" s="275">
        <f ca="1">'SC-III'!CI53</f>
        <v>0</v>
      </c>
      <c r="CJ10" s="275">
        <f ca="1">'SC-III'!CJ53</f>
        <v>0</v>
      </c>
      <c r="CK10" s="275">
        <f ca="1">'SC-III'!CK53</f>
        <v>0</v>
      </c>
      <c r="CL10" s="275">
        <f ca="1">'SC-III'!CL53</f>
        <v>0</v>
      </c>
      <c r="CM10" s="275">
        <f ca="1">'SC-III'!CM53</f>
        <v>0</v>
      </c>
      <c r="CN10" s="275">
        <f ca="1">'SC-III'!CN53</f>
        <v>0</v>
      </c>
      <c r="CO10" s="275">
        <f ca="1">'SC-III'!CO53</f>
        <v>0</v>
      </c>
      <c r="CP10" s="275">
        <f ca="1">'SC-III'!CP53</f>
        <v>0</v>
      </c>
      <c r="CQ10" s="275">
        <f ca="1">'SC-III'!CQ53</f>
        <v>0</v>
      </c>
      <c r="CR10" s="275">
        <f ca="1">'SC-III'!CR53</f>
        <v>0</v>
      </c>
      <c r="CS10" s="275">
        <f ca="1">'SC-III'!CS53</f>
        <v>0</v>
      </c>
      <c r="CT10" s="275">
        <f ca="1">'SC-III'!CT53</f>
        <v>0</v>
      </c>
      <c r="CU10" s="275">
        <f ca="1">'SC-III'!CU53</f>
        <v>0</v>
      </c>
      <c r="CV10" s="275">
        <f ca="1">'SC-III'!CV53</f>
        <v>0</v>
      </c>
      <c r="CW10" s="275">
        <f ca="1">'SC-III'!CW53</f>
        <v>0</v>
      </c>
      <c r="CX10" s="275">
        <f ca="1">'SC-III'!CX53</f>
        <v>0</v>
      </c>
      <c r="CY10" s="275">
        <f ca="1">'SC-III'!CY53</f>
        <v>0</v>
      </c>
      <c r="CZ10" s="275">
        <f ca="1">'SC-III'!CZ53</f>
        <v>0</v>
      </c>
      <c r="DA10" s="275">
        <f ca="1">'SC-III'!DA53</f>
        <v>0</v>
      </c>
    </row>
    <row r="11" spans="1:105" s="276" customFormat="1" ht="16.5" customHeight="1">
      <c r="A11" s="63">
        <f t="array" aca="1" ref="A11" ca="1">IF(C11&lt;&gt;0,SUM(($C$11:C11&lt;&gt;0)*1),"")</f>
        <v>1</v>
      </c>
      <c r="B11" s="277" t="str">
        <f ca="1">IF(ROWS($1:1)&gt;COUNT(Dong9),"",OFFSET(TH!C$1,SMALL(Dong9,ROWS($1:1)),))</f>
        <v/>
      </c>
      <c r="C11" s="277" t="str">
        <f ca="1">IF(ROWS($1:1)&gt;COUNT(Dong9),"",OFFSET(TH!D$1,SMALL(Dong9,ROWS($1:1)),))</f>
        <v/>
      </c>
      <c r="D11" s="277" t="str">
        <f ca="1">IF(ROWS($1:1)&gt;COUNT(Dong9),"",OFFSET(TH!E$1,SMALL(Dong9,ROWS($1:1)),))</f>
        <v/>
      </c>
      <c r="E11" s="372" t="str">
        <f ca="1">IF(ROWS($1:1)&gt;COUNT(Dong9),"",OFFSET(TH!F$1,SMALL(Dong9,ROWS($1:1)),))</f>
        <v/>
      </c>
      <c r="F11" s="328" t="str">
        <f ca="1">IF(ROWS($1:1)&gt;COUNT(Dong9),"",OFFSET(TH!M$1,SMALL(Dong9,ROWS($1:1)),))</f>
        <v/>
      </c>
      <c r="G11" s="330" t="str">
        <f ca="1">IF(ROWS($1:1)&gt;COUNT(Dong9),"",OFFSET(TH!N$1,SMALL(Dong9,ROWS($1:1)),))</f>
        <v/>
      </c>
      <c r="H11" s="330" t="str">
        <f ca="1">IF(ROWS($1:1)&gt;COUNT(Dong9),"",OFFSET(TH!O$1,SMALL(Dong9,ROWS($1:1)),))</f>
        <v/>
      </c>
      <c r="I11" s="63">
        <f t="shared" ref="I11:I50"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6.5" customHeight="1">
      <c r="A12" s="63" t="str">
        <f t="array" ref="A12">IF(C12&lt;&gt;0,SUM(($C$11:C12&lt;&gt;0)*1),"")</f>
        <v/>
      </c>
      <c r="B12" s="277"/>
      <c r="C12" s="277"/>
      <c r="D12" s="277"/>
      <c r="E12" s="372"/>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6.5" customHeight="1">
      <c r="A13" s="63" t="str">
        <f t="array" ref="A13">IF(C13&lt;&gt;0,SUM(($C$11:C13&lt;&gt;0)*1),"")</f>
        <v/>
      </c>
      <c r="B13" s="277"/>
      <c r="C13" s="277"/>
      <c r="D13" s="277"/>
      <c r="E13" s="372"/>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6.5" customHeight="1">
      <c r="A14" s="63" t="str">
        <f t="array" ref="A14">IF(C14&lt;&gt;0,SUM(($C$11:C14&lt;&gt;0)*1),"")</f>
        <v/>
      </c>
      <c r="B14" s="277"/>
      <c r="C14" s="277"/>
      <c r="D14" s="277"/>
      <c r="E14" s="372"/>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6.5" customHeight="1">
      <c r="A15" s="63" t="str">
        <f t="array" ref="A15">IF(C15&lt;&gt;0,SUM(($C$11:C15&lt;&gt;0)*1),"")</f>
        <v/>
      </c>
      <c r="B15" s="277"/>
      <c r="C15" s="277"/>
      <c r="D15" s="277"/>
      <c r="E15" s="372"/>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6.5" customHeight="1">
      <c r="A16" s="63" t="str">
        <f t="array" ref="A16">IF(C16&lt;&gt;0,SUM(($C$11:C16&lt;&gt;0)*1),"")</f>
        <v/>
      </c>
      <c r="B16" s="277"/>
      <c r="C16" s="277"/>
      <c r="D16" s="277"/>
      <c r="E16" s="372"/>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6.5" customHeight="1">
      <c r="A17" s="63" t="str">
        <f t="array" ref="A17">IF(C17&lt;&gt;0,SUM(($C$11:C17&lt;&gt;0)*1),"")</f>
        <v/>
      </c>
      <c r="B17" s="277"/>
      <c r="C17" s="277"/>
      <c r="D17" s="277"/>
      <c r="E17" s="372"/>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6.5" customHeight="1">
      <c r="A18" s="63" t="str">
        <f t="array" ref="A18">IF(C18&lt;&gt;0,SUM(($C$11:C18&lt;&gt;0)*1),"")</f>
        <v/>
      </c>
      <c r="B18" s="277"/>
      <c r="C18" s="277"/>
      <c r="D18" s="277"/>
      <c r="E18" s="372"/>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6.5" customHeight="1">
      <c r="A19" s="63" t="str">
        <f t="array" ref="A19">IF(C19&lt;&gt;0,SUM(($C$11:C19&lt;&gt;0)*1),"")</f>
        <v/>
      </c>
      <c r="B19" s="277"/>
      <c r="C19" s="277"/>
      <c r="D19" s="277"/>
      <c r="E19" s="372"/>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6.5" customHeight="1">
      <c r="A20" s="63" t="str">
        <f t="array" ref="A20">IF(C20&lt;&gt;0,SUM(($C$11:C20&lt;&gt;0)*1),"")</f>
        <v/>
      </c>
      <c r="B20" s="277"/>
      <c r="C20" s="277"/>
      <c r="D20" s="277"/>
      <c r="E20" s="372"/>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6.5" customHeight="1">
      <c r="A21" s="63" t="str">
        <f t="array" ref="A21">IF(C21&lt;&gt;0,SUM(($C$11:C21&lt;&gt;0)*1),"")</f>
        <v/>
      </c>
      <c r="B21" s="277"/>
      <c r="C21" s="277"/>
      <c r="D21" s="277"/>
      <c r="E21" s="372"/>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6.5" customHeight="1">
      <c r="A22" s="63" t="str">
        <f t="array" ref="A22">IF(C22&lt;&gt;0,SUM(($C$11:C22&lt;&gt;0)*1),"")</f>
        <v/>
      </c>
      <c r="B22" s="277"/>
      <c r="C22" s="277"/>
      <c r="D22" s="277"/>
      <c r="E22" s="372"/>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6.5" customHeight="1">
      <c r="A23" s="63" t="str">
        <f t="array" ref="A23">IF(C23&lt;&gt;0,SUM(($C$11:C23&lt;&gt;0)*1),"")</f>
        <v/>
      </c>
      <c r="B23" s="277"/>
      <c r="C23" s="277"/>
      <c r="D23" s="277"/>
      <c r="E23" s="372"/>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6.5" customHeight="1">
      <c r="A24" s="63" t="str">
        <f t="array" ref="A24">IF(C24&lt;&gt;0,SUM(($C$11:C24&lt;&gt;0)*1),"")</f>
        <v/>
      </c>
      <c r="B24" s="277"/>
      <c r="C24" s="277"/>
      <c r="D24" s="277"/>
      <c r="E24" s="372"/>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6.5" customHeight="1">
      <c r="A25" s="63" t="str">
        <f t="array" ref="A25">IF(C25&lt;&gt;0,SUM(($C$11:C25&lt;&gt;0)*1),"")</f>
        <v/>
      </c>
      <c r="B25" s="277"/>
      <c r="C25" s="277"/>
      <c r="D25" s="277"/>
      <c r="E25" s="372"/>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6.5" customHeight="1">
      <c r="A26" s="63" t="str">
        <f t="array" ref="A26">IF(C26&lt;&gt;0,SUM(($C$11:C26&lt;&gt;0)*1),"")</f>
        <v/>
      </c>
      <c r="B26" s="277"/>
      <c r="C26" s="277"/>
      <c r="D26" s="277"/>
      <c r="E26" s="372"/>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6.5" customHeight="1">
      <c r="A27" s="63" t="str">
        <f t="array" ref="A27">IF(C27&lt;&gt;0,SUM(($C$11:C27&lt;&gt;0)*1),"")</f>
        <v/>
      </c>
      <c r="B27" s="277"/>
      <c r="C27" s="277"/>
      <c r="D27" s="277"/>
      <c r="E27" s="372"/>
      <c r="F27" s="328"/>
      <c r="G27" s="330"/>
      <c r="H27" s="330"/>
      <c r="I27" s="63" t="str">
        <f t="shared" si="0"/>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6.5" customHeight="1">
      <c r="A28" s="63" t="str">
        <f t="array" ref="A28">IF(C28&lt;&gt;0,SUM(($C$11:C28&lt;&gt;0)*1),"")</f>
        <v/>
      </c>
      <c r="B28" s="277"/>
      <c r="C28" s="277"/>
      <c r="D28" s="277"/>
      <c r="E28" s="372"/>
      <c r="F28" s="328"/>
      <c r="G28" s="330"/>
      <c r="H28" s="330"/>
      <c r="I28" s="63" t="str">
        <f t="shared" si="0"/>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6.5" customHeight="1">
      <c r="A29" s="63" t="str">
        <f t="array" ref="A29">IF(C29&lt;&gt;0,SUM(($C$11:C29&lt;&gt;0)*1),"")</f>
        <v/>
      </c>
      <c r="B29" s="277"/>
      <c r="C29" s="277"/>
      <c r="D29" s="277"/>
      <c r="E29" s="372"/>
      <c r="F29" s="328"/>
      <c r="G29" s="330"/>
      <c r="H29" s="330"/>
      <c r="I29" s="63" t="str">
        <f t="shared" si="0"/>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6.5" customHeight="1">
      <c r="A30" s="63" t="str">
        <f t="array" ref="A30">IF(C30&lt;&gt;0,SUM(($C$11:C30&lt;&gt;0)*1),"")</f>
        <v/>
      </c>
      <c r="B30" s="277"/>
      <c r="C30" s="277"/>
      <c r="D30" s="277"/>
      <c r="E30" s="372"/>
      <c r="F30" s="328"/>
      <c r="G30" s="330"/>
      <c r="H30" s="330"/>
      <c r="I30" s="63" t="str">
        <f t="shared" si="0"/>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6.5" customHeight="1">
      <c r="A31" s="63" t="str">
        <f t="array" ref="A31">IF(C31&lt;&gt;0,SUM(($C$11:C31&lt;&gt;0)*1),"")</f>
        <v/>
      </c>
      <c r="B31" s="277"/>
      <c r="C31" s="277"/>
      <c r="D31" s="277"/>
      <c r="E31" s="372"/>
      <c r="F31" s="328"/>
      <c r="G31" s="330"/>
      <c r="H31" s="330"/>
      <c r="I31" s="63" t="str">
        <f t="shared" si="0"/>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6.5" customHeight="1">
      <c r="A32" s="63" t="str">
        <f t="array" ref="A32">IF(C32&lt;&gt;0,SUM(($C$11:C32&lt;&gt;0)*1),"")</f>
        <v/>
      </c>
      <c r="B32" s="277"/>
      <c r="C32" s="277"/>
      <c r="D32" s="277"/>
      <c r="E32" s="372"/>
      <c r="F32" s="328"/>
      <c r="G32" s="330"/>
      <c r="H32" s="330"/>
      <c r="I32" s="63" t="str">
        <f t="shared" si="0"/>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6.5" customHeight="1">
      <c r="A33" s="63" t="str">
        <f t="array" ref="A33">IF(C33&lt;&gt;0,SUM(($C$11:C33&lt;&gt;0)*1),"")</f>
        <v/>
      </c>
      <c r="B33" s="277"/>
      <c r="C33" s="277"/>
      <c r="D33" s="277"/>
      <c r="E33" s="372"/>
      <c r="F33" s="328"/>
      <c r="G33" s="330"/>
      <c r="H33" s="330"/>
      <c r="I33" s="63" t="str">
        <f t="shared" si="0"/>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6.5" customHeight="1">
      <c r="A34" s="63" t="str">
        <f t="array" ref="A34">IF(C34&lt;&gt;0,SUM(($C$11:C34&lt;&gt;0)*1),"")</f>
        <v/>
      </c>
      <c r="B34" s="277"/>
      <c r="C34" s="277"/>
      <c r="D34" s="277"/>
      <c r="E34" s="372"/>
      <c r="F34" s="328"/>
      <c r="G34" s="330"/>
      <c r="H34" s="330"/>
      <c r="I34" s="63" t="str">
        <f t="shared" si="0"/>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6.5" customHeight="1">
      <c r="A35" s="63" t="str">
        <f t="array" ref="A35">IF(C35&lt;&gt;0,SUM(($C$11:C35&lt;&gt;0)*1),"")</f>
        <v/>
      </c>
      <c r="B35" s="277"/>
      <c r="C35" s="277"/>
      <c r="D35" s="277"/>
      <c r="E35" s="372"/>
      <c r="F35" s="328"/>
      <c r="G35" s="330"/>
      <c r="H35" s="330"/>
      <c r="I35" s="63" t="str">
        <f t="shared" si="0"/>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6.5" customHeight="1">
      <c r="A36" s="63" t="str">
        <f t="array" ref="A36">IF(C36&lt;&gt;0,SUM(($C$11:C36&lt;&gt;0)*1),"")</f>
        <v/>
      </c>
      <c r="B36" s="277"/>
      <c r="C36" s="277"/>
      <c r="D36" s="277"/>
      <c r="E36" s="372"/>
      <c r="F36" s="328"/>
      <c r="G36" s="330"/>
      <c r="H36" s="330"/>
      <c r="I36" s="63" t="str">
        <f t="shared" si="0"/>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6.5" customHeight="1">
      <c r="A37" s="63" t="str">
        <f t="array" ref="A37">IF(C37&lt;&gt;0,SUM(($C$11:C37&lt;&gt;0)*1),"")</f>
        <v/>
      </c>
      <c r="B37" s="277"/>
      <c r="C37" s="277"/>
      <c r="D37" s="277"/>
      <c r="E37" s="372"/>
      <c r="F37" s="328"/>
      <c r="G37" s="330"/>
      <c r="H37" s="330"/>
      <c r="I37" s="63" t="str">
        <f t="shared" si="0"/>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6.5" customHeight="1">
      <c r="A38" s="63" t="str">
        <f t="array" ref="A38">IF(C38&lt;&gt;0,SUM(($C$11:C38&lt;&gt;0)*1),"")</f>
        <v/>
      </c>
      <c r="B38" s="277"/>
      <c r="C38" s="277"/>
      <c r="D38" s="277"/>
      <c r="E38" s="372"/>
      <c r="F38" s="328"/>
      <c r="G38" s="330"/>
      <c r="H38" s="330"/>
      <c r="I38" s="63" t="str">
        <f t="shared" si="0"/>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6.5" customHeight="1">
      <c r="A39" s="63" t="str">
        <f t="array" ref="A39">IF(C39&lt;&gt;0,SUM(($C$11:C39&lt;&gt;0)*1),"")</f>
        <v/>
      </c>
      <c r="B39" s="277"/>
      <c r="C39" s="277"/>
      <c r="D39" s="277"/>
      <c r="E39" s="372"/>
      <c r="F39" s="328"/>
      <c r="G39" s="330"/>
      <c r="H39" s="330"/>
      <c r="I39" s="63" t="str">
        <f t="shared" si="0"/>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6.5" customHeight="1">
      <c r="A40" s="63">
        <f t="array" aca="1" ref="A40" ca="1">IF(C40&lt;&gt;0,SUM(($C$11:C40&lt;&gt;0)*1),"")</f>
        <v>2</v>
      </c>
      <c r="B40" s="277">
        <v>42735</v>
      </c>
      <c r="C40" s="280" t="s">
        <v>115</v>
      </c>
      <c r="D40" s="280">
        <f t="shared" ref="D40:D50" si="97">B40</f>
        <v>42735</v>
      </c>
      <c r="E40" s="982" t="s">
        <v>938</v>
      </c>
      <c r="F40" s="983">
        <f ca="1">AY52</f>
        <v>0</v>
      </c>
      <c r="G40" s="984" t="s">
        <v>943</v>
      </c>
      <c r="H40" s="984" t="s">
        <v>9</v>
      </c>
      <c r="I40" s="63">
        <f t="shared" ca="1" si="0"/>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6.5" customHeight="1">
      <c r="A41" s="63">
        <f t="array" aca="1" ref="A41" ca="1">IF(C41&lt;&gt;0,SUM(($C$11:C41&lt;&gt;0)*1),"")</f>
        <v>3</v>
      </c>
      <c r="B41" s="277">
        <v>42735</v>
      </c>
      <c r="C41" s="280" t="s">
        <v>115</v>
      </c>
      <c r="D41" s="280">
        <f t="shared" si="97"/>
        <v>42735</v>
      </c>
      <c r="E41" s="982" t="s">
        <v>939</v>
      </c>
      <c r="F41" s="983">
        <f ca="1">CL52</f>
        <v>0</v>
      </c>
      <c r="G41" s="984" t="s">
        <v>109</v>
      </c>
      <c r="H41" s="984" t="s">
        <v>295</v>
      </c>
      <c r="I41" s="63">
        <f t="shared" ca="1" si="0"/>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6.5" customHeight="1">
      <c r="A42" s="63">
        <f t="array" aca="1" ref="A42" ca="1">IF(C42&lt;&gt;0,SUM(($C$11:C42&lt;&gt;0)*1),"")</f>
        <v>4</v>
      </c>
      <c r="B42" s="277">
        <v>42735</v>
      </c>
      <c r="C42" s="280" t="s">
        <v>115</v>
      </c>
      <c r="D42" s="280">
        <f t="shared" si="97"/>
        <v>42735</v>
      </c>
      <c r="E42" s="982" t="s">
        <v>116</v>
      </c>
      <c r="F42" s="983">
        <f ca="1">CN52</f>
        <v>0</v>
      </c>
      <c r="G42" s="984" t="s">
        <v>109</v>
      </c>
      <c r="H42" s="984" t="s">
        <v>99</v>
      </c>
      <c r="I42" s="63">
        <f t="shared" ca="1" si="0"/>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6.5" customHeight="1">
      <c r="A43" s="63">
        <f t="array" aca="1" ref="A43" ca="1">IF(C43&lt;&gt;0,SUM(($C$11:C43&lt;&gt;0)*1),"")</f>
        <v>5</v>
      </c>
      <c r="B43" s="277">
        <v>42735</v>
      </c>
      <c r="C43" s="280" t="s">
        <v>115</v>
      </c>
      <c r="D43" s="280">
        <f t="shared" si="97"/>
        <v>42735</v>
      </c>
      <c r="E43" s="982" t="s">
        <v>940</v>
      </c>
      <c r="F43" s="983">
        <f ca="1">CP52</f>
        <v>0</v>
      </c>
      <c r="G43" s="984" t="s">
        <v>109</v>
      </c>
      <c r="H43" s="984" t="s">
        <v>594</v>
      </c>
      <c r="I43" s="63">
        <f t="shared" ca="1" si="0"/>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6.5" customHeight="1">
      <c r="A44" s="63">
        <f t="array" aca="1" ref="A44" ca="1">IF(C44&lt;&gt;0,SUM(($C$11:C44&lt;&gt;0)*1),"")</f>
        <v>6</v>
      </c>
      <c r="B44" s="277">
        <v>42735</v>
      </c>
      <c r="C44" s="280" t="s">
        <v>115</v>
      </c>
      <c r="D44" s="280">
        <f t="shared" si="97"/>
        <v>42735</v>
      </c>
      <c r="E44" s="982" t="s">
        <v>117</v>
      </c>
      <c r="F44" s="983">
        <f ca="1">CR52</f>
        <v>0</v>
      </c>
      <c r="G44" s="984" t="s">
        <v>109</v>
      </c>
      <c r="H44" s="984" t="s">
        <v>101</v>
      </c>
      <c r="I44" s="63">
        <f t="shared" ca="1" si="0"/>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6.5" customHeight="1">
      <c r="A45" s="63">
        <f t="array" aca="1" ref="A45" ca="1">IF(C45&lt;&gt;0,SUM(($C$11:C45&lt;&gt;0)*1),"")</f>
        <v>7</v>
      </c>
      <c r="B45" s="277">
        <v>42735</v>
      </c>
      <c r="C45" s="280" t="s">
        <v>115</v>
      </c>
      <c r="D45" s="280">
        <f t="shared" si="97"/>
        <v>42735</v>
      </c>
      <c r="E45" s="982" t="s">
        <v>215</v>
      </c>
      <c r="F45" s="983"/>
      <c r="G45" s="984" t="s">
        <v>109</v>
      </c>
      <c r="H45" s="984" t="s">
        <v>94</v>
      </c>
      <c r="I45" s="63">
        <f t="shared" ca="1" si="0"/>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6.5" customHeight="1">
      <c r="A46" s="63">
        <f t="array" aca="1" ref="A46" ca="1">IF(C46&lt;&gt;0,SUM(($C$11:C46&lt;&gt;0)*1),"")</f>
        <v>8</v>
      </c>
      <c r="B46" s="277">
        <v>42735</v>
      </c>
      <c r="C46" s="280" t="s">
        <v>115</v>
      </c>
      <c r="D46" s="280">
        <f t="shared" si="97"/>
        <v>42735</v>
      </c>
      <c r="E46" s="982" t="s">
        <v>118</v>
      </c>
      <c r="F46" s="983">
        <f ca="1">CI52</f>
        <v>0</v>
      </c>
      <c r="G46" s="984" t="s">
        <v>43</v>
      </c>
      <c r="H46" s="984" t="s">
        <v>109</v>
      </c>
      <c r="I46" s="63">
        <f t="shared" ca="1" si="0"/>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6.5" customHeight="1">
      <c r="A47" s="63">
        <f t="array" aca="1" ref="A47" ca="1">IF(C47&lt;&gt;0,SUM(($C$11:C47&lt;&gt;0)*1),"")</f>
        <v>9</v>
      </c>
      <c r="B47" s="277">
        <v>42735</v>
      </c>
      <c r="C47" s="280" t="s">
        <v>115</v>
      </c>
      <c r="D47" s="280">
        <f t="shared" si="97"/>
        <v>42735</v>
      </c>
      <c r="E47" s="982" t="s">
        <v>941</v>
      </c>
      <c r="F47" s="983">
        <f ca="1">CE52</f>
        <v>0</v>
      </c>
      <c r="G47" s="984" t="s">
        <v>297</v>
      </c>
      <c r="H47" s="984" t="s">
        <v>109</v>
      </c>
      <c r="I47" s="63">
        <f t="shared" ca="1" si="0"/>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6.5" customHeight="1">
      <c r="A48" s="63">
        <f t="array" aca="1" ref="A48" ca="1">IF(C48&lt;&gt;0,SUM(($C$11:C48&lt;&gt;0)*1),"")</f>
        <v>10</v>
      </c>
      <c r="B48" s="277">
        <v>42735</v>
      </c>
      <c r="C48" s="280" t="s">
        <v>115</v>
      </c>
      <c r="D48" s="280">
        <f t="shared" si="97"/>
        <v>42735</v>
      </c>
      <c r="E48" s="982" t="s">
        <v>942</v>
      </c>
      <c r="F48" s="983">
        <f ca="1">CG52</f>
        <v>0</v>
      </c>
      <c r="G48" s="984" t="s">
        <v>299</v>
      </c>
      <c r="H48" s="984" t="s">
        <v>109</v>
      </c>
      <c r="I48" s="63">
        <f t="shared" ca="1" si="0"/>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6.5" customHeight="1">
      <c r="A49" s="63">
        <f t="array" aca="1" ref="A49" ca="1">IF(C49&lt;&gt;0,SUM(($C$11:C49&lt;&gt;0)*1),"")</f>
        <v>11</v>
      </c>
      <c r="B49" s="277">
        <v>42735</v>
      </c>
      <c r="C49" s="280" t="s">
        <v>115</v>
      </c>
      <c r="D49" s="280">
        <f t="shared" si="97"/>
        <v>42735</v>
      </c>
      <c r="E49" s="982" t="s">
        <v>119</v>
      </c>
      <c r="F49" s="983">
        <f ca="1">CU52</f>
        <v>0</v>
      </c>
      <c r="G49" s="984" t="s">
        <v>103</v>
      </c>
      <c r="H49" s="984" t="s">
        <v>109</v>
      </c>
      <c r="I49" s="63">
        <f t="shared" ca="1" si="0"/>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6.5" customHeight="1">
      <c r="A50" s="63">
        <f t="array" aca="1" ref="A50" ca="1">IF(C50&lt;&gt;0,SUM(($C$11:C50&lt;&gt;0)*1),"")</f>
        <v>12</v>
      </c>
      <c r="B50" s="277">
        <v>42735</v>
      </c>
      <c r="C50" s="280" t="s">
        <v>115</v>
      </c>
      <c r="D50" s="280">
        <f t="shared" si="97"/>
        <v>42735</v>
      </c>
      <c r="E50" s="982" t="s">
        <v>120</v>
      </c>
      <c r="F50" s="983">
        <f ca="1">CV52</f>
        <v>0</v>
      </c>
      <c r="G50" s="984" t="s">
        <v>109</v>
      </c>
      <c r="H50" s="984" t="s">
        <v>105</v>
      </c>
      <c r="I50" s="63">
        <f t="shared" ca="1" si="0"/>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6.5" customHeight="1">
      <c r="A51" s="63" t="str">
        <f t="array" ref="A51">IF(C51&lt;&gt;0,SUM(($C$11:C51&lt;&gt;0)*1),"")</f>
        <v/>
      </c>
      <c r="B51" s="243"/>
      <c r="C51" s="243"/>
      <c r="D51" s="243"/>
      <c r="E51" s="278"/>
      <c r="F51" s="65"/>
      <c r="G51" s="282"/>
      <c r="H51" s="282"/>
      <c r="I51" s="63" t="str">
        <f>A51</f>
        <v/>
      </c>
      <c r="J51" s="279">
        <f t="shared" ref="J51" si="98">IF($G51="1111",$F51,0)</f>
        <v>0</v>
      </c>
      <c r="K51" s="279">
        <f t="shared" ref="K51" si="99">IF($H51="1111",$F51,0)</f>
        <v>0</v>
      </c>
      <c r="L51" s="279">
        <f t="shared" ref="L51" si="100">IF($G51="1121",$F51,0)</f>
        <v>0</v>
      </c>
      <c r="M51" s="279">
        <f t="shared" ref="M51" si="101">IF($H51="1121",$F51,0)</f>
        <v>0</v>
      </c>
      <c r="N51" s="279">
        <f t="shared" ref="N51" si="102">IF($G51="1122",$F51,0)</f>
        <v>0</v>
      </c>
      <c r="O51" s="279">
        <f t="shared" ref="O51" si="103">IF($H51="1122",$F51,0)</f>
        <v>0</v>
      </c>
      <c r="P51" s="279">
        <f t="shared" ref="P51" si="104">IF($G51="131",$F51,0)</f>
        <v>0</v>
      </c>
      <c r="Q51" s="279">
        <f t="shared" ref="Q51" si="105">IF($H51="131",$F51,0)</f>
        <v>0</v>
      </c>
      <c r="R51" s="279">
        <f t="shared" ref="R51" si="106">IF($G51="1331",$F51,0)</f>
        <v>0</v>
      </c>
      <c r="S51" s="279">
        <f t="shared" ref="S51" si="107">IF($H51="1331",$F51,0)</f>
        <v>0</v>
      </c>
      <c r="T51" s="279">
        <f t="shared" ref="T51" si="108">IF($G51="1388",$F51,0)</f>
        <v>0</v>
      </c>
      <c r="U51" s="279">
        <f t="shared" ref="U51" si="109">IF($H51="1388",$F51,0)</f>
        <v>0</v>
      </c>
      <c r="V51" s="279">
        <f t="shared" ref="V51" si="110">IF($G51="141",$F51,0)</f>
        <v>0</v>
      </c>
      <c r="W51" s="279">
        <f t="shared" ref="W51" si="111">IF($H51="141",$F51,0)</f>
        <v>0</v>
      </c>
      <c r="X51" s="279">
        <f t="shared" ref="X51" si="112">IF($G51="1521",$F51,0)</f>
        <v>0</v>
      </c>
      <c r="Y51" s="279">
        <f t="shared" ref="Y51" si="113">IF($H51="1521",$F51,0)</f>
        <v>0</v>
      </c>
      <c r="Z51" s="279">
        <f t="shared" ref="Z51" si="114">IF($G51="1522",$F51,0)</f>
        <v>0</v>
      </c>
      <c r="AA51" s="279">
        <f t="shared" ref="AA51" si="115">IF($H51="1522",$F51,0)</f>
        <v>0</v>
      </c>
      <c r="AB51" s="279">
        <f t="shared" ref="AB51" si="116">IF($G51="153",$F51,0)</f>
        <v>0</v>
      </c>
      <c r="AC51" s="279">
        <f t="shared" ref="AC51" si="117">IF($H51="153",$F51,0)</f>
        <v>0</v>
      </c>
      <c r="AD51" s="279">
        <f t="shared" ref="AD51" si="118">IF($G51="154",$F51,0)</f>
        <v>0</v>
      </c>
      <c r="AE51" s="279">
        <f t="shared" ref="AE51" si="119">IF($H51="154",$F51,0)</f>
        <v>0</v>
      </c>
      <c r="AF51" s="279">
        <f t="shared" ref="AF51" si="120">IF($G51="155",$F51,0)</f>
        <v>0</v>
      </c>
      <c r="AG51" s="279">
        <f t="shared" ref="AG51" si="121">IF($H51="155",$F51,0)</f>
        <v>0</v>
      </c>
      <c r="AH51" s="279">
        <f t="shared" ref="AH51" si="122">IF($G51="2111",$F51,0)</f>
        <v>0</v>
      </c>
      <c r="AI51" s="279">
        <f t="shared" ref="AI51" si="123">IF($H51="2111",$F51,0)</f>
        <v>0</v>
      </c>
      <c r="AJ51" s="279">
        <f t="shared" ref="AJ51" si="124">IF($G51="2112",$F51,0)</f>
        <v>0</v>
      </c>
      <c r="AK51" s="279">
        <f t="shared" ref="AK51" si="125">IF($H51="2112",$F51,0)</f>
        <v>0</v>
      </c>
      <c r="AL51" s="279">
        <f t="shared" ref="AL51" si="126">IF($G51="2113",$F51,0)</f>
        <v>0</v>
      </c>
      <c r="AM51" s="279">
        <f t="shared" ref="AM51" si="127">IF($H51="2113",$F51,0)</f>
        <v>0</v>
      </c>
      <c r="AN51" s="279">
        <f t="shared" ref="AN51" si="128">IF($G51="2131",$F51,0)</f>
        <v>0</v>
      </c>
      <c r="AO51" s="279">
        <f t="shared" ref="AO51" si="129">IF($H51="2131",$F51,0)</f>
        <v>0</v>
      </c>
      <c r="AP51" s="279">
        <f t="shared" ref="AP51" si="130">IF($G51="2141",$F51,0)</f>
        <v>0</v>
      </c>
      <c r="AQ51" s="279">
        <f t="shared" ref="AQ51" si="131">IF($H51="2141",$F51,0)</f>
        <v>0</v>
      </c>
      <c r="AR51" s="279">
        <f t="shared" ref="AR51" si="132">IF($G51="2143",$F51,0)</f>
        <v>0</v>
      </c>
      <c r="AS51" s="279">
        <f t="shared" ref="AS51" si="133">IF($H51="2143",$F51,0)</f>
        <v>0</v>
      </c>
      <c r="AT51" s="279">
        <f t="shared" ref="AT51" si="134">IF($G51="2412",$F51,0)</f>
        <v>0</v>
      </c>
      <c r="AU51" s="279">
        <f t="shared" ref="AU51" si="135">IF($H51="2412",$F51,0)</f>
        <v>0</v>
      </c>
      <c r="AV51" s="279">
        <f t="shared" ref="AV51" si="136">IF($G51="331",$F51,0)</f>
        <v>0</v>
      </c>
      <c r="AW51" s="279">
        <f t="shared" ref="AW51" si="137">IF($H51="331",$F51,0)</f>
        <v>0</v>
      </c>
      <c r="AX51" s="279">
        <f t="shared" ref="AX51" si="138">IF($G51="33311",$F51,0)</f>
        <v>0</v>
      </c>
      <c r="AY51" s="279">
        <f t="shared" ref="AY51" si="139">IF($H51="33311",$F51,0)</f>
        <v>0</v>
      </c>
      <c r="AZ51" s="279">
        <f t="shared" ref="AZ51" si="140">IF($G51="33312",$F51,0)</f>
        <v>0</v>
      </c>
      <c r="BA51" s="279">
        <f t="shared" ref="BA51" si="141">IF($H51="33312",$F51,0)</f>
        <v>0</v>
      </c>
      <c r="BB51" s="279">
        <f t="shared" ref="BB51" si="142">IF($G51="3333",$F51,0)</f>
        <v>0</v>
      </c>
      <c r="BC51" s="279">
        <f t="shared" ref="BC51" si="143">IF($H51="3333",$F51,0)</f>
        <v>0</v>
      </c>
      <c r="BD51" s="279">
        <f t="shared" ref="BD51" si="144">IF($G51="3334",$F51,0)</f>
        <v>0</v>
      </c>
      <c r="BE51" s="279">
        <f t="shared" ref="BE51" si="145">IF($H51="3334",$F51,0)</f>
        <v>0</v>
      </c>
      <c r="BF51" s="279">
        <f t="shared" ref="BF51" si="146">IF($G51="3335",$F51,0)</f>
        <v>0</v>
      </c>
      <c r="BG51" s="279">
        <f t="shared" ref="BG51" si="147">IF($H51="3335",$F51,0)</f>
        <v>0</v>
      </c>
      <c r="BH51" s="279">
        <f t="shared" ref="BH51" si="148">IF($G51="33382",$F51,0)</f>
        <v>0</v>
      </c>
      <c r="BI51" s="279">
        <f t="shared" ref="BI51" si="149">IF($H51="33382",$F51,0)</f>
        <v>0</v>
      </c>
      <c r="BJ51" s="279">
        <f t="shared" ref="BJ51" si="150">IF($G51="3341",$F51,0)</f>
        <v>0</v>
      </c>
      <c r="BK51" s="279">
        <f t="shared" ref="BK51" si="151">IF($H51="3341",$F51,0)</f>
        <v>0</v>
      </c>
      <c r="BL51" s="279">
        <f t="shared" ref="BL51" si="152">IF($G51="3383",$F51,0)</f>
        <v>0</v>
      </c>
      <c r="BM51" s="279">
        <f t="shared" ref="BM51" si="153">IF($H51="3383",$F51,0)</f>
        <v>0</v>
      </c>
      <c r="BN51" s="279">
        <f t="shared" ref="BN51" si="154">IF($G51="3384",$F51,0)</f>
        <v>0</v>
      </c>
      <c r="BO51" s="279">
        <f t="shared" ref="BO51" si="155">IF($H51="3384",$F51,0)</f>
        <v>0</v>
      </c>
      <c r="BP51" s="279">
        <f t="shared" ref="BP51" si="156">IF($G51="3386",$F51,0)</f>
        <v>0</v>
      </c>
      <c r="BQ51" s="279">
        <f t="shared" ref="BQ51" si="157">IF($H51="3386",$F51,0)</f>
        <v>0</v>
      </c>
      <c r="BR51" s="279">
        <f t="shared" ref="BR51" si="158">IF($G51="3388",$F51,0)</f>
        <v>0</v>
      </c>
      <c r="BS51" s="279">
        <f t="shared" ref="BS51" si="159">IF($H51="3388",$F51,0)</f>
        <v>0</v>
      </c>
      <c r="BT51" s="279">
        <f t="shared" ref="BT51" si="160">IF($G51="3411",$F51,0)</f>
        <v>0</v>
      </c>
      <c r="BU51" s="279">
        <f t="shared" ref="BU51" si="161">IF($H51="3411",$F51,0)</f>
        <v>0</v>
      </c>
      <c r="BV51" s="279">
        <f t="shared" ref="BV51" si="162">IF($G51="3412",$F51,0)</f>
        <v>0</v>
      </c>
      <c r="BW51" s="279">
        <f t="shared" ref="BW51" si="163">IF($H51="3412",$F51,0)</f>
        <v>0</v>
      </c>
      <c r="BX51" s="279">
        <f t="shared" ref="BX51" si="164">IF($G51="4111",$F51,0)</f>
        <v>0</v>
      </c>
      <c r="BY51" s="279">
        <f t="shared" ref="BY51" si="165">IF($H51="4111",$F51,0)</f>
        <v>0</v>
      </c>
      <c r="BZ51" s="279">
        <f t="shared" ref="BZ51" si="166">IF($G51="4211",$F51,0)</f>
        <v>0</v>
      </c>
      <c r="CA51" s="279">
        <f t="shared" ref="CA51" si="167">IF($H51="4211",$F51,0)</f>
        <v>0</v>
      </c>
      <c r="CB51" s="279">
        <f t="shared" ref="CB51" si="168">IF($G51="4212",$F51,0)</f>
        <v>0</v>
      </c>
      <c r="CC51" s="279">
        <f t="shared" ref="CC51" si="169">IF($H51="4212",$F51,0)</f>
        <v>0</v>
      </c>
      <c r="CD51" s="279">
        <f t="shared" ref="CD51" si="170">IF($G51="5112N",$F51,0)</f>
        <v>0</v>
      </c>
      <c r="CE51" s="279">
        <f t="shared" ref="CE51" si="171">IF($H51="5112N",$F51,0)</f>
        <v>0</v>
      </c>
      <c r="CF51" s="279">
        <f t="shared" ref="CF51" si="172">IF($G51="5112X",$F51,0)</f>
        <v>0</v>
      </c>
      <c r="CG51" s="279">
        <f t="shared" ref="CG51" si="173">IF($H51="5112X",$F51,0)</f>
        <v>0</v>
      </c>
      <c r="CH51" s="279">
        <f t="shared" ref="CH51" si="174">IF($G51="515",$F51,0)</f>
        <v>0</v>
      </c>
      <c r="CI51" s="279">
        <f t="shared" ref="CI51" si="175">IF($H51="515",$F51,0)</f>
        <v>0</v>
      </c>
      <c r="CJ51" s="279">
        <f t="shared" ref="CJ51" si="176">IF($G51="5213",$F51,0)</f>
        <v>0</v>
      </c>
      <c r="CK51" s="279">
        <f t="shared" ref="CK51" si="177">IF($H51="5213",$F51,0)</f>
        <v>0</v>
      </c>
      <c r="CL51" s="279">
        <f t="shared" ref="CL51" si="178">IF($G51="632",$F51,0)</f>
        <v>0</v>
      </c>
      <c r="CM51" s="279">
        <f t="shared" ref="CM51" si="179">IF($H51="632",$F51,0)</f>
        <v>0</v>
      </c>
      <c r="CN51" s="279">
        <f t="shared" ref="CN51" si="180">IF($G51="635",$F51,0)</f>
        <v>0</v>
      </c>
      <c r="CO51" s="279">
        <f t="shared" ref="CO51" si="181">IF($H51="635",$F51,0)</f>
        <v>0</v>
      </c>
      <c r="CP51" s="279">
        <f t="shared" ref="CP51" si="182">IF($G51="641",$F51,0)</f>
        <v>0</v>
      </c>
      <c r="CQ51" s="279">
        <f t="shared" ref="CQ51" si="183">IF($H51="641",$F51,0)</f>
        <v>0</v>
      </c>
      <c r="CR51" s="279">
        <f t="shared" ref="CR51" si="184">IF($G51="642",$F51,0)</f>
        <v>0</v>
      </c>
      <c r="CS51" s="279">
        <f t="shared" ref="CS51" si="185">IF($H51="642",$F51,0)</f>
        <v>0</v>
      </c>
      <c r="CT51" s="279">
        <f t="shared" ref="CT51" si="186">IF($G51="711",$F51,0)</f>
        <v>0</v>
      </c>
      <c r="CU51" s="279">
        <f t="shared" ref="CU51" si="187">IF($H51="711",$F51,0)</f>
        <v>0</v>
      </c>
      <c r="CV51" s="279">
        <f t="shared" ref="CV51" si="188">IF($G51="811",$F51,0)</f>
        <v>0</v>
      </c>
      <c r="CW51" s="279">
        <f t="shared" ref="CW51" si="189">IF($H51="811",$F51,0)</f>
        <v>0</v>
      </c>
      <c r="CX51" s="279">
        <f t="shared" ref="CX51" si="190">IF($G51="821",$F51,0)</f>
        <v>0</v>
      </c>
      <c r="CY51" s="279">
        <f t="shared" ref="CY51" si="191">IF($H51="821",$F51,0)</f>
        <v>0</v>
      </c>
      <c r="CZ51" s="279">
        <f t="shared" ref="CZ51" si="192">IF($G51="911",$F51,0)</f>
        <v>0</v>
      </c>
      <c r="DA51" s="279">
        <f t="shared" ref="DA51" si="193">IF($H51="911",$F51,0)</f>
        <v>0</v>
      </c>
    </row>
    <row r="52" spans="1:105" s="276" customFormat="1" ht="16.5" customHeight="1">
      <c r="A52" s="283"/>
      <c r="B52" s="243"/>
      <c r="C52" s="312"/>
      <c r="D52" s="243"/>
      <c r="E52" s="278" t="s">
        <v>175</v>
      </c>
      <c r="F52" s="283"/>
      <c r="G52" s="282"/>
      <c r="H52" s="282"/>
      <c r="I52" s="283"/>
      <c r="J52" s="283">
        <f t="shared" ref="J52:AO52" ca="1" si="194">SUM(J11:J51)</f>
        <v>0</v>
      </c>
      <c r="K52" s="283">
        <f t="shared" ca="1" si="194"/>
        <v>0</v>
      </c>
      <c r="L52" s="283">
        <f t="shared" ca="1" si="194"/>
        <v>0</v>
      </c>
      <c r="M52" s="283">
        <f t="shared" ca="1" si="194"/>
        <v>0</v>
      </c>
      <c r="N52" s="283">
        <f t="shared" ca="1" si="194"/>
        <v>0</v>
      </c>
      <c r="O52" s="283">
        <f t="shared" ca="1" si="194"/>
        <v>0</v>
      </c>
      <c r="P52" s="283">
        <f t="shared" ca="1" si="194"/>
        <v>0</v>
      </c>
      <c r="Q52" s="283">
        <f t="shared" ca="1" si="194"/>
        <v>0</v>
      </c>
      <c r="R52" s="283">
        <f t="shared" ca="1" si="194"/>
        <v>0</v>
      </c>
      <c r="S52" s="283">
        <f t="shared" ca="1" si="194"/>
        <v>0</v>
      </c>
      <c r="T52" s="283">
        <f t="shared" ca="1" si="194"/>
        <v>0</v>
      </c>
      <c r="U52" s="283">
        <f t="shared" ca="1" si="194"/>
        <v>0</v>
      </c>
      <c r="V52" s="283">
        <f t="shared" ca="1" si="194"/>
        <v>0</v>
      </c>
      <c r="W52" s="283">
        <f t="shared" ca="1" si="194"/>
        <v>0</v>
      </c>
      <c r="X52" s="283">
        <f t="shared" ca="1" si="194"/>
        <v>0</v>
      </c>
      <c r="Y52" s="283">
        <f t="shared" ca="1" si="194"/>
        <v>0</v>
      </c>
      <c r="Z52" s="283">
        <f t="shared" ca="1" si="194"/>
        <v>0</v>
      </c>
      <c r="AA52" s="283">
        <f t="shared" ca="1" si="194"/>
        <v>0</v>
      </c>
      <c r="AB52" s="283">
        <f t="shared" ca="1" si="194"/>
        <v>0</v>
      </c>
      <c r="AC52" s="283">
        <f t="shared" ca="1" si="194"/>
        <v>0</v>
      </c>
      <c r="AD52" s="283">
        <f t="shared" ca="1" si="194"/>
        <v>0</v>
      </c>
      <c r="AE52" s="283">
        <f t="shared" ca="1" si="194"/>
        <v>0</v>
      </c>
      <c r="AF52" s="283">
        <f t="shared" ca="1" si="194"/>
        <v>0</v>
      </c>
      <c r="AG52" s="283">
        <f t="shared" ca="1" si="194"/>
        <v>0</v>
      </c>
      <c r="AH52" s="283">
        <f t="shared" ca="1" si="194"/>
        <v>0</v>
      </c>
      <c r="AI52" s="283">
        <f t="shared" ca="1" si="194"/>
        <v>0</v>
      </c>
      <c r="AJ52" s="283">
        <f t="shared" ca="1" si="194"/>
        <v>0</v>
      </c>
      <c r="AK52" s="283">
        <f t="shared" ca="1" si="194"/>
        <v>0</v>
      </c>
      <c r="AL52" s="283">
        <f t="shared" ca="1" si="194"/>
        <v>0</v>
      </c>
      <c r="AM52" s="283">
        <f t="shared" ca="1" si="194"/>
        <v>0</v>
      </c>
      <c r="AN52" s="283">
        <f t="shared" ca="1" si="194"/>
        <v>0</v>
      </c>
      <c r="AO52" s="283">
        <f t="shared" ca="1" si="194"/>
        <v>0</v>
      </c>
      <c r="AP52" s="283">
        <f t="shared" ref="AP52:BU52" ca="1" si="195">SUM(AP11:AP51)</f>
        <v>0</v>
      </c>
      <c r="AQ52" s="283">
        <f t="shared" ca="1" si="195"/>
        <v>0</v>
      </c>
      <c r="AR52" s="283">
        <f t="shared" ca="1" si="195"/>
        <v>0</v>
      </c>
      <c r="AS52" s="283">
        <f t="shared" ca="1" si="195"/>
        <v>0</v>
      </c>
      <c r="AT52" s="283">
        <f t="shared" ca="1" si="195"/>
        <v>0</v>
      </c>
      <c r="AU52" s="283">
        <f t="shared" ca="1" si="195"/>
        <v>0</v>
      </c>
      <c r="AV52" s="283">
        <f t="shared" ca="1" si="195"/>
        <v>0</v>
      </c>
      <c r="AW52" s="283">
        <f t="shared" ca="1" si="195"/>
        <v>0</v>
      </c>
      <c r="AX52" s="283">
        <f t="shared" ca="1" si="195"/>
        <v>0</v>
      </c>
      <c r="AY52" s="283">
        <f t="shared" ca="1" si="195"/>
        <v>0</v>
      </c>
      <c r="AZ52" s="283">
        <f t="shared" ca="1" si="195"/>
        <v>0</v>
      </c>
      <c r="BA52" s="283">
        <f t="shared" ca="1" si="195"/>
        <v>0</v>
      </c>
      <c r="BB52" s="283">
        <f t="shared" ca="1" si="195"/>
        <v>0</v>
      </c>
      <c r="BC52" s="283">
        <f t="shared" ca="1" si="195"/>
        <v>0</v>
      </c>
      <c r="BD52" s="283">
        <f t="shared" ca="1" si="195"/>
        <v>0</v>
      </c>
      <c r="BE52" s="283">
        <f t="shared" ca="1" si="195"/>
        <v>0</v>
      </c>
      <c r="BF52" s="283">
        <f t="shared" ca="1" si="195"/>
        <v>0</v>
      </c>
      <c r="BG52" s="283">
        <f t="shared" ca="1" si="195"/>
        <v>0</v>
      </c>
      <c r="BH52" s="283">
        <f t="shared" ca="1" si="195"/>
        <v>0</v>
      </c>
      <c r="BI52" s="283">
        <f t="shared" ca="1" si="195"/>
        <v>0</v>
      </c>
      <c r="BJ52" s="283">
        <f t="shared" ca="1" si="195"/>
        <v>0</v>
      </c>
      <c r="BK52" s="283">
        <f t="shared" ca="1" si="195"/>
        <v>0</v>
      </c>
      <c r="BL52" s="283">
        <f t="shared" ca="1" si="195"/>
        <v>0</v>
      </c>
      <c r="BM52" s="283">
        <f t="shared" ca="1" si="195"/>
        <v>0</v>
      </c>
      <c r="BN52" s="283">
        <f t="shared" ca="1" si="195"/>
        <v>0</v>
      </c>
      <c r="BO52" s="283">
        <f t="shared" ca="1" si="195"/>
        <v>0</v>
      </c>
      <c r="BP52" s="283">
        <f t="shared" ca="1" si="195"/>
        <v>0</v>
      </c>
      <c r="BQ52" s="283">
        <f t="shared" ca="1" si="195"/>
        <v>0</v>
      </c>
      <c r="BR52" s="283">
        <f t="shared" ca="1" si="195"/>
        <v>0</v>
      </c>
      <c r="BS52" s="283">
        <f t="shared" ca="1" si="195"/>
        <v>0</v>
      </c>
      <c r="BT52" s="283">
        <f t="shared" ca="1" si="195"/>
        <v>0</v>
      </c>
      <c r="BU52" s="283">
        <f t="shared" ca="1" si="195"/>
        <v>0</v>
      </c>
      <c r="BV52" s="283">
        <f t="shared" ref="BV52:DA52" ca="1" si="196">SUM(BV11:BV51)</f>
        <v>0</v>
      </c>
      <c r="BW52" s="283">
        <f t="shared" ca="1" si="196"/>
        <v>0</v>
      </c>
      <c r="BX52" s="283">
        <f t="shared" ca="1" si="196"/>
        <v>0</v>
      </c>
      <c r="BY52" s="283">
        <f t="shared" ca="1" si="196"/>
        <v>0</v>
      </c>
      <c r="BZ52" s="283">
        <f t="shared" ca="1" si="196"/>
        <v>0</v>
      </c>
      <c r="CA52" s="283">
        <f t="shared" ca="1" si="196"/>
        <v>0</v>
      </c>
      <c r="CB52" s="283">
        <f t="shared" ca="1" si="196"/>
        <v>0</v>
      </c>
      <c r="CC52" s="283">
        <f t="shared" ca="1" si="196"/>
        <v>0</v>
      </c>
      <c r="CD52" s="283">
        <f t="shared" ca="1" si="196"/>
        <v>0</v>
      </c>
      <c r="CE52" s="283">
        <f t="shared" ca="1" si="196"/>
        <v>0</v>
      </c>
      <c r="CF52" s="283">
        <f t="shared" ca="1" si="196"/>
        <v>0</v>
      </c>
      <c r="CG52" s="283">
        <f t="shared" ca="1" si="196"/>
        <v>0</v>
      </c>
      <c r="CH52" s="283">
        <f t="shared" ca="1" si="196"/>
        <v>0</v>
      </c>
      <c r="CI52" s="283">
        <f t="shared" ca="1" si="196"/>
        <v>0</v>
      </c>
      <c r="CJ52" s="283">
        <f t="shared" ca="1" si="196"/>
        <v>0</v>
      </c>
      <c r="CK52" s="283">
        <f t="shared" ca="1" si="196"/>
        <v>0</v>
      </c>
      <c r="CL52" s="283">
        <f t="shared" ca="1" si="196"/>
        <v>0</v>
      </c>
      <c r="CM52" s="283">
        <f t="shared" ca="1" si="196"/>
        <v>0</v>
      </c>
      <c r="CN52" s="283">
        <f t="shared" ca="1" si="196"/>
        <v>0</v>
      </c>
      <c r="CO52" s="283">
        <f t="shared" ca="1" si="196"/>
        <v>0</v>
      </c>
      <c r="CP52" s="283">
        <f t="shared" ca="1" si="196"/>
        <v>0</v>
      </c>
      <c r="CQ52" s="283">
        <f t="shared" ca="1" si="196"/>
        <v>0</v>
      </c>
      <c r="CR52" s="283">
        <f t="shared" ca="1" si="196"/>
        <v>0</v>
      </c>
      <c r="CS52" s="283">
        <f t="shared" ca="1" si="196"/>
        <v>0</v>
      </c>
      <c r="CT52" s="283">
        <f t="shared" ca="1" si="196"/>
        <v>0</v>
      </c>
      <c r="CU52" s="283">
        <f t="shared" ca="1" si="196"/>
        <v>0</v>
      </c>
      <c r="CV52" s="283">
        <f t="shared" ca="1" si="196"/>
        <v>0</v>
      </c>
      <c r="CW52" s="283">
        <f t="shared" ca="1" si="196"/>
        <v>0</v>
      </c>
      <c r="CX52" s="283">
        <f t="shared" ca="1" si="196"/>
        <v>0</v>
      </c>
      <c r="CY52" s="283">
        <f t="shared" ca="1" si="196"/>
        <v>0</v>
      </c>
      <c r="CZ52" s="283">
        <f t="shared" ca="1" si="196"/>
        <v>0</v>
      </c>
      <c r="DA52" s="283">
        <f t="shared" ca="1" si="196"/>
        <v>0</v>
      </c>
    </row>
    <row r="53" spans="1:105" s="276" customFormat="1" ht="16.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6.5" customHeight="1">
      <c r="A54" s="288"/>
      <c r="B54" s="288"/>
      <c r="C54" s="289"/>
      <c r="D54" s="288"/>
      <c r="E54" s="290" t="s">
        <v>217</v>
      </c>
      <c r="F54" s="288"/>
      <c r="G54" s="291"/>
      <c r="H54" s="291"/>
      <c r="I54" s="288"/>
      <c r="J54" s="288">
        <f ca="1">J52+'SC-III'!J54</f>
        <v>0</v>
      </c>
      <c r="K54" s="288">
        <f ca="1">K52+'SC-III'!K54</f>
        <v>0</v>
      </c>
      <c r="L54" s="288">
        <f ca="1">L52+'SC-III'!L54</f>
        <v>0</v>
      </c>
      <c r="M54" s="288">
        <f ca="1">M52+'SC-III'!M54</f>
        <v>0</v>
      </c>
      <c r="N54" s="288">
        <f ca="1">N52+'SC-III'!N54</f>
        <v>0</v>
      </c>
      <c r="O54" s="288">
        <f ca="1">O52+'SC-III'!O54</f>
        <v>0</v>
      </c>
      <c r="P54" s="288">
        <f ca="1">P52+'SC-III'!P54</f>
        <v>0</v>
      </c>
      <c r="Q54" s="288">
        <f ca="1">Q52+'SC-III'!Q54</f>
        <v>0</v>
      </c>
      <c r="R54" s="288">
        <f ca="1">R52+'SC-III'!R54</f>
        <v>0</v>
      </c>
      <c r="S54" s="288">
        <f ca="1">S52+'SC-III'!S54</f>
        <v>0</v>
      </c>
      <c r="T54" s="288">
        <f ca="1">T52+'SC-III'!T54</f>
        <v>0</v>
      </c>
      <c r="U54" s="288">
        <f ca="1">U52+'SC-III'!U54</f>
        <v>0</v>
      </c>
      <c r="V54" s="288">
        <f ca="1">V52+'SC-III'!V54</f>
        <v>0</v>
      </c>
      <c r="W54" s="288">
        <f ca="1">W52+'SC-III'!W54</f>
        <v>0</v>
      </c>
      <c r="X54" s="288">
        <f ca="1">X52+'SC-III'!X54</f>
        <v>0</v>
      </c>
      <c r="Y54" s="288">
        <f ca="1">Y52+'SC-III'!Y54</f>
        <v>0</v>
      </c>
      <c r="Z54" s="288">
        <f ca="1">Z52+'SC-III'!Z54</f>
        <v>0</v>
      </c>
      <c r="AA54" s="288">
        <f ca="1">AA52+'SC-III'!AA54</f>
        <v>0</v>
      </c>
      <c r="AB54" s="288">
        <f ca="1">AB52+'SC-III'!AB54</f>
        <v>0</v>
      </c>
      <c r="AC54" s="288">
        <f ca="1">AC52+'SC-III'!AC54</f>
        <v>0</v>
      </c>
      <c r="AD54" s="288">
        <f ca="1">AD52+'SC-III'!AD54</f>
        <v>0</v>
      </c>
      <c r="AE54" s="288">
        <f ca="1">AE52+'SC-III'!AE54</f>
        <v>0</v>
      </c>
      <c r="AF54" s="288">
        <f ca="1">AF52+'SC-III'!AF54</f>
        <v>0</v>
      </c>
      <c r="AG54" s="288">
        <f ca="1">AG52+'SC-III'!AG54</f>
        <v>0</v>
      </c>
      <c r="AH54" s="288">
        <f ca="1">AH52+'SC-III'!AH54</f>
        <v>0</v>
      </c>
      <c r="AI54" s="288">
        <f ca="1">AI52+'SC-III'!AI54</f>
        <v>0</v>
      </c>
      <c r="AJ54" s="288">
        <f ca="1">AJ52+'SC-III'!AJ54</f>
        <v>0</v>
      </c>
      <c r="AK54" s="288">
        <f ca="1">AK52+'SC-III'!AK54</f>
        <v>0</v>
      </c>
      <c r="AL54" s="288">
        <f ca="1">AL52+'SC-III'!AL54</f>
        <v>0</v>
      </c>
      <c r="AM54" s="288">
        <f ca="1">AM52+'SC-III'!AM54</f>
        <v>0</v>
      </c>
      <c r="AN54" s="288">
        <f ca="1">AN52+'SC-III'!AN54</f>
        <v>0</v>
      </c>
      <c r="AO54" s="288">
        <f ca="1">AO52+'SC-III'!AO54</f>
        <v>0</v>
      </c>
      <c r="AP54" s="288">
        <f ca="1">AP52+'SC-III'!AP54</f>
        <v>0</v>
      </c>
      <c r="AQ54" s="288">
        <f ca="1">AQ52+'SC-III'!AQ54</f>
        <v>0</v>
      </c>
      <c r="AR54" s="288">
        <f ca="1">AR52+'SC-III'!AR54</f>
        <v>0</v>
      </c>
      <c r="AS54" s="288">
        <f ca="1">AS52+'SC-III'!AS54</f>
        <v>0</v>
      </c>
      <c r="AT54" s="288">
        <f ca="1">AT52+'SC-III'!AT54</f>
        <v>0</v>
      </c>
      <c r="AU54" s="288">
        <f ca="1">AU52+'SC-III'!AU54</f>
        <v>0</v>
      </c>
      <c r="AV54" s="288">
        <f ca="1">AV52+'SC-III'!AV54</f>
        <v>0</v>
      </c>
      <c r="AW54" s="288">
        <f ca="1">AW52+'SC-III'!AW54</f>
        <v>0</v>
      </c>
      <c r="AX54" s="288">
        <f ca="1">AX52+'SC-III'!AX54</f>
        <v>0</v>
      </c>
      <c r="AY54" s="288">
        <f ca="1">AY52+'SC-III'!AY54</f>
        <v>0</v>
      </c>
      <c r="AZ54" s="288">
        <f ca="1">AZ52+'SC-III'!AZ54</f>
        <v>0</v>
      </c>
      <c r="BA54" s="288">
        <f ca="1">BA52+'SC-III'!BA54</f>
        <v>0</v>
      </c>
      <c r="BB54" s="288">
        <f ca="1">BB52+'SC-III'!BB54</f>
        <v>0</v>
      </c>
      <c r="BC54" s="288">
        <f ca="1">BC52+'SC-III'!BC54</f>
        <v>0</v>
      </c>
      <c r="BD54" s="288">
        <f ca="1">BD52+'SC-III'!BD54</f>
        <v>0</v>
      </c>
      <c r="BE54" s="288">
        <f ca="1">BE52+'SC-III'!BE54</f>
        <v>0</v>
      </c>
      <c r="BF54" s="288">
        <f ca="1">BF52+'SC-III'!BF54</f>
        <v>0</v>
      </c>
      <c r="BG54" s="288">
        <f ca="1">BG52+'SC-III'!BG54</f>
        <v>0</v>
      </c>
      <c r="BH54" s="288">
        <f ca="1">BH52+'SC-III'!BH54</f>
        <v>0</v>
      </c>
      <c r="BI54" s="288">
        <f ca="1">BI52+'SC-III'!BI54</f>
        <v>0</v>
      </c>
      <c r="BJ54" s="288">
        <f ca="1">BJ52+'SC-III'!BJ54</f>
        <v>0</v>
      </c>
      <c r="BK54" s="288">
        <f ca="1">BK52+'SC-III'!BK54</f>
        <v>0</v>
      </c>
      <c r="BL54" s="288">
        <f ca="1">BL52+'SC-III'!BL54</f>
        <v>0</v>
      </c>
      <c r="BM54" s="288">
        <f ca="1">BM52+'SC-III'!BM54</f>
        <v>0</v>
      </c>
      <c r="BN54" s="288">
        <f ca="1">BN52+'SC-III'!BN54</f>
        <v>0</v>
      </c>
      <c r="BO54" s="288">
        <f ca="1">BO52+'SC-III'!BO54</f>
        <v>0</v>
      </c>
      <c r="BP54" s="288">
        <f ca="1">BP52+'SC-III'!BP54</f>
        <v>0</v>
      </c>
      <c r="BQ54" s="288">
        <f ca="1">BQ52+'SC-III'!BQ54</f>
        <v>0</v>
      </c>
      <c r="BR54" s="288">
        <f ca="1">BR52+'SC-III'!BR54</f>
        <v>0</v>
      </c>
      <c r="BS54" s="288">
        <f ca="1">BS52+'SC-III'!BS54</f>
        <v>0</v>
      </c>
      <c r="BT54" s="288">
        <f ca="1">BT52+'SC-III'!BT54</f>
        <v>0</v>
      </c>
      <c r="BU54" s="288">
        <f ca="1">BU52+'SC-III'!BU54</f>
        <v>0</v>
      </c>
      <c r="BV54" s="288">
        <f ca="1">BV52+'SC-III'!BV54</f>
        <v>0</v>
      </c>
      <c r="BW54" s="288">
        <f ca="1">BW52+'SC-III'!BW54</f>
        <v>0</v>
      </c>
      <c r="BX54" s="288">
        <f ca="1">BX52+'SC-III'!BX54</f>
        <v>0</v>
      </c>
      <c r="BY54" s="288">
        <f ca="1">BY52+'SC-III'!BY54</f>
        <v>0</v>
      </c>
      <c r="BZ54" s="288">
        <f ca="1">BZ52+'SC-III'!BZ54</f>
        <v>0</v>
      </c>
      <c r="CA54" s="288">
        <f ca="1">CA52+'SC-III'!CA54</f>
        <v>107861885.00000048</v>
      </c>
      <c r="CB54" s="288">
        <f ca="1">CB52+'SC-III'!CB54</f>
        <v>107861885.00000048</v>
      </c>
      <c r="CC54" s="288">
        <f ca="1">CC52+'SC-III'!CC54</f>
        <v>0</v>
      </c>
      <c r="CD54" s="288">
        <f ca="1">CD52+'SC-III'!CD54</f>
        <v>0</v>
      </c>
      <c r="CE54" s="288">
        <f ca="1">CE52+'SC-III'!CE54</f>
        <v>0</v>
      </c>
      <c r="CF54" s="288">
        <f ca="1">CF52+'SC-III'!CF54</f>
        <v>0</v>
      </c>
      <c r="CG54" s="288">
        <f ca="1">CG52+'SC-III'!CG54</f>
        <v>0</v>
      </c>
      <c r="CH54" s="288">
        <f ca="1">CH52+'SC-III'!CH54</f>
        <v>0</v>
      </c>
      <c r="CI54" s="288">
        <f ca="1">CI52+'SC-III'!CI54</f>
        <v>0</v>
      </c>
      <c r="CJ54" s="288">
        <f ca="1">CJ52+'SC-III'!CJ54</f>
        <v>0</v>
      </c>
      <c r="CK54" s="288">
        <f ca="1">CK52+'SC-III'!CK54</f>
        <v>0</v>
      </c>
      <c r="CL54" s="288">
        <f ca="1">CL52+'SC-III'!CL54</f>
        <v>0</v>
      </c>
      <c r="CM54" s="288">
        <f ca="1">CM52+'SC-III'!CM54</f>
        <v>0</v>
      </c>
      <c r="CN54" s="288">
        <f ca="1">CN52+'SC-III'!CN54</f>
        <v>0</v>
      </c>
      <c r="CO54" s="288">
        <f ca="1">CO52+'SC-III'!CO54</f>
        <v>0</v>
      </c>
      <c r="CP54" s="288">
        <f ca="1">CP52+'SC-III'!CP54</f>
        <v>0</v>
      </c>
      <c r="CQ54" s="288">
        <f ca="1">CQ52+'SC-III'!CQ54</f>
        <v>0</v>
      </c>
      <c r="CR54" s="288">
        <f ca="1">CR52+'SC-III'!CR54</f>
        <v>0</v>
      </c>
      <c r="CS54" s="288">
        <f ca="1">CS52+'SC-III'!CS54</f>
        <v>0</v>
      </c>
      <c r="CT54" s="288">
        <f ca="1">CT52+'SC-III'!CT54</f>
        <v>0</v>
      </c>
      <c r="CU54" s="288">
        <f ca="1">CU52+'SC-III'!CU54</f>
        <v>0</v>
      </c>
      <c r="CV54" s="288">
        <f ca="1">CV52+'SC-III'!CV54</f>
        <v>0</v>
      </c>
      <c r="CW54" s="288">
        <f ca="1">CW52+'SC-III'!CW54</f>
        <v>0</v>
      </c>
      <c r="CX54" s="288">
        <f ca="1">CX52+'SC-III'!CX54</f>
        <v>0</v>
      </c>
      <c r="CY54" s="288">
        <f ca="1">CY52+'SC-III'!CY54</f>
        <v>0</v>
      </c>
      <c r="CZ54" s="288">
        <f ca="1">CZ52+'SC-III'!CZ54</f>
        <v>0</v>
      </c>
      <c r="DA54" s="288">
        <f ca="1">DA52+'SC-III'!DA54</f>
        <v>0</v>
      </c>
    </row>
    <row r="55" spans="1:105" ht="12" customHeight="1">
      <c r="B55" s="293"/>
      <c r="C55" s="294"/>
      <c r="D55" s="294"/>
      <c r="E55" s="294"/>
      <c r="F55" s="294"/>
      <c r="G55" s="295"/>
      <c r="H55" s="295"/>
      <c r="I55" s="294"/>
      <c r="J55" s="294"/>
      <c r="K55" s="294"/>
      <c r="AB55" s="294"/>
      <c r="AC55" s="294"/>
      <c r="AD55" s="294"/>
      <c r="AE55" s="295"/>
      <c r="AF55" s="294"/>
      <c r="AG55" s="295"/>
      <c r="AH55" s="295"/>
      <c r="AI55" s="295"/>
      <c r="AJ55" s="295"/>
      <c r="AK55" s="311"/>
      <c r="AL55" s="294"/>
      <c r="AM55" s="294"/>
      <c r="AN55" s="294"/>
      <c r="AO55" s="294"/>
      <c r="AR55" s="294"/>
      <c r="AS55" s="294"/>
      <c r="AT55" s="294"/>
      <c r="AU55" s="294"/>
      <c r="AV55" s="294"/>
      <c r="AW55" s="294"/>
      <c r="AZ55" s="294"/>
      <c r="BA55" s="294"/>
    </row>
    <row r="56" spans="1:105" ht="12" customHeight="1">
      <c r="B56" s="293"/>
      <c r="C56" s="294"/>
      <c r="D56" s="294"/>
      <c r="E56" s="294"/>
      <c r="F56" s="294"/>
      <c r="G56" s="295"/>
      <c r="H56" s="295"/>
      <c r="I56" s="294"/>
      <c r="J56" s="294"/>
      <c r="K56" s="294"/>
      <c r="AB56" s="294"/>
      <c r="AC56" s="294"/>
      <c r="AD56" s="294"/>
      <c r="AE56" s="295"/>
      <c r="AF56" s="294"/>
      <c r="AG56" s="295"/>
      <c r="AH56" s="295"/>
      <c r="AI56" s="295"/>
      <c r="AJ56" s="295"/>
      <c r="AK56" s="311"/>
      <c r="AL56" s="297" t="s">
        <v>252</v>
      </c>
      <c r="AM56" s="298"/>
      <c r="AN56" s="298"/>
      <c r="AO56" s="298"/>
      <c r="AP56" s="298"/>
      <c r="AQ56" s="298"/>
      <c r="AR56" s="299"/>
      <c r="AS56" s="299"/>
      <c r="AT56" s="298"/>
    </row>
    <row r="57" spans="1:105" ht="12" customHeight="1">
      <c r="J57" s="296"/>
      <c r="K57" s="296"/>
      <c r="L57" s="296"/>
      <c r="M57" s="313"/>
      <c r="N57" s="296"/>
      <c r="O57" s="313"/>
      <c r="P57" s="313"/>
      <c r="Q57" s="313"/>
      <c r="R57" s="296"/>
      <c r="AE57" s="258"/>
      <c r="AG57" s="258"/>
      <c r="AH57" s="258"/>
      <c r="AI57" s="258"/>
      <c r="AJ57" s="258"/>
      <c r="AK57" s="314"/>
      <c r="AL57" s="300" t="s">
        <v>233</v>
      </c>
      <c r="AM57" s="298"/>
      <c r="AN57" s="298"/>
      <c r="AO57" s="298"/>
      <c r="AP57" s="298"/>
      <c r="AQ57" s="298"/>
      <c r="AR57" s="299"/>
      <c r="AS57" s="299"/>
      <c r="AT57" s="298"/>
    </row>
    <row r="58" spans="1:105" s="264" customFormat="1" ht="12" customHeight="1">
      <c r="F58" s="315"/>
      <c r="G58" s="316"/>
      <c r="H58" s="316"/>
      <c r="R58" s="317"/>
      <c r="Z58" s="257"/>
      <c r="AA58" s="257"/>
      <c r="AE58" s="316"/>
      <c r="AG58" s="316"/>
      <c r="AH58" s="316"/>
      <c r="AI58" s="316"/>
      <c r="AJ58" s="316"/>
      <c r="AK58" s="318"/>
      <c r="AL58" s="298"/>
      <c r="AM58" s="298"/>
      <c r="AN58" s="298"/>
      <c r="AO58" s="298"/>
      <c r="AP58" s="298"/>
      <c r="AQ58" s="298"/>
      <c r="AR58" s="298"/>
      <c r="AS58" s="298"/>
      <c r="AT58" s="299"/>
      <c r="AU58" s="257"/>
      <c r="AV58" s="257"/>
      <c r="AW58" s="257"/>
      <c r="AX58" s="257"/>
      <c r="AY58" s="257"/>
      <c r="AZ58" s="257"/>
      <c r="BA58" s="257"/>
    </row>
    <row r="59" spans="1:105" ht="12" customHeight="1">
      <c r="L59" s="276"/>
      <c r="N59" s="276"/>
      <c r="AE59" s="258"/>
      <c r="AG59" s="258"/>
      <c r="AH59" s="258"/>
      <c r="AI59" s="258"/>
      <c r="AJ59" s="258"/>
      <c r="AK59" s="314"/>
      <c r="AL59" s="298"/>
      <c r="AM59" s="298"/>
      <c r="AN59" s="298"/>
      <c r="AO59" s="298"/>
      <c r="AP59" s="298"/>
      <c r="AQ59" s="298"/>
      <c r="AR59" s="298"/>
      <c r="AS59" s="298"/>
      <c r="AT59" s="299"/>
      <c r="AZ59" s="301" t="str">
        <f>"Ngày 31 tháng 12 năm 2015 "</f>
        <v xml:space="preserve">Ngày 31 tháng 12 năm 2015 </v>
      </c>
    </row>
    <row r="60" spans="1:105">
      <c r="J60" s="276"/>
      <c r="K60" s="276"/>
      <c r="AL60" s="298"/>
      <c r="AM60" s="302" t="s">
        <v>11</v>
      </c>
      <c r="AN60" s="298"/>
      <c r="AO60" s="298"/>
      <c r="AP60" s="298"/>
      <c r="AQ60" s="298"/>
      <c r="AR60" s="298"/>
      <c r="AS60" s="303" t="s">
        <v>12</v>
      </c>
      <c r="AT60" s="299"/>
      <c r="AZ60" s="302" t="s">
        <v>131</v>
      </c>
    </row>
    <row r="61" spans="1:105">
      <c r="T61" s="276"/>
      <c r="AL61" s="298"/>
      <c r="AM61" s="304" t="s">
        <v>13</v>
      </c>
      <c r="AN61" s="298"/>
      <c r="AO61" s="298"/>
      <c r="AP61" s="298"/>
      <c r="AQ61" s="298"/>
      <c r="AR61" s="298"/>
      <c r="AS61" s="305" t="s">
        <v>13</v>
      </c>
      <c r="AT61" s="299"/>
      <c r="AZ61" s="304" t="s">
        <v>161</v>
      </c>
    </row>
    <row r="62" spans="1:105">
      <c r="F62" s="276"/>
      <c r="T62" s="276"/>
      <c r="AL62" s="298"/>
      <c r="AM62" s="298"/>
      <c r="AN62" s="298"/>
      <c r="AO62" s="298"/>
      <c r="AP62" s="298"/>
      <c r="AQ62" s="298"/>
      <c r="AR62" s="298"/>
      <c r="AS62" s="298"/>
      <c r="AT62" s="299"/>
      <c r="AZ62" s="298"/>
    </row>
    <row r="63" spans="1:105">
      <c r="F63" s="276"/>
      <c r="T63" s="276"/>
      <c r="AZ63" s="298"/>
    </row>
    <row r="64" spans="1:105">
      <c r="F64" s="276"/>
      <c r="G64" s="276"/>
      <c r="T64" s="276"/>
    </row>
    <row r="65" spans="5:20">
      <c r="F65" s="276"/>
      <c r="T65" s="276"/>
    </row>
    <row r="66" spans="5:20">
      <c r="F66" s="276"/>
      <c r="T66" s="276"/>
    </row>
    <row r="67" spans="5:20">
      <c r="F67" s="276"/>
      <c r="M67" s="296"/>
      <c r="O67" s="296"/>
      <c r="P67" s="296"/>
      <c r="Q67" s="296"/>
      <c r="R67" s="296"/>
      <c r="T67" s="276"/>
    </row>
    <row r="68" spans="5:20">
      <c r="E68" s="307"/>
      <c r="F68" s="276"/>
      <c r="M68" s="296"/>
      <c r="O68" s="296"/>
      <c r="P68" s="296"/>
      <c r="Q68" s="296"/>
      <c r="R68" s="296"/>
    </row>
    <row r="69" spans="5:20">
      <c r="F69" s="296"/>
      <c r="M69" s="296"/>
      <c r="O69" s="296"/>
      <c r="P69" s="296"/>
      <c r="Q69" s="296"/>
      <c r="R69" s="296"/>
    </row>
    <row r="70" spans="5:20">
      <c r="F70" s="296"/>
      <c r="M70" s="296"/>
      <c r="O70" s="296"/>
      <c r="P70" s="296"/>
      <c r="Q70" s="296"/>
      <c r="R70" s="296"/>
    </row>
    <row r="71" spans="5:20">
      <c r="E71" s="296"/>
      <c r="F71" s="296"/>
      <c r="M71" s="296"/>
      <c r="O71" s="296"/>
      <c r="P71" s="296"/>
      <c r="Q71" s="296"/>
      <c r="R71" s="296"/>
    </row>
    <row r="72" spans="5:20">
      <c r="E72" s="296"/>
      <c r="F72" s="296"/>
      <c r="M72" s="296"/>
      <c r="O72" s="296"/>
      <c r="P72" s="296"/>
      <c r="Q72" s="296"/>
      <c r="R72" s="296"/>
    </row>
    <row r="73" spans="5:20">
      <c r="E73" s="296"/>
      <c r="F73" s="296"/>
      <c r="M73" s="296"/>
      <c r="O73" s="296"/>
      <c r="P73" s="296"/>
      <c r="Q73" s="296"/>
      <c r="R73" s="296"/>
    </row>
    <row r="74" spans="5:20">
      <c r="E74" s="296"/>
      <c r="F74" s="296"/>
      <c r="M74" s="296"/>
      <c r="O74" s="296"/>
      <c r="P74" s="296"/>
      <c r="Q74" s="296"/>
      <c r="R74" s="296"/>
    </row>
    <row r="75" spans="5:20">
      <c r="E75" s="296"/>
      <c r="F75" s="296"/>
      <c r="M75" s="296"/>
      <c r="O75" s="296"/>
      <c r="P75" s="296"/>
      <c r="Q75" s="296"/>
      <c r="R75" s="296"/>
    </row>
    <row r="76" spans="5:20">
      <c r="E76" s="296"/>
      <c r="F76" s="296"/>
      <c r="M76" s="296"/>
      <c r="O76" s="296"/>
      <c r="P76" s="296"/>
      <c r="Q76" s="296"/>
      <c r="R76" s="296"/>
    </row>
    <row r="77" spans="5:20">
      <c r="F77" s="296"/>
      <c r="M77" s="296"/>
      <c r="O77" s="296"/>
      <c r="P77" s="296"/>
      <c r="Q77" s="296"/>
      <c r="R77" s="296"/>
    </row>
    <row r="78" spans="5:20">
      <c r="F78" s="296"/>
      <c r="M78" s="296"/>
      <c r="O78" s="296"/>
      <c r="P78" s="296"/>
      <c r="Q78" s="296"/>
      <c r="R78" s="296"/>
    </row>
    <row r="79" spans="5:20">
      <c r="F79" s="296"/>
      <c r="M79" s="296"/>
      <c r="O79" s="296"/>
      <c r="P79" s="296"/>
      <c r="Q79" s="296"/>
      <c r="R79" s="296"/>
    </row>
    <row r="80" spans="5:20">
      <c r="F80" s="296"/>
      <c r="M80" s="296"/>
      <c r="O80" s="296"/>
      <c r="P80" s="296"/>
      <c r="Q80" s="296"/>
      <c r="R80" s="296"/>
    </row>
    <row r="81" spans="6:18">
      <c r="F81" s="296"/>
      <c r="M81" s="296"/>
      <c r="O81" s="296"/>
      <c r="P81" s="296"/>
      <c r="Q81" s="296"/>
      <c r="R81" s="296"/>
    </row>
    <row r="82" spans="6:18">
      <c r="F82" s="296"/>
      <c r="M82" s="296"/>
      <c r="O82" s="296"/>
      <c r="P82" s="296"/>
      <c r="Q82" s="296"/>
      <c r="R82" s="296"/>
    </row>
    <row r="83" spans="6:18">
      <c r="M83" s="296"/>
      <c r="O83" s="296"/>
      <c r="P83" s="296"/>
      <c r="Q83" s="296"/>
      <c r="R83" s="296"/>
    </row>
    <row r="85" spans="6:18">
      <c r="M85" s="296"/>
      <c r="O85" s="296"/>
      <c r="P85" s="296"/>
      <c r="Q85" s="296"/>
      <c r="R85" s="296"/>
    </row>
    <row r="86" spans="6:18">
      <c r="M86" s="296"/>
      <c r="O86" s="296"/>
      <c r="P86" s="296"/>
      <c r="Q86" s="296"/>
      <c r="R86" s="296"/>
    </row>
    <row r="87" spans="6:18">
      <c r="M87" s="296"/>
      <c r="O87" s="296"/>
      <c r="P87" s="296"/>
      <c r="Q87" s="296"/>
      <c r="R87" s="296"/>
    </row>
    <row r="88" spans="6:18">
      <c r="M88" s="296"/>
      <c r="O88" s="296"/>
      <c r="P88" s="296"/>
      <c r="Q88" s="296"/>
      <c r="R88" s="296"/>
    </row>
    <row r="89" spans="6:18">
      <c r="M89" s="296"/>
      <c r="O89" s="296"/>
      <c r="P89" s="296"/>
      <c r="Q89" s="296"/>
      <c r="R89" s="296"/>
    </row>
    <row r="90" spans="6:18">
      <c r="M90" s="296"/>
      <c r="O90" s="296"/>
      <c r="P90" s="296"/>
      <c r="Q90" s="296"/>
      <c r="R90" s="296"/>
    </row>
    <row r="103" spans="13:17">
      <c r="M103" s="296"/>
      <c r="O103" s="296"/>
      <c r="P103" s="296"/>
      <c r="Q103" s="296"/>
    </row>
    <row r="120" spans="13:18">
      <c r="R120" s="296"/>
    </row>
    <row r="121" spans="13:18">
      <c r="R121" s="296"/>
    </row>
    <row r="122" spans="13:18">
      <c r="M122" s="296"/>
      <c r="O122" s="296"/>
      <c r="P122" s="296"/>
      <c r="Q122" s="296"/>
      <c r="R122" s="296"/>
    </row>
    <row r="123" spans="13:18">
      <c r="M123" s="296"/>
      <c r="O123" s="296"/>
      <c r="P123" s="296"/>
      <c r="Q123" s="296"/>
      <c r="R123" s="296"/>
    </row>
    <row r="124" spans="13:18">
      <c r="M124" s="296"/>
      <c r="O124" s="296"/>
      <c r="P124" s="296"/>
      <c r="Q124" s="296"/>
    </row>
    <row r="125" spans="13:18">
      <c r="M125" s="296"/>
      <c r="O125" s="296"/>
      <c r="P125" s="296"/>
      <c r="Q125" s="296"/>
    </row>
    <row r="127" spans="13:18">
      <c r="M127" s="296"/>
      <c r="O127" s="296"/>
      <c r="P127" s="296"/>
      <c r="Q127" s="296"/>
      <c r="R127" s="296"/>
    </row>
    <row r="128" spans="13:18">
      <c r="M128" s="296"/>
      <c r="O128" s="296"/>
      <c r="P128" s="296"/>
      <c r="Q128" s="296"/>
      <c r="R128"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row r="174" spans="13:18">
      <c r="M174" s="296"/>
      <c r="O174" s="296"/>
      <c r="P174" s="296"/>
      <c r="Q174" s="296"/>
      <c r="R174" s="296"/>
    </row>
    <row r="175" spans="13:18">
      <c r="M175" s="296"/>
      <c r="O175" s="296"/>
      <c r="P175" s="296"/>
      <c r="Q175" s="296"/>
      <c r="R175" s="296"/>
    </row>
    <row r="176" spans="13:18">
      <c r="M176" s="296"/>
      <c r="O176" s="296"/>
      <c r="P176" s="296"/>
      <c r="Q176" s="296"/>
      <c r="R176" s="296"/>
    </row>
    <row r="177" spans="13:18">
      <c r="M177" s="296"/>
      <c r="O177" s="296"/>
      <c r="P177" s="296"/>
      <c r="Q177" s="296"/>
      <c r="R177" s="296"/>
    </row>
    <row r="178" spans="13:18">
      <c r="M178" s="296"/>
      <c r="O178" s="296"/>
      <c r="P178" s="296"/>
      <c r="Q178" s="296"/>
      <c r="R178" s="296"/>
    </row>
    <row r="179" spans="13:18">
      <c r="M179" s="296"/>
      <c r="O179" s="296"/>
      <c r="P179" s="296"/>
      <c r="Q179" s="296"/>
      <c r="R179" s="296"/>
    </row>
    <row r="180" spans="13:18">
      <c r="M180" s="296"/>
      <c r="O180" s="296"/>
      <c r="P180" s="296"/>
      <c r="Q180" s="296"/>
      <c r="R180" s="296"/>
    </row>
    <row r="181" spans="13:18">
      <c r="M181" s="296"/>
      <c r="O181" s="296"/>
      <c r="P181" s="296"/>
      <c r="Q181" s="296"/>
      <c r="R181" s="296"/>
    </row>
    <row r="182" spans="13:18">
      <c r="M182" s="296"/>
      <c r="O182" s="296"/>
      <c r="P182" s="296"/>
      <c r="Q182" s="296"/>
      <c r="R182" s="296"/>
    </row>
    <row r="183" spans="13:18">
      <c r="M183" s="296"/>
      <c r="O183" s="296"/>
      <c r="P183" s="296"/>
      <c r="Q183" s="296"/>
      <c r="R183" s="296"/>
    </row>
    <row r="184" spans="13:18">
      <c r="M184" s="296"/>
      <c r="O184" s="296"/>
      <c r="P184" s="296"/>
      <c r="Q184" s="296"/>
      <c r="R184" s="296"/>
    </row>
    <row r="185" spans="13:18">
      <c r="M185" s="296"/>
      <c r="O185" s="296"/>
      <c r="P185" s="296"/>
      <c r="Q185" s="296"/>
      <c r="R185" s="296"/>
    </row>
    <row r="186" spans="13:18">
      <c r="M186" s="296"/>
      <c r="O186" s="296"/>
      <c r="P186" s="296"/>
      <c r="Q186" s="296"/>
      <c r="R186" s="296"/>
    </row>
    <row r="187" spans="13:18">
      <c r="M187" s="296"/>
      <c r="O187" s="296"/>
      <c r="P187" s="296"/>
      <c r="Q187" s="296"/>
      <c r="R187" s="296"/>
    </row>
    <row r="188" spans="13:18">
      <c r="M188" s="296"/>
      <c r="O188" s="296"/>
      <c r="P188" s="296"/>
      <c r="Q188" s="296"/>
      <c r="R188" s="296"/>
    </row>
    <row r="189" spans="13:18">
      <c r="M189" s="296"/>
      <c r="O189" s="296"/>
      <c r="P189" s="296"/>
      <c r="Q189" s="296"/>
      <c r="R189" s="296"/>
    </row>
    <row r="190" spans="13:18">
      <c r="M190" s="296"/>
      <c r="O190" s="296"/>
      <c r="P190" s="296"/>
      <c r="Q190" s="296"/>
      <c r="R190" s="296"/>
    </row>
    <row r="191" spans="13:18">
      <c r="M191" s="296"/>
      <c r="O191" s="296"/>
      <c r="P191" s="296"/>
      <c r="Q191" s="296"/>
      <c r="R191" s="296"/>
    </row>
    <row r="192" spans="13:18">
      <c r="M192" s="296"/>
      <c r="O192" s="296"/>
      <c r="P192" s="296"/>
      <c r="Q192" s="296"/>
      <c r="R192" s="296"/>
    </row>
    <row r="193" spans="13:18">
      <c r="M193" s="296"/>
      <c r="O193" s="296"/>
      <c r="P193" s="296"/>
      <c r="Q193" s="296"/>
      <c r="R193" s="296"/>
    </row>
    <row r="194" spans="13:18">
      <c r="M194" s="296"/>
      <c r="O194" s="296"/>
      <c r="P194" s="296"/>
      <c r="Q194" s="296"/>
      <c r="R194" s="296"/>
    </row>
    <row r="195" spans="13:18">
      <c r="M195" s="296"/>
      <c r="O195" s="296"/>
      <c r="P195" s="296"/>
      <c r="Q195" s="296"/>
      <c r="R195" s="296"/>
    </row>
    <row r="196" spans="13:18">
      <c r="M196" s="296"/>
      <c r="O196" s="296"/>
      <c r="P196" s="296"/>
      <c r="Q196" s="296"/>
      <c r="R196" s="296"/>
    </row>
    <row r="197" spans="13:18">
      <c r="M197" s="296"/>
      <c r="O197" s="296"/>
      <c r="P197" s="296"/>
      <c r="Q197" s="296"/>
      <c r="R197" s="296"/>
    </row>
    <row r="198" spans="13:18">
      <c r="M198" s="296"/>
      <c r="O198" s="296"/>
      <c r="P198" s="296"/>
      <c r="Q198" s="296"/>
      <c r="R198" s="296"/>
    </row>
    <row r="199" spans="13:18">
      <c r="M199" s="296"/>
      <c r="O199" s="296"/>
      <c r="P199" s="296"/>
      <c r="Q199" s="296"/>
      <c r="R199" s="296"/>
    </row>
    <row r="200" spans="13:18">
      <c r="M200" s="296"/>
      <c r="O200" s="296"/>
      <c r="P200" s="296"/>
      <c r="Q200" s="296"/>
      <c r="R200" s="296"/>
    </row>
    <row r="201" spans="13:18">
      <c r="M201" s="296"/>
      <c r="O201" s="296"/>
      <c r="P201" s="296"/>
      <c r="Q201" s="296"/>
      <c r="R201" s="296"/>
    </row>
    <row r="202" spans="13:18">
      <c r="M202" s="296"/>
      <c r="O202" s="296"/>
      <c r="P202" s="296"/>
      <c r="Q202" s="296"/>
      <c r="R202" s="296"/>
    </row>
    <row r="203" spans="13:18">
      <c r="M203" s="296"/>
      <c r="O203" s="296"/>
      <c r="P203" s="296"/>
      <c r="Q203" s="296"/>
      <c r="R203" s="296"/>
    </row>
    <row r="204" spans="13:18">
      <c r="M204" s="296"/>
      <c r="O204" s="296"/>
      <c r="P204" s="296"/>
      <c r="Q204" s="296"/>
      <c r="R204" s="296"/>
    </row>
    <row r="205" spans="13:18">
      <c r="M205" s="296"/>
      <c r="O205" s="296"/>
      <c r="P205" s="296"/>
      <c r="Q205" s="296"/>
      <c r="R205" s="296"/>
    </row>
    <row r="206" spans="13:18">
      <c r="M206" s="296"/>
      <c r="O206" s="296"/>
      <c r="P206" s="296"/>
      <c r="Q206" s="296"/>
      <c r="R206" s="296"/>
    </row>
    <row r="207" spans="13:18">
      <c r="M207" s="296"/>
      <c r="O207" s="296"/>
      <c r="P207" s="296"/>
      <c r="Q207" s="296"/>
      <c r="R207" s="296"/>
    </row>
    <row r="208" spans="13:18">
      <c r="M208" s="296"/>
      <c r="O208" s="296"/>
      <c r="P208" s="296"/>
      <c r="Q208" s="296"/>
      <c r="R208" s="296"/>
    </row>
    <row r="209" spans="13:18">
      <c r="M209" s="296"/>
      <c r="O209" s="296"/>
      <c r="P209" s="296"/>
      <c r="Q209" s="296"/>
      <c r="R209" s="296"/>
    </row>
    <row r="210" spans="13:18">
      <c r="M210" s="296"/>
      <c r="O210" s="296"/>
      <c r="P210" s="296"/>
      <c r="Q210" s="296"/>
      <c r="R210" s="296"/>
    </row>
    <row r="211" spans="13:18">
      <c r="M211" s="296"/>
      <c r="O211" s="296"/>
      <c r="P211" s="296"/>
      <c r="Q211" s="296"/>
      <c r="R211" s="296"/>
    </row>
    <row r="212" spans="13:18">
      <c r="M212" s="296"/>
      <c r="O212" s="296"/>
      <c r="P212" s="296"/>
      <c r="Q212" s="296"/>
      <c r="R212" s="296"/>
    </row>
    <row r="213" spans="13:18">
      <c r="M213" s="296"/>
      <c r="O213" s="296"/>
      <c r="P213" s="296"/>
      <c r="Q213" s="296"/>
      <c r="R213" s="296"/>
    </row>
    <row r="214" spans="13:18">
      <c r="M214" s="296"/>
      <c r="O214" s="296"/>
      <c r="P214" s="296"/>
      <c r="Q214" s="296"/>
      <c r="R214" s="296"/>
    </row>
    <row r="215" spans="13:18">
      <c r="M215" s="296"/>
      <c r="O215" s="296"/>
      <c r="P215" s="296"/>
      <c r="Q215" s="296"/>
      <c r="R215" s="296"/>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26" customWidth="1"/>
    <col min="2" max="2" width="6.28515625" style="226" customWidth="1"/>
    <col min="3" max="3" width="7.42578125" style="226" customWidth="1"/>
    <col min="4" max="4" width="34.5703125" style="5" customWidth="1"/>
    <col min="5" max="5" width="6.28515625" style="22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228" t="s">
        <v>183</v>
      </c>
      <c r="H2" s="1228"/>
      <c r="I2" s="1228"/>
    </row>
    <row r="3" spans="1:9" ht="15.75" customHeight="1">
      <c r="A3" s="1" t="s">
        <v>184</v>
      </c>
      <c r="G3" s="1229" t="s">
        <v>144</v>
      </c>
      <c r="H3" s="1229"/>
      <c r="I3" s="1229"/>
    </row>
    <row r="4" spans="1:9">
      <c r="F4" s="17"/>
      <c r="G4" s="1229"/>
      <c r="H4" s="1229"/>
      <c r="I4" s="1229"/>
    </row>
    <row r="5" spans="1:9" ht="17.25" customHeight="1">
      <c r="A5" s="1230" t="s">
        <v>185</v>
      </c>
      <c r="B5" s="1230"/>
      <c r="C5" s="1230"/>
      <c r="D5" s="1230"/>
      <c r="E5" s="1230"/>
      <c r="F5" s="1230"/>
      <c r="G5" s="1230"/>
      <c r="H5" s="1230"/>
      <c r="I5" s="1230"/>
    </row>
    <row r="6" spans="1:9">
      <c r="A6" s="1231" t="s">
        <v>186</v>
      </c>
      <c r="B6" s="1232"/>
      <c r="C6" s="1232"/>
      <c r="D6" s="1232"/>
      <c r="E6" s="1232"/>
      <c r="F6" s="1232"/>
      <c r="G6" s="1232"/>
      <c r="H6" s="1232"/>
      <c r="I6" s="1232"/>
    </row>
    <row r="7" spans="1:9">
      <c r="B7" s="5"/>
      <c r="C7" s="5"/>
      <c r="D7" s="249" t="s">
        <v>187</v>
      </c>
      <c r="E7" s="250" t="s">
        <v>72</v>
      </c>
    </row>
    <row r="8" spans="1:9">
      <c r="B8" s="5"/>
      <c r="C8" s="5"/>
      <c r="D8" s="249" t="s">
        <v>188</v>
      </c>
      <c r="E8" s="5" t="str">
        <f>VLOOKUP($E$7,DSTK,2,0)</f>
        <v xml:space="preserve"> Phải Thu Khác </v>
      </c>
    </row>
    <row r="9" spans="1:9">
      <c r="A9" s="1232" t="s">
        <v>31</v>
      </c>
      <c r="B9" s="1233"/>
      <c r="C9" s="1233"/>
      <c r="D9" s="1233"/>
      <c r="E9" s="1233"/>
      <c r="F9" s="1233"/>
      <c r="G9" s="1233"/>
      <c r="H9" s="1233"/>
      <c r="I9" s="1233"/>
    </row>
    <row r="10" spans="1:9" ht="9.75" customHeight="1">
      <c r="C10" s="1234"/>
      <c r="D10" s="1235"/>
      <c r="E10" s="1235"/>
      <c r="F10" s="1235"/>
      <c r="G10" s="1235"/>
      <c r="H10" s="1235"/>
      <c r="I10" s="1235"/>
    </row>
    <row r="11" spans="1:9" s="18" customFormat="1" ht="19.5" customHeight="1">
      <c r="A11" s="1236" t="s">
        <v>22</v>
      </c>
      <c r="B11" s="1226" t="s">
        <v>1</v>
      </c>
      <c r="C11" s="1237"/>
      <c r="D11" s="1236" t="s">
        <v>0</v>
      </c>
      <c r="E11" s="1236" t="s">
        <v>16</v>
      </c>
      <c r="F11" s="1226" t="s">
        <v>23</v>
      </c>
      <c r="G11" s="1237"/>
      <c r="H11" s="1226" t="s">
        <v>33</v>
      </c>
      <c r="I11" s="1227"/>
    </row>
    <row r="12" spans="1:9" s="18" customFormat="1" ht="32.25" customHeight="1">
      <c r="A12" s="1236"/>
      <c r="B12" s="417" t="s">
        <v>17</v>
      </c>
      <c r="C12" s="417" t="s">
        <v>34</v>
      </c>
      <c r="D12" s="1236"/>
      <c r="E12" s="1236"/>
      <c r="F12" s="417" t="s">
        <v>24</v>
      </c>
      <c r="G12" s="417" t="s">
        <v>25</v>
      </c>
      <c r="H12" s="417" t="s">
        <v>24</v>
      </c>
      <c r="I12" s="417" t="s">
        <v>25</v>
      </c>
    </row>
    <row r="13" spans="1:9" s="363" customFormat="1" ht="11.25" customHeight="1">
      <c r="A13" s="367" t="s">
        <v>2</v>
      </c>
      <c r="B13" s="368" t="s">
        <v>3</v>
      </c>
      <c r="C13" s="367" t="s">
        <v>4</v>
      </c>
      <c r="D13" s="367" t="s">
        <v>5</v>
      </c>
      <c r="E13" s="367" t="s">
        <v>6</v>
      </c>
      <c r="F13" s="367">
        <v>1</v>
      </c>
      <c r="G13" s="367">
        <v>2</v>
      </c>
      <c r="H13" s="367">
        <v>3</v>
      </c>
      <c r="I13" s="367">
        <v>4</v>
      </c>
    </row>
    <row r="14" spans="1:9" s="18" customFormat="1" ht="18" customHeight="1">
      <c r="A14" s="418"/>
      <c r="B14" s="394"/>
      <c r="C14" s="418"/>
      <c r="D14" s="393" t="s">
        <v>7</v>
      </c>
      <c r="E14" s="394"/>
      <c r="F14" s="419"/>
      <c r="G14" s="419"/>
      <c r="H14" s="419">
        <f>VLOOKUP($E$7,DSTK,3,0)</f>
        <v>1500000000</v>
      </c>
      <c r="I14" s="419">
        <f>VLOOKUP($E$7,DSTK,4,0)</f>
        <v>0</v>
      </c>
    </row>
    <row r="15" spans="1:9" s="18" customFormat="1" ht="18" customHeight="1">
      <c r="A15" s="334">
        <f ca="1">IF(ROWS($1:1)&gt;COUNT(Dong5),"",OFFSET(TH!C$1,SMALL(Dong5,ROWS($1:1)),))</f>
        <v>42403</v>
      </c>
      <c r="B15" s="334" t="str">
        <f ca="1">IF(ROWS($1:1)&gt;COUNT(Dong5),"",OFFSET(TH!D$1,SMALL(Dong5,ROWS($1:1)),))</f>
        <v>GBC</v>
      </c>
      <c r="C15" s="334">
        <f ca="1">IF(ROWS($1:1)&gt;COUNT(Dong5),"",OFFSET(TH!E$1,SMALL(Dong5,ROWS($1:1)),))</f>
        <v>42403</v>
      </c>
      <c r="D15" s="420" t="str">
        <f ca="1">IF(ROWS($1:1)&gt;COUNT(Dong5),"",OFFSET(TH!F$1,SMALL(Dong5,ROWS($1:1)),))</f>
        <v>Q11 - Ứng vốn - TV</v>
      </c>
      <c r="E15" s="334" t="str">
        <f ca="1">IF(ROWS($1:1)&gt;COUNT(Dong5),"",IF(OFFSET(TH!N$1,SMALL(Dong5,ROWS($1:1)),)=$E$7,OFFSET(TH!O$1,SMALL(Dong5,ROWS($1:1)),),OFFSET(TH!N$1,SMALL(Dong5,ROWS($1:1)),)))</f>
        <v>1121</v>
      </c>
      <c r="F15" s="421">
        <f ca="1">IF(ROWS($1:1)&gt;COUNT(Dong5),0,IF(OFFSET(TH!N$1,SMALL(Dong5,ROWS($1:1)),)=$E$7,OFFSET(TH!M$1,SMALL(Dong5,ROWS($1:1)),),0))</f>
        <v>0</v>
      </c>
      <c r="G15" s="419">
        <f ca="1">IF(ROWS($1:1)&gt;COUNT(Dong5),0,IF(OFFSET(TH!O$1,SMALL(Dong5,ROWS($1:1)),)=$E$7,OFFSET(TH!M$1,SMALL(Dong5,ROWS($1:1)),),0))</f>
        <v>110000000</v>
      </c>
      <c r="H15" s="422">
        <f ca="1">IF(D15&lt;&gt;"",MAX(H14+F15-G15-I14,0),0)</f>
        <v>1390000000</v>
      </c>
      <c r="I15" s="422">
        <f ca="1">IF(D15&lt;&gt;"",MAX(I14+G15-H14-F15,0),0)</f>
        <v>0</v>
      </c>
    </row>
    <row r="16" spans="1:9" s="18" customFormat="1" ht="18" customHeight="1">
      <c r="A16" s="334">
        <f ca="1">IF(ROWS($1:2)&gt;COUNT(Dong5),"",OFFSET(TH!C$1,SMALL(Dong5,ROWS($1:2)),))</f>
        <v>42425</v>
      </c>
      <c r="B16" s="334" t="str">
        <f ca="1">IF(ROWS($1:2)&gt;COUNT(Dong5),"",OFFSET(TH!D$1,SMALL(Dong5,ROWS($1:2)),))</f>
        <v>GBN</v>
      </c>
      <c r="C16" s="334">
        <f ca="1">IF(ROWS($1:2)&gt;COUNT(Dong5),"",OFFSET(TH!E$1,SMALL(Dong5,ROWS($1:2)),))</f>
        <v>42425</v>
      </c>
      <c r="D16" s="420" t="str">
        <f ca="1">IF(ROWS($1:2)&gt;COUNT(Dong5),"",OFFSET(TH!F$1,SMALL(Dong5,ROWS($1:2)),))</f>
        <v>Q11 - Ứng vốn - TV</v>
      </c>
      <c r="E16" s="334" t="str">
        <f ca="1">IF(ROWS($1:2)&gt;COUNT(Dong5),"",IF(OFFSET(TH!N$1,SMALL(Dong5,ROWS($1:2)),)=$E$7,OFFSET(TH!O$1,SMALL(Dong5,ROWS($1:2)),),OFFSET(TH!N$1,SMALL(Dong5,ROWS($1:2)),)))</f>
        <v>1121</v>
      </c>
      <c r="F16" s="421">
        <f ca="1">IF(ROWS($1:2)&gt;COUNT(Dong5),0,IF(OFFSET(TH!N$1,SMALL(Dong5,ROWS($1:2)),)=$E$7,OFFSET(TH!M$1,SMALL(Dong5,ROWS($1:2)),),0))</f>
        <v>5000000</v>
      </c>
      <c r="G16" s="419">
        <f ca="1">IF(ROWS($1:2)&gt;COUNT(Dong5),0,IF(OFFSET(TH!O$1,SMALL(Dong5,ROWS($1:2)),)=$E$7,OFFSET(TH!M$1,SMALL(Dong5,ROWS($1:2)),),0))</f>
        <v>0</v>
      </c>
      <c r="H16" s="422">
        <f t="shared" ref="H16:H32" ca="1" si="0">IF(D16&lt;&gt;"",MAX(H15+F16-G16-I15,0),0)</f>
        <v>1395000000</v>
      </c>
      <c r="I16" s="422">
        <f t="shared" ref="I16:I32" ca="1" si="1">IF(D16&lt;&gt;"",MAX(I15+G16-H15-F16,0),0)</f>
        <v>0</v>
      </c>
    </row>
    <row r="17" spans="1:9" s="18" customFormat="1" ht="18" customHeight="1">
      <c r="A17" s="334">
        <f ca="1">IF(ROWS($1:3)&gt;COUNT(Dong5),"",OFFSET(TH!C$1,SMALL(Dong5,ROWS($1:3)),))</f>
        <v>42450</v>
      </c>
      <c r="B17" s="334" t="str">
        <f ca="1">IF(ROWS($1:3)&gt;COUNT(Dong5),"",OFFSET(TH!D$1,SMALL(Dong5,ROWS($1:3)),))</f>
        <v>GBC</v>
      </c>
      <c r="C17" s="334">
        <f ca="1">IF(ROWS($1:3)&gt;COUNT(Dong5),"",OFFSET(TH!E$1,SMALL(Dong5,ROWS($1:3)),))</f>
        <v>42450</v>
      </c>
      <c r="D17" s="420" t="str">
        <f ca="1">IF(ROWS($1:3)&gt;COUNT(Dong5),"",OFFSET(TH!F$1,SMALL(Dong5,ROWS($1:3)),))</f>
        <v>Hoàn vốn</v>
      </c>
      <c r="E17" s="334" t="str">
        <f ca="1">IF(ROWS($1:3)&gt;COUNT(Dong5),"",IF(OFFSET(TH!N$1,SMALL(Dong5,ROWS($1:3)),)=$E$7,OFFSET(TH!O$1,SMALL(Dong5,ROWS($1:3)),),OFFSET(TH!N$1,SMALL(Dong5,ROWS($1:3)),)))</f>
        <v>1121</v>
      </c>
      <c r="F17" s="421">
        <f ca="1">IF(ROWS($1:3)&gt;COUNT(Dong5),0,IF(OFFSET(TH!N$1,SMALL(Dong5,ROWS($1:3)),)=$E$7,OFFSET(TH!M$1,SMALL(Dong5,ROWS($1:3)),),0))</f>
        <v>0</v>
      </c>
      <c r="G17" s="419">
        <f ca="1">IF(ROWS($1:3)&gt;COUNT(Dong5),0,IF(OFFSET(TH!O$1,SMALL(Dong5,ROWS($1:3)),)=$E$7,OFFSET(TH!M$1,SMALL(Dong5,ROWS($1:3)),),0))</f>
        <v>50000000</v>
      </c>
      <c r="H17" s="422">
        <f t="shared" ca="1" si="0"/>
        <v>1345000000</v>
      </c>
      <c r="I17" s="422">
        <f t="shared" ca="1" si="1"/>
        <v>0</v>
      </c>
    </row>
    <row r="18" spans="1:9" s="18" customFormat="1" ht="18" customHeight="1">
      <c r="A18" s="334" t="str">
        <f ca="1">IF(ROWS($1:4)&gt;COUNT(Dong5),"",OFFSET(TH!C$1,SMALL(Dong5,ROWS($1:4)),))</f>
        <v/>
      </c>
      <c r="B18" s="334" t="str">
        <f ca="1">IF(ROWS($1:4)&gt;COUNT(Dong5),"",OFFSET(TH!D$1,SMALL(Dong5,ROWS($1:4)),))</f>
        <v/>
      </c>
      <c r="C18" s="334" t="str">
        <f ca="1">IF(ROWS($1:4)&gt;COUNT(Dong5),"",OFFSET(TH!E$1,SMALL(Dong5,ROWS($1:4)),))</f>
        <v/>
      </c>
      <c r="D18" s="420" t="str">
        <f ca="1">IF(ROWS($1:4)&gt;COUNT(Dong5),"",OFFSET(TH!F$1,SMALL(Dong5,ROWS($1:4)),))</f>
        <v/>
      </c>
      <c r="E18" s="334" t="str">
        <f ca="1">IF(ROWS($1:4)&gt;COUNT(Dong5),"",IF(OFFSET(TH!N$1,SMALL(Dong5,ROWS($1:4)),)=$E$7,OFFSET(TH!O$1,SMALL(Dong5,ROWS($1:4)),),OFFSET(TH!N$1,SMALL(Dong5,ROWS($1:4)),)))</f>
        <v/>
      </c>
      <c r="F18" s="421">
        <f ca="1">IF(ROWS($1:4)&gt;COUNT(Dong5),0,IF(OFFSET(TH!N$1,SMALL(Dong5,ROWS($1:4)),)=$E$7,OFFSET(TH!M$1,SMALL(Dong5,ROWS($1:4)),),0))</f>
        <v>0</v>
      </c>
      <c r="G18" s="419">
        <f ca="1">IF(ROWS($1:4)&gt;COUNT(Dong5),0,IF(OFFSET(TH!O$1,SMALL(Dong5,ROWS($1:4)),)=$E$7,OFFSET(TH!M$1,SMALL(Dong5,ROWS($1:4)),),0))</f>
        <v>0</v>
      </c>
      <c r="H18" s="422">
        <f t="shared" ca="1" si="0"/>
        <v>0</v>
      </c>
      <c r="I18" s="422">
        <f t="shared" ca="1" si="1"/>
        <v>0</v>
      </c>
    </row>
    <row r="19" spans="1:9" s="18" customFormat="1" ht="18" customHeight="1">
      <c r="A19" s="334" t="str">
        <f ca="1">IF(ROWS($1:5)&gt;COUNT(Dong5),"",OFFSET(TH!C$1,SMALL(Dong5,ROWS($1:5)),))</f>
        <v/>
      </c>
      <c r="B19" s="334" t="str">
        <f ca="1">IF(ROWS($1:5)&gt;COUNT(Dong5),"",OFFSET(TH!D$1,SMALL(Dong5,ROWS($1:5)),))</f>
        <v/>
      </c>
      <c r="C19" s="334" t="str">
        <f ca="1">IF(ROWS($1:5)&gt;COUNT(Dong5),"",OFFSET(TH!E$1,SMALL(Dong5,ROWS($1:5)),))</f>
        <v/>
      </c>
      <c r="D19" s="420" t="str">
        <f ca="1">IF(ROWS($1:5)&gt;COUNT(Dong5),"",OFFSET(TH!F$1,SMALL(Dong5,ROWS($1:5)),))</f>
        <v/>
      </c>
      <c r="E19" s="334" t="str">
        <f ca="1">IF(ROWS($1:5)&gt;COUNT(Dong5),"",IF(OFFSET(TH!N$1,SMALL(Dong5,ROWS($1:5)),)=$E$7,OFFSET(TH!O$1,SMALL(Dong5,ROWS($1:5)),),OFFSET(TH!N$1,SMALL(Dong5,ROWS($1:5)),)))</f>
        <v/>
      </c>
      <c r="F19" s="421">
        <f ca="1">IF(ROWS($1:5)&gt;COUNT(Dong5),0,IF(OFFSET(TH!N$1,SMALL(Dong5,ROWS($1:5)),)=$E$7,OFFSET(TH!M$1,SMALL(Dong5,ROWS($1:5)),),0))</f>
        <v>0</v>
      </c>
      <c r="G19" s="419">
        <f ca="1">IF(ROWS($1:5)&gt;COUNT(Dong5),0,IF(OFFSET(TH!O$1,SMALL(Dong5,ROWS($1:5)),)=$E$7,OFFSET(TH!M$1,SMALL(Dong5,ROWS($1:5)),),0))</f>
        <v>0</v>
      </c>
      <c r="H19" s="422">
        <f t="shared" ca="1" si="0"/>
        <v>0</v>
      </c>
      <c r="I19" s="422">
        <f t="shared" ca="1" si="1"/>
        <v>0</v>
      </c>
    </row>
    <row r="20" spans="1:9" s="18" customFormat="1" ht="18" customHeight="1">
      <c r="A20" s="334" t="str">
        <f ca="1">IF(ROWS($1:6)&gt;COUNT(Dong5),"",OFFSET(TH!C$1,SMALL(Dong5,ROWS($1:6)),))</f>
        <v/>
      </c>
      <c r="B20" s="334" t="str">
        <f ca="1">IF(ROWS($1:6)&gt;COUNT(Dong5),"",OFFSET(TH!D$1,SMALL(Dong5,ROWS($1:6)),))</f>
        <v/>
      </c>
      <c r="C20" s="334" t="str">
        <f ca="1">IF(ROWS($1:6)&gt;COUNT(Dong5),"",OFFSET(TH!E$1,SMALL(Dong5,ROWS($1:6)),))</f>
        <v/>
      </c>
      <c r="D20" s="420" t="str">
        <f ca="1">IF(ROWS($1:6)&gt;COUNT(Dong5),"",OFFSET(TH!F$1,SMALL(Dong5,ROWS($1:6)),))</f>
        <v/>
      </c>
      <c r="E20" s="334" t="str">
        <f ca="1">IF(ROWS($1:6)&gt;COUNT(Dong5),"",IF(OFFSET(TH!N$1,SMALL(Dong5,ROWS($1:6)),)=$E$7,OFFSET(TH!O$1,SMALL(Dong5,ROWS($1:6)),),OFFSET(TH!N$1,SMALL(Dong5,ROWS($1:6)),)))</f>
        <v/>
      </c>
      <c r="F20" s="421">
        <f ca="1">IF(ROWS($1:6)&gt;COUNT(Dong5),0,IF(OFFSET(TH!N$1,SMALL(Dong5,ROWS($1:6)),)=$E$7,OFFSET(TH!M$1,SMALL(Dong5,ROWS($1:6)),),0))</f>
        <v>0</v>
      </c>
      <c r="G20" s="419">
        <f ca="1">IF(ROWS($1:6)&gt;COUNT(Dong5),0,IF(OFFSET(TH!O$1,SMALL(Dong5,ROWS($1:6)),)=$E$7,OFFSET(TH!M$1,SMALL(Dong5,ROWS($1:6)),),0))</f>
        <v>0</v>
      </c>
      <c r="H20" s="422">
        <f t="shared" ca="1" si="0"/>
        <v>0</v>
      </c>
      <c r="I20" s="422">
        <f t="shared" ca="1" si="1"/>
        <v>0</v>
      </c>
    </row>
    <row r="21" spans="1:9" s="18" customFormat="1" ht="18" customHeight="1">
      <c r="A21" s="334" t="str">
        <f ca="1">IF(ROWS($1:7)&gt;COUNT(Dong5),"",OFFSET(TH!C$1,SMALL(Dong5,ROWS($1:7)),))</f>
        <v/>
      </c>
      <c r="B21" s="334" t="str">
        <f ca="1">IF(ROWS($1:7)&gt;COUNT(Dong5),"",OFFSET(TH!D$1,SMALL(Dong5,ROWS($1:7)),))</f>
        <v/>
      </c>
      <c r="C21" s="334" t="str">
        <f ca="1">IF(ROWS($1:7)&gt;COUNT(Dong5),"",OFFSET(TH!E$1,SMALL(Dong5,ROWS($1:7)),))</f>
        <v/>
      </c>
      <c r="D21" s="420" t="str">
        <f ca="1">IF(ROWS($1:7)&gt;COUNT(Dong5),"",OFFSET(TH!F$1,SMALL(Dong5,ROWS($1:7)),)&amp;" - "&amp;OFFSET(TH!H$1,SMALL(Dong5,ROWS($1:7)),))</f>
        <v/>
      </c>
      <c r="E21" s="334" t="str">
        <f ca="1">IF(ROWS($1:7)&gt;COUNT(Dong5),"",IF(OFFSET(TH!N$1,SMALL(Dong5,ROWS($1:7)),)=$E$7,OFFSET(TH!O$1,SMALL(Dong5,ROWS($1:7)),),OFFSET(TH!N$1,SMALL(Dong5,ROWS($1:7)),)))</f>
        <v/>
      </c>
      <c r="F21" s="421">
        <f ca="1">IF(ROWS($1:7)&gt;COUNT(Dong5),0,IF(OFFSET(TH!N$1,SMALL(Dong5,ROWS($1:7)),)=$E$7,OFFSET(TH!M$1,SMALL(Dong5,ROWS($1:7)),),0))</f>
        <v>0</v>
      </c>
      <c r="G21" s="419">
        <f ca="1">IF(ROWS($1:7)&gt;COUNT(Dong5),0,IF(OFFSET(TH!O$1,SMALL(Dong5,ROWS($1:7)),)=$E$7,OFFSET(TH!M$1,SMALL(Dong5,ROWS($1:7)),),0))</f>
        <v>0</v>
      </c>
      <c r="H21" s="422">
        <f t="shared" ca="1" si="0"/>
        <v>0</v>
      </c>
      <c r="I21" s="422">
        <f t="shared" ca="1" si="1"/>
        <v>0</v>
      </c>
    </row>
    <row r="22" spans="1:9" s="18" customFormat="1" ht="18" customHeight="1">
      <c r="A22" s="334" t="str">
        <f ca="1">IF(ROWS($1:8)&gt;COUNT(Dong5),"",OFFSET(TH!C$1,SMALL(Dong5,ROWS($1:8)),))</f>
        <v/>
      </c>
      <c r="B22" s="334" t="str">
        <f ca="1">IF(ROWS($1:8)&gt;COUNT(Dong5),"",OFFSET(TH!D$1,SMALL(Dong5,ROWS($1:8)),))</f>
        <v/>
      </c>
      <c r="C22" s="334" t="str">
        <f ca="1">IF(ROWS($1:8)&gt;COUNT(Dong5),"",OFFSET(TH!E$1,SMALL(Dong5,ROWS($1:8)),))</f>
        <v/>
      </c>
      <c r="D22" s="420" t="str">
        <f ca="1">IF(ROWS($1:8)&gt;COUNT(Dong5),"",OFFSET(TH!F$1,SMALL(Dong5,ROWS($1:8)),)&amp;" - "&amp;OFFSET(TH!H$1,SMALL(Dong5,ROWS($1:8)),))</f>
        <v/>
      </c>
      <c r="E22" s="334" t="str">
        <f ca="1">IF(ROWS($1:8)&gt;COUNT(Dong5),"",IF(OFFSET(TH!N$1,SMALL(Dong5,ROWS($1:8)),)=$E$7,OFFSET(TH!O$1,SMALL(Dong5,ROWS($1:8)),),OFFSET(TH!N$1,SMALL(Dong5,ROWS($1:8)),)))</f>
        <v/>
      </c>
      <c r="F22" s="421">
        <f ca="1">IF(ROWS($1:8)&gt;COUNT(Dong5),0,IF(OFFSET(TH!N$1,SMALL(Dong5,ROWS($1:8)),)=$E$7,OFFSET(TH!M$1,SMALL(Dong5,ROWS($1:8)),),0))</f>
        <v>0</v>
      </c>
      <c r="G22" s="419">
        <f ca="1">IF(ROWS($1:8)&gt;COUNT(Dong5),0,IF(OFFSET(TH!O$1,SMALL(Dong5,ROWS($1:8)),)=$E$7,OFFSET(TH!M$1,SMALL(Dong5,ROWS($1:8)),),0))</f>
        <v>0</v>
      </c>
      <c r="H22" s="422">
        <f t="shared" ca="1" si="0"/>
        <v>0</v>
      </c>
      <c r="I22" s="422">
        <f t="shared" ca="1" si="1"/>
        <v>0</v>
      </c>
    </row>
    <row r="23" spans="1:9" s="18" customFormat="1" ht="18" customHeight="1">
      <c r="A23" s="334" t="str">
        <f ca="1">IF(ROWS($1:9)&gt;COUNT(Dong5),"",OFFSET(TH!C$1,SMALL(Dong5,ROWS($1:9)),))</f>
        <v/>
      </c>
      <c r="B23" s="334" t="str">
        <f ca="1">IF(ROWS($1:9)&gt;COUNT(Dong5),"",OFFSET(TH!D$1,SMALL(Dong5,ROWS($1:9)),))</f>
        <v/>
      </c>
      <c r="C23" s="334" t="str">
        <f ca="1">IF(ROWS($1:9)&gt;COUNT(Dong5),"",OFFSET(TH!E$1,SMALL(Dong5,ROWS($1:9)),))</f>
        <v/>
      </c>
      <c r="D23" s="420" t="str">
        <f ca="1">IF(ROWS($1:9)&gt;COUNT(Dong5),"",OFFSET(TH!F$1,SMALL(Dong5,ROWS($1:9)),)&amp;" - "&amp;OFFSET(TH!H$1,SMALL(Dong5,ROWS($1:9)),))</f>
        <v/>
      </c>
      <c r="E23" s="334" t="str">
        <f ca="1">IF(ROWS($1:9)&gt;COUNT(Dong5),"",IF(OFFSET(TH!N$1,SMALL(Dong5,ROWS($1:9)),)=$E$7,OFFSET(TH!O$1,SMALL(Dong5,ROWS($1:9)),),OFFSET(TH!N$1,SMALL(Dong5,ROWS($1:9)),)))</f>
        <v/>
      </c>
      <c r="F23" s="421">
        <f ca="1">IF(ROWS($1:9)&gt;COUNT(Dong5),0,IF(OFFSET(TH!N$1,SMALL(Dong5,ROWS($1:9)),)=$E$7,OFFSET(TH!M$1,SMALL(Dong5,ROWS($1:9)),),0))</f>
        <v>0</v>
      </c>
      <c r="G23" s="419">
        <f ca="1">IF(ROWS($1:9)&gt;COUNT(Dong5),0,IF(OFFSET(TH!O$1,SMALL(Dong5,ROWS($1:9)),)=$E$7,OFFSET(TH!M$1,SMALL(Dong5,ROWS($1:9)),),0))</f>
        <v>0</v>
      </c>
      <c r="H23" s="422">
        <f t="shared" ca="1" si="0"/>
        <v>0</v>
      </c>
      <c r="I23" s="422">
        <f t="shared" ca="1" si="1"/>
        <v>0</v>
      </c>
    </row>
    <row r="24" spans="1:9" s="18" customFormat="1" ht="18" customHeight="1">
      <c r="A24" s="334" t="str">
        <f ca="1">IF(ROWS($1:10)&gt;COUNT(Dong5),"",OFFSET(TH!C$1,SMALL(Dong5,ROWS($1:10)),))</f>
        <v/>
      </c>
      <c r="B24" s="334" t="str">
        <f ca="1">IF(ROWS($1:10)&gt;COUNT(Dong5),"",OFFSET(TH!D$1,SMALL(Dong5,ROWS($1:10)),))</f>
        <v/>
      </c>
      <c r="C24" s="334" t="str">
        <f ca="1">IF(ROWS($1:10)&gt;COUNT(Dong5),"",OFFSET(TH!E$1,SMALL(Dong5,ROWS($1:10)),))</f>
        <v/>
      </c>
      <c r="D24" s="420" t="str">
        <f ca="1">IF(ROWS($1:10)&gt;COUNT(Dong5),"",OFFSET(TH!F$1,SMALL(Dong5,ROWS($1:10)),)&amp;" - "&amp;OFFSET(TH!H$1,SMALL(Dong5,ROWS($1:10)),))</f>
        <v/>
      </c>
      <c r="E24" s="334" t="str">
        <f ca="1">IF(ROWS($1:10)&gt;COUNT(Dong5),"",IF(OFFSET(TH!N$1,SMALL(Dong5,ROWS($1:10)),)=$E$7,OFFSET(TH!O$1,SMALL(Dong5,ROWS($1:10)),),OFFSET(TH!N$1,SMALL(Dong5,ROWS($1:10)),)))</f>
        <v/>
      </c>
      <c r="F24" s="421">
        <f ca="1">IF(ROWS($1:10)&gt;COUNT(Dong5),0,IF(OFFSET(TH!N$1,SMALL(Dong5,ROWS($1:10)),)=$E$7,OFFSET(TH!M$1,SMALL(Dong5,ROWS($1:10)),),0))</f>
        <v>0</v>
      </c>
      <c r="G24" s="419">
        <f ca="1">IF(ROWS($1:10)&gt;COUNT(Dong5),0,IF(OFFSET(TH!O$1,SMALL(Dong5,ROWS($1:10)),)=$E$7,OFFSET(TH!M$1,SMALL(Dong5,ROWS($1:10)),),0))</f>
        <v>0</v>
      </c>
      <c r="H24" s="422">
        <f t="shared" ca="1" si="0"/>
        <v>0</v>
      </c>
      <c r="I24" s="422">
        <f t="shared" ca="1" si="1"/>
        <v>0</v>
      </c>
    </row>
    <row r="25" spans="1:9" s="18" customFormat="1" ht="18" customHeight="1">
      <c r="A25" s="334" t="str">
        <f ca="1">IF(ROWS($1:11)&gt;COUNT(Dong5),"",OFFSET(TH!C$1,SMALL(Dong5,ROWS($1:11)),))</f>
        <v/>
      </c>
      <c r="B25" s="334" t="str">
        <f ca="1">IF(ROWS($1:11)&gt;COUNT(Dong5),"",OFFSET(TH!D$1,SMALL(Dong5,ROWS($1:11)),))</f>
        <v/>
      </c>
      <c r="C25" s="334" t="str">
        <f ca="1">IF(ROWS($1:11)&gt;COUNT(Dong5),"",OFFSET(TH!E$1,SMALL(Dong5,ROWS($1:11)),))</f>
        <v/>
      </c>
      <c r="D25" s="420" t="str">
        <f ca="1">IF(ROWS($1:11)&gt;COUNT(Dong5),"",OFFSET(TH!F$1,SMALL(Dong5,ROWS($1:11)),))</f>
        <v/>
      </c>
      <c r="E25" s="334" t="str">
        <f ca="1">IF(ROWS($1:11)&gt;COUNT(Dong5),"",IF(OFFSET(TH!N$1,SMALL(Dong5,ROWS($1:11)),)=$E$7,OFFSET(TH!O$1,SMALL(Dong5,ROWS($1:11)),),OFFSET(TH!N$1,SMALL(Dong5,ROWS($1:11)),)))</f>
        <v/>
      </c>
      <c r="F25" s="421">
        <f ca="1">IF(ROWS($1:11)&gt;COUNT(Dong5),0,IF(OFFSET(TH!N$1,SMALL(Dong5,ROWS($1:11)),)=$E$7,OFFSET(TH!M$1,SMALL(Dong5,ROWS($1:11)),),0))</f>
        <v>0</v>
      </c>
      <c r="G25" s="419">
        <f ca="1">IF(ROWS($1:11)&gt;COUNT(Dong5),0,IF(OFFSET(TH!O$1,SMALL(Dong5,ROWS($1:11)),)=$E$7,OFFSET(TH!M$1,SMALL(Dong5,ROWS($1:11)),),0))</f>
        <v>0</v>
      </c>
      <c r="H25" s="422">
        <f t="shared" ca="1" si="0"/>
        <v>0</v>
      </c>
      <c r="I25" s="422">
        <f t="shared" ca="1" si="1"/>
        <v>0</v>
      </c>
    </row>
    <row r="26" spans="1:9" s="18" customFormat="1" ht="18" customHeight="1">
      <c r="A26" s="334" t="str">
        <f ca="1">IF(ROWS($1:12)&gt;COUNT(Dong5),"",OFFSET(TH!C$1,SMALL(Dong5,ROWS($1:12)),))</f>
        <v/>
      </c>
      <c r="B26" s="334" t="str">
        <f ca="1">IF(ROWS($1:12)&gt;COUNT(Dong5),"",OFFSET(TH!D$1,SMALL(Dong5,ROWS($1:12)),))</f>
        <v/>
      </c>
      <c r="C26" s="334" t="str">
        <f ca="1">IF(ROWS($1:12)&gt;COUNT(Dong5),"",OFFSET(TH!E$1,SMALL(Dong5,ROWS($1:12)),))</f>
        <v/>
      </c>
      <c r="D26" s="420" t="str">
        <f ca="1">IF(ROWS($1:12)&gt;COUNT(Dong5),"",OFFSET(TH!F$1,SMALL(Dong5,ROWS($1:12)),))</f>
        <v/>
      </c>
      <c r="E26" s="334" t="str">
        <f ca="1">IF(ROWS($1:12)&gt;COUNT(Dong5),"",IF(OFFSET(TH!N$1,SMALL(Dong5,ROWS($1:12)),)=$E$7,OFFSET(TH!O$1,SMALL(Dong5,ROWS($1:12)),),OFFSET(TH!N$1,SMALL(Dong5,ROWS($1:12)),)))</f>
        <v/>
      </c>
      <c r="F26" s="421">
        <f ca="1">IF(ROWS($1:12)&gt;COUNT(Dong5),0,IF(OFFSET(TH!N$1,SMALL(Dong5,ROWS($1:12)),)=$E$7,OFFSET(TH!M$1,SMALL(Dong5,ROWS($1:12)),),0))</f>
        <v>0</v>
      </c>
      <c r="G26" s="419">
        <f ca="1">IF(ROWS($1:12)&gt;COUNT(Dong5),0,IF(OFFSET(TH!O$1,SMALL(Dong5,ROWS($1:12)),)=$E$7,OFFSET(TH!M$1,SMALL(Dong5,ROWS($1:12)),),0))</f>
        <v>0</v>
      </c>
      <c r="H26" s="422">
        <f t="shared" ca="1" si="0"/>
        <v>0</v>
      </c>
      <c r="I26" s="422">
        <f t="shared" ca="1" si="1"/>
        <v>0</v>
      </c>
    </row>
    <row r="27" spans="1:9" s="18" customFormat="1" ht="18" customHeight="1">
      <c r="A27" s="334" t="str">
        <f ca="1">IF(ROWS($1:13)&gt;COUNT(Dong5),"",OFFSET(TH!C$1,SMALL(Dong5,ROWS($1:13)),))</f>
        <v/>
      </c>
      <c r="B27" s="334" t="str">
        <f ca="1">IF(ROWS($1:13)&gt;COUNT(Dong5),"",OFFSET(TH!D$1,SMALL(Dong5,ROWS($1:13)),))</f>
        <v/>
      </c>
      <c r="C27" s="334" t="str">
        <f ca="1">IF(ROWS($1:13)&gt;COUNT(Dong5),"",OFFSET(TH!E$1,SMALL(Dong5,ROWS($1:13)),))</f>
        <v/>
      </c>
      <c r="D27" s="420" t="str">
        <f ca="1">IF(ROWS($1:13)&gt;COUNT(Dong5),"",OFFSET(TH!F$1,SMALL(Dong5,ROWS($1:13)),))</f>
        <v/>
      </c>
      <c r="E27" s="334" t="str">
        <f ca="1">IF(ROWS($1:13)&gt;COUNT(Dong5),"",IF(OFFSET(TH!N$1,SMALL(Dong5,ROWS($1:13)),)=$E$7,OFFSET(TH!O$1,SMALL(Dong5,ROWS($1:13)),),OFFSET(TH!N$1,SMALL(Dong5,ROWS($1:13)),)))</f>
        <v/>
      </c>
      <c r="F27" s="421">
        <f ca="1">IF(ROWS($1:13)&gt;COUNT(Dong5),0,IF(OFFSET(TH!N$1,SMALL(Dong5,ROWS($1:13)),)=$E$7,OFFSET(TH!M$1,SMALL(Dong5,ROWS($1:13)),),0))</f>
        <v>0</v>
      </c>
      <c r="G27" s="419">
        <f ca="1">IF(ROWS($1:13)&gt;COUNT(Dong5),0,IF(OFFSET(TH!O$1,SMALL(Dong5,ROWS($1:13)),)=$E$7,OFFSET(TH!M$1,SMALL(Dong5,ROWS($1:13)),),0))</f>
        <v>0</v>
      </c>
      <c r="H27" s="422">
        <f t="shared" ca="1" si="0"/>
        <v>0</v>
      </c>
      <c r="I27" s="422">
        <f t="shared" ca="1" si="1"/>
        <v>0</v>
      </c>
    </row>
    <row r="28" spans="1:9" s="18" customFormat="1" ht="18" customHeight="1">
      <c r="A28" s="334" t="str">
        <f ca="1">IF(ROWS($1:14)&gt;COUNT(Dong5),"",OFFSET(TH!C$1,SMALL(Dong5,ROWS($1:14)),))</f>
        <v/>
      </c>
      <c r="B28" s="334" t="str">
        <f ca="1">IF(ROWS($1:14)&gt;COUNT(Dong5),"",OFFSET(TH!D$1,SMALL(Dong5,ROWS($1:14)),))</f>
        <v/>
      </c>
      <c r="C28" s="334" t="str">
        <f ca="1">IF(ROWS($1:14)&gt;COUNT(Dong5),"",OFFSET(TH!E$1,SMALL(Dong5,ROWS($1:14)),))</f>
        <v/>
      </c>
      <c r="D28" s="420" t="str">
        <f ca="1">IF(ROWS($1:14)&gt;COUNT(Dong5),"",OFFSET(TH!F$1,SMALL(Dong5,ROWS($1:14)),))</f>
        <v/>
      </c>
      <c r="E28" s="334" t="str">
        <f ca="1">IF(ROWS($1:14)&gt;COUNT(Dong5),"",IF(OFFSET(TH!N$1,SMALL(Dong5,ROWS($1:14)),)=$E$7,OFFSET(TH!O$1,SMALL(Dong5,ROWS($1:14)),),OFFSET(TH!N$1,SMALL(Dong5,ROWS($1:14)),)))</f>
        <v/>
      </c>
      <c r="F28" s="421">
        <f ca="1">IF(ROWS($1:14)&gt;COUNT(Dong5),0,IF(OFFSET(TH!N$1,SMALL(Dong5,ROWS($1:14)),)=$E$7,OFFSET(TH!M$1,SMALL(Dong5,ROWS($1:14)),),0))</f>
        <v>0</v>
      </c>
      <c r="G28" s="419">
        <f ca="1">IF(ROWS($1:14)&gt;COUNT(Dong5),0,IF(OFFSET(TH!O$1,SMALL(Dong5,ROWS($1:14)),)=$E$7,OFFSET(TH!M$1,SMALL(Dong5,ROWS($1:14)),),0))</f>
        <v>0</v>
      </c>
      <c r="H28" s="422">
        <f t="shared" ca="1" si="0"/>
        <v>0</v>
      </c>
      <c r="I28" s="422">
        <f t="shared" ca="1" si="1"/>
        <v>0</v>
      </c>
    </row>
    <row r="29" spans="1:9" s="18" customFormat="1" ht="18" customHeight="1">
      <c r="A29" s="334" t="str">
        <f ca="1">IF(ROWS($1:15)&gt;COUNT(Dong5),"",OFFSET(TH!C$1,SMALL(Dong5,ROWS($1:15)),))</f>
        <v/>
      </c>
      <c r="B29" s="334" t="str">
        <f ca="1">IF(ROWS($1:15)&gt;COUNT(Dong5),"",OFFSET(TH!D$1,SMALL(Dong5,ROWS($1:15)),))</f>
        <v/>
      </c>
      <c r="C29" s="334" t="str">
        <f ca="1">IF(ROWS($1:15)&gt;COUNT(Dong5),"",OFFSET(TH!E$1,SMALL(Dong5,ROWS($1:15)),))</f>
        <v/>
      </c>
      <c r="D29" s="420" t="str">
        <f ca="1">IF(ROWS($1:15)&gt;COUNT(Dong5),"",OFFSET(TH!F$1,SMALL(Dong5,ROWS($1:15)),))</f>
        <v/>
      </c>
      <c r="E29" s="334" t="str">
        <f ca="1">IF(ROWS($1:15)&gt;COUNT(Dong5),"",IF(OFFSET(TH!N$1,SMALL(Dong5,ROWS($1:15)),)=$E$7,OFFSET(TH!O$1,SMALL(Dong5,ROWS($1:15)),),OFFSET(TH!N$1,SMALL(Dong5,ROWS($1:15)),)))</f>
        <v/>
      </c>
      <c r="F29" s="421">
        <f ca="1">IF(ROWS($1:15)&gt;COUNT(Dong5),0,IF(OFFSET(TH!N$1,SMALL(Dong5,ROWS($1:15)),)=$E$7,OFFSET(TH!M$1,SMALL(Dong5,ROWS($1:15)),),0))</f>
        <v>0</v>
      </c>
      <c r="G29" s="419">
        <f ca="1">IF(ROWS($1:15)&gt;COUNT(Dong5),0,IF(OFFSET(TH!O$1,SMALL(Dong5,ROWS($1:15)),)=$E$7,OFFSET(TH!M$1,SMALL(Dong5,ROWS($1:15)),),0))</f>
        <v>0</v>
      </c>
      <c r="H29" s="422">
        <f t="shared" ca="1" si="0"/>
        <v>0</v>
      </c>
      <c r="I29" s="422">
        <f t="shared" ca="1" si="1"/>
        <v>0</v>
      </c>
    </row>
    <row r="30" spans="1:9" s="18" customFormat="1" ht="18" customHeight="1">
      <c r="A30" s="334" t="str">
        <f ca="1">IF(ROWS($1:16)&gt;COUNT(Dong5),"",OFFSET(TH!C$1,SMALL(Dong5,ROWS($1:16)),))</f>
        <v/>
      </c>
      <c r="B30" s="334" t="str">
        <f ca="1">IF(ROWS($1:16)&gt;COUNT(Dong5),"",OFFSET(TH!D$1,SMALL(Dong5,ROWS($1:16)),))</f>
        <v/>
      </c>
      <c r="C30" s="334" t="str">
        <f ca="1">IF(ROWS($1:16)&gt;COUNT(Dong5),"",OFFSET(TH!E$1,SMALL(Dong5,ROWS($1:16)),))</f>
        <v/>
      </c>
      <c r="D30" s="420" t="str">
        <f ca="1">IF(ROWS($1:16)&gt;COUNT(Dong5),"",OFFSET(TH!F$1,SMALL(Dong5,ROWS($1:16)),))</f>
        <v/>
      </c>
      <c r="E30" s="334" t="str">
        <f ca="1">IF(ROWS($1:16)&gt;COUNT(Dong5),"",IF(OFFSET(TH!N$1,SMALL(Dong5,ROWS($1:16)),)=$E$7,OFFSET(TH!O$1,SMALL(Dong5,ROWS($1:16)),),OFFSET(TH!N$1,SMALL(Dong5,ROWS($1:16)),)))</f>
        <v/>
      </c>
      <c r="F30" s="421">
        <f ca="1">IF(ROWS($1:16)&gt;COUNT(Dong5),0,IF(OFFSET(TH!N$1,SMALL(Dong5,ROWS($1:16)),)=$E$7,OFFSET(TH!M$1,SMALL(Dong5,ROWS($1:16)),),0))</f>
        <v>0</v>
      </c>
      <c r="G30" s="419">
        <f ca="1">IF(ROWS($1:16)&gt;COUNT(Dong5),0,IF(OFFSET(TH!O$1,SMALL(Dong5,ROWS($1:16)),)=$E$7,OFFSET(TH!M$1,SMALL(Dong5,ROWS($1:16)),),0))</f>
        <v>0</v>
      </c>
      <c r="H30" s="422">
        <f t="shared" ca="1" si="0"/>
        <v>0</v>
      </c>
      <c r="I30" s="422">
        <f t="shared" ca="1" si="1"/>
        <v>0</v>
      </c>
    </row>
    <row r="31" spans="1:9" s="18" customFormat="1" ht="18" customHeight="1">
      <c r="A31" s="334" t="str">
        <f ca="1">IF(ROWS($1:17)&gt;COUNT(Dong5),"",OFFSET(TH!C$1,SMALL(Dong5,ROWS($1:17)),))</f>
        <v/>
      </c>
      <c r="B31" s="334" t="str">
        <f ca="1">IF(ROWS($1:17)&gt;COUNT(Dong5),"",OFFSET(TH!D$1,SMALL(Dong5,ROWS($1:17)),))</f>
        <v/>
      </c>
      <c r="C31" s="334" t="str">
        <f ca="1">IF(ROWS($1:17)&gt;COUNT(Dong5),"",OFFSET(TH!E$1,SMALL(Dong5,ROWS($1:17)),))</f>
        <v/>
      </c>
      <c r="D31" s="420" t="str">
        <f ca="1">IF(ROWS($1:17)&gt;COUNT(Dong5),"",OFFSET(TH!F$1,SMALL(Dong5,ROWS($1:17)),))</f>
        <v/>
      </c>
      <c r="E31" s="334" t="str">
        <f ca="1">IF(ROWS($1:17)&gt;COUNT(Dong5),"",IF(OFFSET(TH!N$1,SMALL(Dong5,ROWS($1:17)),)=$E$7,OFFSET(TH!O$1,SMALL(Dong5,ROWS($1:17)),),OFFSET(TH!N$1,SMALL(Dong5,ROWS($1:17)),)))</f>
        <v/>
      </c>
      <c r="F31" s="421">
        <f ca="1">IF(ROWS($1:17)&gt;COUNT(Dong5),0,IF(OFFSET(TH!N$1,SMALL(Dong5,ROWS($1:17)),)=$E$7,OFFSET(TH!M$1,SMALL(Dong5,ROWS($1:17)),),0))</f>
        <v>0</v>
      </c>
      <c r="G31" s="419">
        <f ca="1">IF(ROWS($1:17)&gt;COUNT(Dong5),0,IF(OFFSET(TH!O$1,SMALL(Dong5,ROWS($1:17)),)=$E$7,OFFSET(TH!M$1,SMALL(Dong5,ROWS($1:17)),),0))</f>
        <v>0</v>
      </c>
      <c r="H31" s="422">
        <f t="shared" ca="1" si="0"/>
        <v>0</v>
      </c>
      <c r="I31" s="422">
        <f t="shared" ca="1" si="1"/>
        <v>0</v>
      </c>
    </row>
    <row r="32" spans="1:9" s="18" customFormat="1" ht="18" customHeight="1">
      <c r="A32" s="334" t="str">
        <f ca="1">IF(ROWS($1:18)&gt;COUNT(Dong5),"",OFFSET(TH!C$1,SMALL(Dong5,ROWS($1:18)),))</f>
        <v/>
      </c>
      <c r="B32" s="334" t="str">
        <f ca="1">IF(ROWS($1:18)&gt;COUNT(Dong5),"",OFFSET(TH!D$1,SMALL(Dong5,ROWS($1:18)),))</f>
        <v/>
      </c>
      <c r="C32" s="334" t="str">
        <f ca="1">IF(ROWS($1:18)&gt;COUNT(Dong5),"",OFFSET(TH!E$1,SMALL(Dong5,ROWS($1:18)),))</f>
        <v/>
      </c>
      <c r="D32" s="420" t="str">
        <f ca="1">IF(ROWS($1:18)&gt;COUNT(Dong5),"",OFFSET(TH!F$1,SMALL(Dong5,ROWS($1:18)),))</f>
        <v/>
      </c>
      <c r="E32" s="334" t="str">
        <f ca="1">IF(ROWS($1:18)&gt;COUNT(Dong5),"",IF(OFFSET(TH!N$1,SMALL(Dong5,ROWS($1:18)),)=$E$7,OFFSET(TH!O$1,SMALL(Dong5,ROWS($1:18)),),OFFSET(TH!N$1,SMALL(Dong5,ROWS($1:18)),)))</f>
        <v/>
      </c>
      <c r="F32" s="421">
        <f ca="1">IF(ROWS($1:18)&gt;COUNT(Dong5),0,IF(OFFSET(TH!N$1,SMALL(Dong5,ROWS($1:18)),)=$E$7,OFFSET(TH!M$1,SMALL(Dong5,ROWS($1:18)),),0))</f>
        <v>0</v>
      </c>
      <c r="G32" s="419">
        <f ca="1">IF(ROWS($1:18)&gt;COUNT(Dong5),0,IF(OFFSET(TH!O$1,SMALL(Dong5,ROWS($1:18)),)=$E$7,OFFSET(TH!M$1,SMALL(Dong5,ROWS($1:18)),),0))</f>
        <v>0</v>
      </c>
      <c r="H32" s="422">
        <f t="shared" ca="1" si="0"/>
        <v>0</v>
      </c>
      <c r="I32" s="422">
        <f t="shared" ca="1" si="1"/>
        <v>0</v>
      </c>
    </row>
    <row r="33" spans="1:9" s="18" customFormat="1" ht="18" customHeight="1">
      <c r="A33" s="334" t="str">
        <f ca="1">IF(ROWS($1:19)&gt;COUNT(Dong5),"",OFFSET(TH!C$1,SMALL(Dong5,ROWS($1:19)),))</f>
        <v/>
      </c>
      <c r="B33" s="334" t="str">
        <f ca="1">IF(ROWS($1:19)&gt;COUNT(Dong5),"",OFFSET(TH!D$1,SMALL(Dong5,ROWS($1:19)),))</f>
        <v/>
      </c>
      <c r="C33" s="334" t="str">
        <f ca="1">IF(ROWS($1:19)&gt;COUNT(Dong5),"",OFFSET(TH!E$1,SMALL(Dong5,ROWS($1:19)),))</f>
        <v/>
      </c>
      <c r="D33" s="420" t="str">
        <f ca="1">IF(ROWS($1:19)&gt;COUNT(Dong5),"",OFFSET(TH!F$1,SMALL(Dong5,ROWS($1:19)),))</f>
        <v/>
      </c>
      <c r="E33" s="334" t="str">
        <f ca="1">IF(ROWS($1:19)&gt;COUNT(Dong5),"",IF(OFFSET(TH!N$1,SMALL(Dong5,ROWS($1:19)),)=$E$7,OFFSET(TH!O$1,SMALL(Dong5,ROWS($1:19)),),OFFSET(TH!N$1,SMALL(Dong5,ROWS($1:19)),)))</f>
        <v/>
      </c>
      <c r="F33" s="421">
        <f ca="1">IF(ROWS($1:19)&gt;COUNT(Dong5),0,IF(OFFSET(TH!N$1,SMALL(Dong5,ROWS($1:19)),)=$E$7,OFFSET(TH!M$1,SMALL(Dong5,ROWS($1:19)),),0))</f>
        <v>0</v>
      </c>
      <c r="G33" s="419">
        <f ca="1">IF(ROWS($1:19)&gt;COUNT(Dong5),0,IF(OFFSET(TH!O$1,SMALL(Dong5,ROWS($1:19)),)=$E$7,OFFSET(TH!M$1,SMALL(Dong5,ROWS($1:19)),),0))</f>
        <v>0</v>
      </c>
      <c r="H33" s="422">
        <f t="shared" ref="H33:H46" ca="1" si="2">IF(D33&lt;&gt;"",MAX(H32+F33-G33-I32,0),0)</f>
        <v>0</v>
      </c>
      <c r="I33" s="422">
        <f t="shared" ref="I33:I46" ca="1" si="3">IF(D33&lt;&gt;"",MAX(I32+G33-H32-F33,0),0)</f>
        <v>0</v>
      </c>
    </row>
    <row r="34" spans="1:9" s="18" customFormat="1" ht="18" customHeight="1">
      <c r="A34" s="334" t="str">
        <f ca="1">IF(ROWS($1:20)&gt;COUNT(Dong5),"",OFFSET(TH!C$1,SMALL(Dong5,ROWS($1:20)),))</f>
        <v/>
      </c>
      <c r="B34" s="334" t="str">
        <f ca="1">IF(ROWS($1:20)&gt;COUNT(Dong5),"",OFFSET(TH!D$1,SMALL(Dong5,ROWS($1:20)),))</f>
        <v/>
      </c>
      <c r="C34" s="334" t="str">
        <f ca="1">IF(ROWS($1:20)&gt;COUNT(Dong5),"",OFFSET(TH!E$1,SMALL(Dong5,ROWS($1:20)),))</f>
        <v/>
      </c>
      <c r="D34" s="420" t="str">
        <f ca="1">IF(ROWS($1:20)&gt;COUNT(Dong5),"",OFFSET(TH!F$1,SMALL(Dong5,ROWS($1:20)),))</f>
        <v/>
      </c>
      <c r="E34" s="334" t="str">
        <f ca="1">IF(ROWS($1:20)&gt;COUNT(Dong5),"",IF(OFFSET(TH!N$1,SMALL(Dong5,ROWS($1:20)),)=$E$7,OFFSET(TH!O$1,SMALL(Dong5,ROWS($1:20)),),OFFSET(TH!N$1,SMALL(Dong5,ROWS($1:20)),)))</f>
        <v/>
      </c>
      <c r="F34" s="421">
        <f ca="1">IF(ROWS($1:20)&gt;COUNT(Dong5),0,IF(OFFSET(TH!N$1,SMALL(Dong5,ROWS($1:20)),)=$E$7,OFFSET(TH!M$1,SMALL(Dong5,ROWS($1:20)),),0))</f>
        <v>0</v>
      </c>
      <c r="G34" s="419">
        <f ca="1">IF(ROWS($1:20)&gt;COUNT(Dong5),0,IF(OFFSET(TH!O$1,SMALL(Dong5,ROWS($1:20)),)=$E$7,OFFSET(TH!M$1,SMALL(Dong5,ROWS($1:20)),),0))</f>
        <v>0</v>
      </c>
      <c r="H34" s="422">
        <f t="shared" ca="1" si="2"/>
        <v>0</v>
      </c>
      <c r="I34" s="422">
        <f t="shared" ca="1" si="3"/>
        <v>0</v>
      </c>
    </row>
    <row r="35" spans="1:9" s="18" customFormat="1" ht="18" customHeight="1">
      <c r="A35" s="334" t="str">
        <f ca="1">IF(ROWS($1:21)&gt;COUNT(Dong5),"",OFFSET(TH!C$1,SMALL(Dong5,ROWS($1:21)),))</f>
        <v/>
      </c>
      <c r="B35" s="334" t="str">
        <f ca="1">IF(ROWS($1:21)&gt;COUNT(Dong5),"",OFFSET(TH!D$1,SMALL(Dong5,ROWS($1:21)),))</f>
        <v/>
      </c>
      <c r="C35" s="334" t="str">
        <f ca="1">IF(ROWS($1:21)&gt;COUNT(Dong5),"",OFFSET(TH!E$1,SMALL(Dong5,ROWS($1:21)),))</f>
        <v/>
      </c>
      <c r="D35" s="420" t="str">
        <f ca="1">IF(ROWS($1:21)&gt;COUNT(Dong5),"",OFFSET(TH!F$1,SMALL(Dong5,ROWS($1:21)),))</f>
        <v/>
      </c>
      <c r="E35" s="334" t="str">
        <f ca="1">IF(ROWS($1:21)&gt;COUNT(Dong5),"",IF(OFFSET(TH!N$1,SMALL(Dong5,ROWS($1:21)),)=$E$7,OFFSET(TH!O$1,SMALL(Dong5,ROWS($1:21)),),OFFSET(TH!N$1,SMALL(Dong5,ROWS($1:21)),)))</f>
        <v/>
      </c>
      <c r="F35" s="421">
        <f ca="1">IF(ROWS($1:21)&gt;COUNT(Dong5),0,IF(OFFSET(TH!N$1,SMALL(Dong5,ROWS($1:21)),)=$E$7,OFFSET(TH!M$1,SMALL(Dong5,ROWS($1:21)),),0))</f>
        <v>0</v>
      </c>
      <c r="G35" s="419">
        <f ca="1">IF(ROWS($1:21)&gt;COUNT(Dong5),0,IF(OFFSET(TH!O$1,SMALL(Dong5,ROWS($1:21)),)=$E$7,OFFSET(TH!M$1,SMALL(Dong5,ROWS($1:21)),),0))</f>
        <v>0</v>
      </c>
      <c r="H35" s="422">
        <f t="shared" ca="1" si="2"/>
        <v>0</v>
      </c>
      <c r="I35" s="422">
        <f t="shared" ca="1" si="3"/>
        <v>0</v>
      </c>
    </row>
    <row r="36" spans="1:9" s="18" customFormat="1" ht="18" customHeight="1">
      <c r="A36" s="334" t="str">
        <f ca="1">IF(ROWS($1:22)&gt;COUNT(Dong5),"",OFFSET(TH!C$1,SMALL(Dong5,ROWS($1:22)),))</f>
        <v/>
      </c>
      <c r="B36" s="334" t="str">
        <f ca="1">IF(ROWS($1:22)&gt;COUNT(Dong5),"",OFFSET(TH!D$1,SMALL(Dong5,ROWS($1:22)),))</f>
        <v/>
      </c>
      <c r="C36" s="334" t="str">
        <f ca="1">IF(ROWS($1:22)&gt;COUNT(Dong5),"",OFFSET(TH!E$1,SMALL(Dong5,ROWS($1:22)),))</f>
        <v/>
      </c>
      <c r="D36" s="420" t="str">
        <f ca="1">IF(ROWS($1:22)&gt;COUNT(Dong5),"",OFFSET(TH!F$1,SMALL(Dong5,ROWS($1:22)),))</f>
        <v/>
      </c>
      <c r="E36" s="334" t="str">
        <f ca="1">IF(ROWS($1:22)&gt;COUNT(Dong5),"",IF(OFFSET(TH!N$1,SMALL(Dong5,ROWS($1:22)),)=$E$7,OFFSET(TH!O$1,SMALL(Dong5,ROWS($1:22)),),OFFSET(TH!N$1,SMALL(Dong5,ROWS($1:22)),)))</f>
        <v/>
      </c>
      <c r="F36" s="421">
        <f ca="1">IF(ROWS($1:22)&gt;COUNT(Dong5),0,IF(OFFSET(TH!N$1,SMALL(Dong5,ROWS($1:22)),)=$E$7,OFFSET(TH!M$1,SMALL(Dong5,ROWS($1:22)),),0))</f>
        <v>0</v>
      </c>
      <c r="G36" s="419">
        <f ca="1">IF(ROWS($1:22)&gt;COUNT(Dong5),0,IF(OFFSET(TH!O$1,SMALL(Dong5,ROWS($1:22)),)=$E$7,OFFSET(TH!M$1,SMALL(Dong5,ROWS($1:22)),),0))</f>
        <v>0</v>
      </c>
      <c r="H36" s="422">
        <f t="shared" ca="1" si="2"/>
        <v>0</v>
      </c>
      <c r="I36" s="422">
        <f t="shared" ca="1" si="3"/>
        <v>0</v>
      </c>
    </row>
    <row r="37" spans="1:9" s="18" customFormat="1" ht="18" customHeight="1">
      <c r="A37" s="334" t="str">
        <f ca="1">IF(ROWS($1:23)&gt;COUNT(Dong5),"",OFFSET(TH!C$1,SMALL(Dong5,ROWS($1:23)),))</f>
        <v/>
      </c>
      <c r="B37" s="334" t="str">
        <f ca="1">IF(ROWS($1:23)&gt;COUNT(Dong5),"",OFFSET(TH!D$1,SMALL(Dong5,ROWS($1:23)),))</f>
        <v/>
      </c>
      <c r="C37" s="334" t="str">
        <f ca="1">IF(ROWS($1:23)&gt;COUNT(Dong5),"",OFFSET(TH!E$1,SMALL(Dong5,ROWS($1:23)),))</f>
        <v/>
      </c>
      <c r="D37" s="420" t="str">
        <f ca="1">IF(ROWS($1:23)&gt;COUNT(Dong5),"",OFFSET(TH!F$1,SMALL(Dong5,ROWS($1:23)),))</f>
        <v/>
      </c>
      <c r="E37" s="334" t="str">
        <f ca="1">IF(ROWS($1:23)&gt;COUNT(Dong5),"",IF(OFFSET(TH!N$1,SMALL(Dong5,ROWS($1:23)),)=$E$7,OFFSET(TH!O$1,SMALL(Dong5,ROWS($1:23)),),OFFSET(TH!N$1,SMALL(Dong5,ROWS($1:23)),)))</f>
        <v/>
      </c>
      <c r="F37" s="421">
        <f ca="1">IF(ROWS($1:23)&gt;COUNT(Dong5),0,IF(OFFSET(TH!N$1,SMALL(Dong5,ROWS($1:23)),)=$E$7,OFFSET(TH!M$1,SMALL(Dong5,ROWS($1:23)),),0))</f>
        <v>0</v>
      </c>
      <c r="G37" s="419">
        <f ca="1">IF(ROWS($1:23)&gt;COUNT(Dong5),0,IF(OFFSET(TH!O$1,SMALL(Dong5,ROWS($1:23)),)=$E$7,OFFSET(TH!M$1,SMALL(Dong5,ROWS($1:23)),),0))</f>
        <v>0</v>
      </c>
      <c r="H37" s="422">
        <f t="shared" ca="1" si="2"/>
        <v>0</v>
      </c>
      <c r="I37" s="422">
        <f t="shared" ca="1" si="3"/>
        <v>0</v>
      </c>
    </row>
    <row r="38" spans="1:9" s="18" customFormat="1" ht="18" customHeight="1">
      <c r="A38" s="334" t="str">
        <f ca="1">IF(ROWS($1:24)&gt;COUNT(Dong5),"",OFFSET(TH!C$1,SMALL(Dong5,ROWS($1:24)),))</f>
        <v/>
      </c>
      <c r="B38" s="334" t="str">
        <f ca="1">IF(ROWS($1:24)&gt;COUNT(Dong5),"",OFFSET(TH!D$1,SMALL(Dong5,ROWS($1:24)),))</f>
        <v/>
      </c>
      <c r="C38" s="334" t="str">
        <f ca="1">IF(ROWS($1:24)&gt;COUNT(Dong5),"",OFFSET(TH!E$1,SMALL(Dong5,ROWS($1:24)),))</f>
        <v/>
      </c>
      <c r="D38" s="420" t="str">
        <f ca="1">IF(ROWS($1:24)&gt;COUNT(Dong5),"",OFFSET(TH!F$1,SMALL(Dong5,ROWS($1:24)),))</f>
        <v/>
      </c>
      <c r="E38" s="334" t="str">
        <f ca="1">IF(ROWS($1:24)&gt;COUNT(Dong5),"",IF(OFFSET(TH!N$1,SMALL(Dong5,ROWS($1:24)),)=$E$7,OFFSET(TH!O$1,SMALL(Dong5,ROWS($1:24)),),OFFSET(TH!N$1,SMALL(Dong5,ROWS($1:24)),)))</f>
        <v/>
      </c>
      <c r="F38" s="421">
        <f ca="1">IF(ROWS($1:24)&gt;COUNT(Dong5),0,IF(OFFSET(TH!N$1,SMALL(Dong5,ROWS($1:24)),)=$E$7,OFFSET(TH!M$1,SMALL(Dong5,ROWS($1:24)),),0))</f>
        <v>0</v>
      </c>
      <c r="G38" s="419">
        <f ca="1">IF(ROWS($1:24)&gt;COUNT(Dong5),0,IF(OFFSET(TH!O$1,SMALL(Dong5,ROWS($1:24)),)=$E$7,OFFSET(TH!M$1,SMALL(Dong5,ROWS($1:24)),),0))</f>
        <v>0</v>
      </c>
      <c r="H38" s="422">
        <f t="shared" ca="1" si="2"/>
        <v>0</v>
      </c>
      <c r="I38" s="422">
        <f t="shared" ca="1" si="3"/>
        <v>0</v>
      </c>
    </row>
    <row r="39" spans="1:9" s="18" customFormat="1" ht="18" customHeight="1">
      <c r="A39" s="334" t="str">
        <f ca="1">IF(ROWS($1:25)&gt;COUNT(Dong5),"",OFFSET(TH!C$1,SMALL(Dong5,ROWS($1:25)),))</f>
        <v/>
      </c>
      <c r="B39" s="334" t="str">
        <f ca="1">IF(ROWS($1:25)&gt;COUNT(Dong5),"",OFFSET(TH!D$1,SMALL(Dong5,ROWS($1:25)),))</f>
        <v/>
      </c>
      <c r="C39" s="334" t="str">
        <f ca="1">IF(ROWS($1:25)&gt;COUNT(Dong5),"",OFFSET(TH!E$1,SMALL(Dong5,ROWS($1:25)),))</f>
        <v/>
      </c>
      <c r="D39" s="420" t="str">
        <f ca="1">IF(ROWS($1:25)&gt;COUNT(Dong5),"",OFFSET(TH!F$1,SMALL(Dong5,ROWS($1:25)),))</f>
        <v/>
      </c>
      <c r="E39" s="334" t="str">
        <f ca="1">IF(ROWS($1:25)&gt;COUNT(Dong5),"",IF(OFFSET(TH!N$1,SMALL(Dong5,ROWS($1:25)),)=$E$7,OFFSET(TH!O$1,SMALL(Dong5,ROWS($1:25)),),OFFSET(TH!N$1,SMALL(Dong5,ROWS($1:25)),)))</f>
        <v/>
      </c>
      <c r="F39" s="421">
        <f ca="1">IF(ROWS($1:25)&gt;COUNT(Dong5),0,IF(OFFSET(TH!N$1,SMALL(Dong5,ROWS($1:25)),)=$E$7,OFFSET(TH!M$1,SMALL(Dong5,ROWS($1:25)),),0))</f>
        <v>0</v>
      </c>
      <c r="G39" s="419">
        <f ca="1">IF(ROWS($1:25)&gt;COUNT(Dong5),0,IF(OFFSET(TH!O$1,SMALL(Dong5,ROWS($1:25)),)=$E$7,OFFSET(TH!M$1,SMALL(Dong5,ROWS($1:25)),),0))</f>
        <v>0</v>
      </c>
      <c r="H39" s="422">
        <f t="shared" ca="1" si="2"/>
        <v>0</v>
      </c>
      <c r="I39" s="422">
        <f t="shared" ca="1" si="3"/>
        <v>0</v>
      </c>
    </row>
    <row r="40" spans="1:9" s="18" customFormat="1" ht="18" customHeight="1">
      <c r="A40" s="334" t="str">
        <f ca="1">IF(ROWS($1:26)&gt;COUNT(Dong5),"",OFFSET(TH!C$1,SMALL(Dong5,ROWS($1:26)),))</f>
        <v/>
      </c>
      <c r="B40" s="334" t="str">
        <f ca="1">IF(ROWS($1:26)&gt;COUNT(Dong5),"",OFFSET(TH!D$1,SMALL(Dong5,ROWS($1:26)),))</f>
        <v/>
      </c>
      <c r="C40" s="334" t="str">
        <f ca="1">IF(ROWS($1:26)&gt;COUNT(Dong5),"",OFFSET(TH!E$1,SMALL(Dong5,ROWS($1:26)),))</f>
        <v/>
      </c>
      <c r="D40" s="420" t="str">
        <f ca="1">IF(ROWS($1:26)&gt;COUNT(Dong5),"",OFFSET(TH!F$1,SMALL(Dong5,ROWS($1:26)),))</f>
        <v/>
      </c>
      <c r="E40" s="334" t="str">
        <f ca="1">IF(ROWS($1:26)&gt;COUNT(Dong5),"",IF(OFFSET(TH!N$1,SMALL(Dong5,ROWS($1:26)),)=$E$7,OFFSET(TH!O$1,SMALL(Dong5,ROWS($1:26)),),OFFSET(TH!N$1,SMALL(Dong5,ROWS($1:26)),)))</f>
        <v/>
      </c>
      <c r="F40" s="421">
        <f ca="1">IF(ROWS($1:26)&gt;COUNT(Dong5),0,IF(OFFSET(TH!N$1,SMALL(Dong5,ROWS($1:26)),)=$E$7,OFFSET(TH!M$1,SMALL(Dong5,ROWS($1:26)),),0))</f>
        <v>0</v>
      </c>
      <c r="G40" s="419">
        <f ca="1">IF(ROWS($1:26)&gt;COUNT(Dong5),0,IF(OFFSET(TH!O$1,SMALL(Dong5,ROWS($1:26)),)=$E$7,OFFSET(TH!M$1,SMALL(Dong5,ROWS($1:26)),),0))</f>
        <v>0</v>
      </c>
      <c r="H40" s="422">
        <f t="shared" ca="1" si="2"/>
        <v>0</v>
      </c>
      <c r="I40" s="422">
        <f t="shared" ca="1" si="3"/>
        <v>0</v>
      </c>
    </row>
    <row r="41" spans="1:9" s="18" customFormat="1" ht="18" customHeight="1">
      <c r="A41" s="334" t="str">
        <f ca="1">IF(ROWS($1:27)&gt;COUNT(Dong5),"",OFFSET(TH!C$1,SMALL(Dong5,ROWS($1:27)),))</f>
        <v/>
      </c>
      <c r="B41" s="334" t="str">
        <f ca="1">IF(ROWS($1:27)&gt;COUNT(Dong5),"",OFFSET(TH!D$1,SMALL(Dong5,ROWS($1:27)),))</f>
        <v/>
      </c>
      <c r="C41" s="334" t="str">
        <f ca="1">IF(ROWS($1:27)&gt;COUNT(Dong5),"",OFFSET(TH!E$1,SMALL(Dong5,ROWS($1:27)),))</f>
        <v/>
      </c>
      <c r="D41" s="420" t="str">
        <f ca="1">IF(ROWS($1:27)&gt;COUNT(Dong5),"",OFFSET(TH!F$1,SMALL(Dong5,ROWS($1:27)),))</f>
        <v/>
      </c>
      <c r="E41" s="334" t="str">
        <f ca="1">IF(ROWS($1:27)&gt;COUNT(Dong5),"",IF(OFFSET(TH!N$1,SMALL(Dong5,ROWS($1:27)),)=$E$7,OFFSET(TH!O$1,SMALL(Dong5,ROWS($1:27)),),OFFSET(TH!N$1,SMALL(Dong5,ROWS($1:27)),)))</f>
        <v/>
      </c>
      <c r="F41" s="421">
        <f ca="1">IF(ROWS($1:27)&gt;COUNT(Dong5),0,IF(OFFSET(TH!N$1,SMALL(Dong5,ROWS($1:27)),)=$E$7,OFFSET(TH!M$1,SMALL(Dong5,ROWS($1:27)),),0))</f>
        <v>0</v>
      </c>
      <c r="G41" s="419">
        <f ca="1">IF(ROWS($1:27)&gt;COUNT(Dong5),0,IF(OFFSET(TH!O$1,SMALL(Dong5,ROWS($1:27)),)=$E$7,OFFSET(TH!M$1,SMALL(Dong5,ROWS($1:27)),),0))</f>
        <v>0</v>
      </c>
      <c r="H41" s="422">
        <f t="shared" ca="1" si="2"/>
        <v>0</v>
      </c>
      <c r="I41" s="422">
        <f t="shared" ca="1" si="3"/>
        <v>0</v>
      </c>
    </row>
    <row r="42" spans="1:9" s="18" customFormat="1" ht="18" customHeight="1">
      <c r="A42" s="334" t="str">
        <f ca="1">IF(ROWS($1:28)&gt;COUNT(Dong5),"",OFFSET(TH!C$1,SMALL(Dong5,ROWS($1:28)),))</f>
        <v/>
      </c>
      <c r="B42" s="334" t="str">
        <f ca="1">IF(ROWS($1:28)&gt;COUNT(Dong5),"",OFFSET(TH!D$1,SMALL(Dong5,ROWS($1:28)),))</f>
        <v/>
      </c>
      <c r="C42" s="334" t="str">
        <f ca="1">IF(ROWS($1:28)&gt;COUNT(Dong5),"",OFFSET(TH!E$1,SMALL(Dong5,ROWS($1:28)),))</f>
        <v/>
      </c>
      <c r="D42" s="420" t="str">
        <f ca="1">IF(ROWS($1:28)&gt;COUNT(Dong5),"",OFFSET(TH!F$1,SMALL(Dong5,ROWS($1:28)),))</f>
        <v/>
      </c>
      <c r="E42" s="334" t="str">
        <f ca="1">IF(ROWS($1:28)&gt;COUNT(Dong5),"",IF(OFFSET(TH!N$1,SMALL(Dong5,ROWS($1:28)),)=$E$7,OFFSET(TH!O$1,SMALL(Dong5,ROWS($1:28)),),OFFSET(TH!N$1,SMALL(Dong5,ROWS($1:28)),)))</f>
        <v/>
      </c>
      <c r="F42" s="421">
        <f ca="1">IF(ROWS($1:28)&gt;COUNT(Dong5),0,IF(OFFSET(TH!N$1,SMALL(Dong5,ROWS($1:28)),)=$E$7,OFFSET(TH!M$1,SMALL(Dong5,ROWS($1:28)),),0))</f>
        <v>0</v>
      </c>
      <c r="G42" s="419">
        <f ca="1">IF(ROWS($1:28)&gt;COUNT(Dong5),0,IF(OFFSET(TH!O$1,SMALL(Dong5,ROWS($1:28)),)=$E$7,OFFSET(TH!M$1,SMALL(Dong5,ROWS($1:28)),),0))</f>
        <v>0</v>
      </c>
      <c r="H42" s="422">
        <f t="shared" ca="1" si="2"/>
        <v>0</v>
      </c>
      <c r="I42" s="422">
        <f t="shared" ca="1" si="3"/>
        <v>0</v>
      </c>
    </row>
    <row r="43" spans="1:9" s="18" customFormat="1" ht="18" customHeight="1">
      <c r="A43" s="334" t="str">
        <f ca="1">IF(ROWS($1:29)&gt;COUNT(Dong5),"",OFFSET(TH!C$1,SMALL(Dong5,ROWS($1:29)),))</f>
        <v/>
      </c>
      <c r="B43" s="334" t="str">
        <f ca="1">IF(ROWS($1:29)&gt;COUNT(Dong5),"",OFFSET(TH!D$1,SMALL(Dong5,ROWS($1:29)),))</f>
        <v/>
      </c>
      <c r="C43" s="334" t="str">
        <f ca="1">IF(ROWS($1:29)&gt;COUNT(Dong5),"",OFFSET(TH!E$1,SMALL(Dong5,ROWS($1:29)),))</f>
        <v/>
      </c>
      <c r="D43" s="420" t="str">
        <f ca="1">IF(ROWS($1:29)&gt;COUNT(Dong5),"",OFFSET(TH!F$1,SMALL(Dong5,ROWS($1:29)),))</f>
        <v/>
      </c>
      <c r="E43" s="334" t="str">
        <f ca="1">IF(ROWS($1:29)&gt;COUNT(Dong5),"",IF(OFFSET(TH!N$1,SMALL(Dong5,ROWS($1:29)),)=$E$7,OFFSET(TH!O$1,SMALL(Dong5,ROWS($1:29)),),OFFSET(TH!N$1,SMALL(Dong5,ROWS($1:29)),)))</f>
        <v/>
      </c>
      <c r="F43" s="421">
        <f ca="1">IF(ROWS($1:29)&gt;COUNT(Dong5),0,IF(OFFSET(TH!N$1,SMALL(Dong5,ROWS($1:29)),)=$E$7,OFFSET(TH!M$1,SMALL(Dong5,ROWS($1:29)),),0))</f>
        <v>0</v>
      </c>
      <c r="G43" s="419">
        <f ca="1">IF(ROWS($1:29)&gt;COUNT(Dong5),0,IF(OFFSET(TH!O$1,SMALL(Dong5,ROWS($1:29)),)=$E$7,OFFSET(TH!M$1,SMALL(Dong5,ROWS($1:29)),),0))</f>
        <v>0</v>
      </c>
      <c r="H43" s="422">
        <f t="shared" ca="1" si="2"/>
        <v>0</v>
      </c>
      <c r="I43" s="422">
        <f t="shared" ca="1" si="3"/>
        <v>0</v>
      </c>
    </row>
    <row r="44" spans="1:9" s="18" customFormat="1" ht="18" customHeight="1">
      <c r="A44" s="334" t="str">
        <f ca="1">IF(ROWS($1:30)&gt;COUNT(Dong5),"",OFFSET(TH!C$1,SMALL(Dong5,ROWS($1:30)),))</f>
        <v/>
      </c>
      <c r="B44" s="334" t="str">
        <f ca="1">IF(ROWS($1:30)&gt;COUNT(Dong5),"",OFFSET(TH!D$1,SMALL(Dong5,ROWS($1:30)),))</f>
        <v/>
      </c>
      <c r="C44" s="334" t="str">
        <f ca="1">IF(ROWS($1:30)&gt;COUNT(Dong5),"",OFFSET(TH!E$1,SMALL(Dong5,ROWS($1:30)),))</f>
        <v/>
      </c>
      <c r="D44" s="420" t="str">
        <f ca="1">IF(ROWS($1:30)&gt;COUNT(Dong5),"",OFFSET(TH!F$1,SMALL(Dong5,ROWS($1:30)),))</f>
        <v/>
      </c>
      <c r="E44" s="334" t="str">
        <f ca="1">IF(ROWS($1:30)&gt;COUNT(Dong5),"",IF(OFFSET(TH!N$1,SMALL(Dong5,ROWS($1:30)),)=$E$7,OFFSET(TH!O$1,SMALL(Dong5,ROWS($1:30)),),OFFSET(TH!N$1,SMALL(Dong5,ROWS($1:30)),)))</f>
        <v/>
      </c>
      <c r="F44" s="421">
        <f ca="1">IF(ROWS($1:30)&gt;COUNT(Dong5),0,IF(OFFSET(TH!N$1,SMALL(Dong5,ROWS($1:30)),)=$E$7,OFFSET(TH!M$1,SMALL(Dong5,ROWS($1:30)),),0))</f>
        <v>0</v>
      </c>
      <c r="G44" s="419">
        <f ca="1">IF(ROWS($1:30)&gt;COUNT(Dong5),0,IF(OFFSET(TH!O$1,SMALL(Dong5,ROWS($1:30)),)=$E$7,OFFSET(TH!M$1,SMALL(Dong5,ROWS($1:30)),),0))</f>
        <v>0</v>
      </c>
      <c r="H44" s="422">
        <f t="shared" ca="1" si="2"/>
        <v>0</v>
      </c>
      <c r="I44" s="422">
        <f t="shared" ca="1" si="3"/>
        <v>0</v>
      </c>
    </row>
    <row r="45" spans="1:9" s="18" customFormat="1" ht="18" customHeight="1">
      <c r="A45" s="334" t="str">
        <f ca="1">IF(ROWS($1:31)&gt;COUNT(Dong5),"",OFFSET(TH!C$1,SMALL(Dong5,ROWS($1:31)),))</f>
        <v/>
      </c>
      <c r="B45" s="334" t="str">
        <f ca="1">IF(ROWS($1:31)&gt;COUNT(Dong5),"",OFFSET(TH!D$1,SMALL(Dong5,ROWS($1:31)),))</f>
        <v/>
      </c>
      <c r="C45" s="334" t="str">
        <f ca="1">IF(ROWS($1:31)&gt;COUNT(Dong5),"",OFFSET(TH!E$1,SMALL(Dong5,ROWS($1:31)),))</f>
        <v/>
      </c>
      <c r="D45" s="420" t="str">
        <f ca="1">IF(ROWS($1:31)&gt;COUNT(Dong5),"",OFFSET(TH!F$1,SMALL(Dong5,ROWS($1:31)),))</f>
        <v/>
      </c>
      <c r="E45" s="334" t="str">
        <f ca="1">IF(ROWS($1:31)&gt;COUNT(Dong5),"",IF(OFFSET(TH!N$1,SMALL(Dong5,ROWS($1:31)),)=$E$7,OFFSET(TH!O$1,SMALL(Dong5,ROWS($1:31)),),OFFSET(TH!N$1,SMALL(Dong5,ROWS($1:31)),)))</f>
        <v/>
      </c>
      <c r="F45" s="421">
        <f ca="1">IF(ROWS($1:31)&gt;COUNT(Dong5),0,IF(OFFSET(TH!N$1,SMALL(Dong5,ROWS($1:31)),)=$E$7,OFFSET(TH!M$1,SMALL(Dong5,ROWS($1:31)),),0))</f>
        <v>0</v>
      </c>
      <c r="G45" s="419">
        <f ca="1">IF(ROWS($1:31)&gt;COUNT(Dong5),0,IF(OFFSET(TH!O$1,SMALL(Dong5,ROWS($1:31)),)=$E$7,OFFSET(TH!M$1,SMALL(Dong5,ROWS($1:31)),),0))</f>
        <v>0</v>
      </c>
      <c r="H45" s="422">
        <f t="shared" ca="1" si="2"/>
        <v>0</v>
      </c>
      <c r="I45" s="422">
        <f t="shared" ca="1" si="3"/>
        <v>0</v>
      </c>
    </row>
    <row r="46" spans="1:9" s="18" customFormat="1" ht="18" customHeight="1">
      <c r="A46" s="334" t="str">
        <f ca="1">IF(ROWS($1:32)&gt;COUNT(Dong5),"",OFFSET(TH!C$1,SMALL(Dong5,ROWS($1:32)),))</f>
        <v/>
      </c>
      <c r="B46" s="334" t="str">
        <f ca="1">IF(ROWS($1:32)&gt;COUNT(Dong5),"",OFFSET(TH!D$1,SMALL(Dong5,ROWS($1:32)),))</f>
        <v/>
      </c>
      <c r="C46" s="334" t="str">
        <f ca="1">IF(ROWS($1:32)&gt;COUNT(Dong5),"",OFFSET(TH!E$1,SMALL(Dong5,ROWS($1:32)),))</f>
        <v/>
      </c>
      <c r="D46" s="420" t="str">
        <f ca="1">IF(ROWS($1:32)&gt;COUNT(Dong5),"",OFFSET(TH!F$1,SMALL(Dong5,ROWS($1:32)),))</f>
        <v/>
      </c>
      <c r="E46" s="334" t="str">
        <f ca="1">IF(ROWS($1:32)&gt;COUNT(Dong5),"",IF(OFFSET(TH!N$1,SMALL(Dong5,ROWS($1:32)),)=$E$7,OFFSET(TH!O$1,SMALL(Dong5,ROWS($1:32)),),OFFSET(TH!N$1,SMALL(Dong5,ROWS($1:32)),)))</f>
        <v/>
      </c>
      <c r="F46" s="421">
        <f ca="1">IF(ROWS($1:32)&gt;COUNT(Dong5),0,IF(OFFSET(TH!N$1,SMALL(Dong5,ROWS($1:32)),)=$E$7,OFFSET(TH!M$1,SMALL(Dong5,ROWS($1:32)),),0))</f>
        <v>0</v>
      </c>
      <c r="G46" s="419">
        <f ca="1">IF(ROWS($1:32)&gt;COUNT(Dong5),0,IF(OFFSET(TH!O$1,SMALL(Dong5,ROWS($1:32)),)=$E$7,OFFSET(TH!M$1,SMALL(Dong5,ROWS($1:32)),),0))</f>
        <v>0</v>
      </c>
      <c r="H46" s="422">
        <f t="shared" ca="1" si="2"/>
        <v>0</v>
      </c>
      <c r="I46" s="422">
        <f t="shared" ca="1" si="3"/>
        <v>0</v>
      </c>
    </row>
    <row r="47" spans="1:9" s="18" customFormat="1" ht="18" customHeight="1">
      <c r="A47" s="334" t="str">
        <f ca="1">IF(ROWS($1:33)&gt;COUNT(Dong5),"",OFFSET(TH!C$1,SMALL(Dong5,ROWS($1:33)),))</f>
        <v/>
      </c>
      <c r="B47" s="334" t="str">
        <f ca="1">IF(ROWS($1:33)&gt;COUNT(Dong5),"",OFFSET(TH!D$1,SMALL(Dong5,ROWS($1:33)),))</f>
        <v/>
      </c>
      <c r="C47" s="334" t="str">
        <f ca="1">IF(ROWS($1:33)&gt;COUNT(Dong5),"",OFFSET(TH!E$1,SMALL(Dong5,ROWS($1:33)),))</f>
        <v/>
      </c>
      <c r="D47" s="420" t="str">
        <f ca="1">IF(ROWS($1:33)&gt;COUNT(Dong5),"",OFFSET(TH!F$1,SMALL(Dong5,ROWS($1:33)),))</f>
        <v/>
      </c>
      <c r="E47" s="334" t="str">
        <f ca="1">IF(ROWS($1:33)&gt;COUNT(Dong5),"",IF(OFFSET(TH!N$1,SMALL(Dong5,ROWS($1:33)),)=$E$7,OFFSET(TH!O$1,SMALL(Dong5,ROWS($1:33)),),OFFSET(TH!N$1,SMALL(Dong5,ROWS($1:33)),)))</f>
        <v/>
      </c>
      <c r="F47" s="421">
        <f ca="1">IF(ROWS($1:33)&gt;COUNT(Dong5),0,IF(OFFSET(TH!N$1,SMALL(Dong5,ROWS($1:33)),)=$E$7,OFFSET(TH!M$1,SMALL(Dong5,ROWS($1:33)),),0))</f>
        <v>0</v>
      </c>
      <c r="G47" s="419">
        <f ca="1">IF(ROWS($1:33)&gt;COUNT(Dong5),0,IF(OFFSET(TH!O$1,SMALL(Dong5,ROWS($1:33)),)=$E$7,OFFSET(TH!M$1,SMALL(Dong5,ROWS($1:33)),),0))</f>
        <v>0</v>
      </c>
      <c r="H47" s="422">
        <f ca="1">IF(D47&lt;&gt;"",MAX(H46+F47-G47-I46,0),0)</f>
        <v>0</v>
      </c>
      <c r="I47" s="422">
        <f ca="1">IF(D47&lt;&gt;"",MAX(I46+G47-H46-F47,0),0)</f>
        <v>0</v>
      </c>
    </row>
    <row r="48" spans="1:9" s="18" customFormat="1" ht="18" customHeight="1">
      <c r="A48" s="334" t="str">
        <f ca="1">IF(ROWS($1:34)&gt;COUNT(Dong5),"",OFFSET(TH!C$1,SMALL(Dong5,ROWS($1:34)),))</f>
        <v/>
      </c>
      <c r="B48" s="334" t="str">
        <f ca="1">IF(ROWS($1:34)&gt;COUNT(Dong5),"",OFFSET(TH!D$1,SMALL(Dong5,ROWS($1:34)),))</f>
        <v/>
      </c>
      <c r="C48" s="334" t="str">
        <f ca="1">IF(ROWS($1:34)&gt;COUNT(Dong5),"",OFFSET(TH!E$1,SMALL(Dong5,ROWS($1:34)),))</f>
        <v/>
      </c>
      <c r="D48" s="420" t="str">
        <f ca="1">IF(ROWS($1:34)&gt;COUNT(Dong5),"",OFFSET(TH!F$1,SMALL(Dong5,ROWS($1:34)),))</f>
        <v/>
      </c>
      <c r="E48" s="334" t="str">
        <f ca="1">IF(ROWS($1:34)&gt;COUNT(Dong5),"",IF(OFFSET(TH!N$1,SMALL(Dong5,ROWS($1:34)),)=$E$7,OFFSET(TH!O$1,SMALL(Dong5,ROWS($1:34)),),OFFSET(TH!N$1,SMALL(Dong5,ROWS($1:34)),)))</f>
        <v/>
      </c>
      <c r="F48" s="421">
        <f ca="1">IF(ROWS($1:34)&gt;COUNT(Dong5),0,IF(OFFSET(TH!N$1,SMALL(Dong5,ROWS($1:34)),)=$E$7,OFFSET(TH!M$1,SMALL(Dong5,ROWS($1:34)),),0))</f>
        <v>0</v>
      </c>
      <c r="G48" s="419">
        <f ca="1">IF(ROWS($1:34)&gt;COUNT(Dong5),0,IF(OFFSET(TH!O$1,SMALL(Dong5,ROWS($1:34)),)=$E$7,OFFSET(TH!M$1,SMALL(Dong5,ROWS($1:34)),),0))</f>
        <v>0</v>
      </c>
      <c r="H48" s="422">
        <f ca="1">IF(D48&lt;&gt;"",MAX(H47+F48-G48-I47,0),0)</f>
        <v>0</v>
      </c>
      <c r="I48" s="422">
        <f ca="1">IF(D48&lt;&gt;"",MAX(I47+G48-H47-F48,0),0)</f>
        <v>0</v>
      </c>
    </row>
    <row r="49" spans="1:9" s="18" customFormat="1" ht="18" customHeight="1">
      <c r="A49" s="334" t="str">
        <f ca="1">IF(ROWS($1:35)&gt;COUNT(Dong5),"",OFFSET(TH!C$1,SMALL(Dong5,ROWS($1:35)),))</f>
        <v/>
      </c>
      <c r="B49" s="334" t="str">
        <f ca="1">IF(ROWS($1:35)&gt;COUNT(Dong5),"",OFFSET(TH!D$1,SMALL(Dong5,ROWS($1:35)),))</f>
        <v/>
      </c>
      <c r="C49" s="334" t="str">
        <f ca="1">IF(ROWS($1:35)&gt;COUNT(Dong5),"",OFFSET(TH!E$1,SMALL(Dong5,ROWS($1:35)),))</f>
        <v/>
      </c>
      <c r="D49" s="420" t="str">
        <f ca="1">IF(ROWS($1:35)&gt;COUNT(Dong5),"",OFFSET(TH!F$1,SMALL(Dong5,ROWS($1:35)),))</f>
        <v/>
      </c>
      <c r="E49" s="334" t="str">
        <f ca="1">IF(ROWS($1:35)&gt;COUNT(Dong5),"",IF(OFFSET(TH!N$1,SMALL(Dong5,ROWS($1:35)),)=$E$7,OFFSET(TH!O$1,SMALL(Dong5,ROWS($1:35)),),OFFSET(TH!N$1,SMALL(Dong5,ROWS($1:35)),)))</f>
        <v/>
      </c>
      <c r="F49" s="421">
        <f ca="1">IF(ROWS($1:35)&gt;COUNT(Dong5),0,IF(OFFSET(TH!N$1,SMALL(Dong5,ROWS($1:35)),)=$E$7,OFFSET(TH!M$1,SMALL(Dong5,ROWS($1:35)),),0))</f>
        <v>0</v>
      </c>
      <c r="G49" s="419">
        <f ca="1">IF(ROWS($1:35)&gt;COUNT(Dong5),0,IF(OFFSET(TH!O$1,SMALL(Dong5,ROWS($1:35)),)=$E$7,OFFSET(TH!M$1,SMALL(Dong5,ROWS($1:35)),),0))</f>
        <v>0</v>
      </c>
      <c r="H49" s="422">
        <f ca="1">IF(D49&lt;&gt;"",MAX(H48+F49-G49-I48,0),0)</f>
        <v>0</v>
      </c>
      <c r="I49" s="422">
        <f ca="1">IF(D49&lt;&gt;"",MAX(I48+G49-H48-F49,0),0)</f>
        <v>0</v>
      </c>
    </row>
    <row r="50" spans="1:9" s="18" customFormat="1" ht="18" customHeight="1">
      <c r="A50" s="334" t="str">
        <f ca="1">IF(ROWS($1:36)&gt;COUNT(Dong5),"",OFFSET(TH!C$1,SMALL(Dong5,ROWS($1:36)),))</f>
        <v/>
      </c>
      <c r="B50" s="334" t="str">
        <f ca="1">IF(ROWS($1:36)&gt;COUNT(Dong5),"",OFFSET(TH!D$1,SMALL(Dong5,ROWS($1:36)),))</f>
        <v/>
      </c>
      <c r="C50" s="334" t="str">
        <f ca="1">IF(ROWS($1:36)&gt;COUNT(Dong5),"",OFFSET(TH!E$1,SMALL(Dong5,ROWS($1:36)),))</f>
        <v/>
      </c>
      <c r="D50" s="420" t="str">
        <f ca="1">IF(ROWS($1:36)&gt;COUNT(Dong5),"",OFFSET(TH!F$1,SMALL(Dong5,ROWS($1:36)),))</f>
        <v/>
      </c>
      <c r="E50" s="334" t="str">
        <f ca="1">IF(ROWS($1:36)&gt;COUNT(Dong5),"",IF(OFFSET(TH!N$1,SMALL(Dong5,ROWS($1:36)),)=$E$7,OFFSET(TH!O$1,SMALL(Dong5,ROWS($1:36)),),OFFSET(TH!N$1,SMALL(Dong5,ROWS($1:36)),)))</f>
        <v/>
      </c>
      <c r="F50" s="421">
        <f ca="1">IF(ROWS($1:36)&gt;COUNT(Dong5),0,IF(OFFSET(TH!N$1,SMALL(Dong5,ROWS($1:36)),)=$E$7,OFFSET(TH!M$1,SMALL(Dong5,ROWS($1:36)),),0))</f>
        <v>0</v>
      </c>
      <c r="G50" s="419">
        <f ca="1">IF(ROWS($1:36)&gt;COUNT(Dong5),0,IF(OFFSET(TH!O$1,SMALL(Dong5,ROWS($1:36)),)=$E$7,OFFSET(TH!M$1,SMALL(Dong5,ROWS($1:36)),),0))</f>
        <v>0</v>
      </c>
      <c r="H50" s="422">
        <f ca="1">IF(D50&lt;&gt;"",MAX(H49+F50-G50-I49,0),0)</f>
        <v>0</v>
      </c>
      <c r="I50" s="422">
        <f ca="1">IF(D50&lt;&gt;"",MAX(I49+G50-H49-F50,0),0)</f>
        <v>0</v>
      </c>
    </row>
    <row r="51" spans="1:9" s="18" customFormat="1" ht="18" customHeight="1">
      <c r="A51" s="334"/>
      <c r="B51" s="335"/>
      <c r="C51" s="334"/>
      <c r="D51" s="407" t="s">
        <v>158</v>
      </c>
      <c r="E51" s="335" t="s">
        <v>21</v>
      </c>
      <c r="F51" s="423">
        <f ca="1">SUM(F15:F50)</f>
        <v>5000000</v>
      </c>
      <c r="G51" s="423">
        <f ca="1">SUM(G15:G50)</f>
        <v>160000000</v>
      </c>
      <c r="H51" s="423" t="s">
        <v>21</v>
      </c>
      <c r="I51" s="423" t="s">
        <v>21</v>
      </c>
    </row>
    <row r="52" spans="1:9" s="18" customFormat="1" ht="18" customHeight="1">
      <c r="A52" s="424"/>
      <c r="B52" s="412"/>
      <c r="C52" s="424"/>
      <c r="D52" s="411" t="s">
        <v>10</v>
      </c>
      <c r="E52" s="412" t="s">
        <v>21</v>
      </c>
      <c r="F52" s="425" t="s">
        <v>21</v>
      </c>
      <c r="G52" s="425" t="s">
        <v>21</v>
      </c>
      <c r="H52" s="426">
        <f ca="1">MAX(H14+F51-G51-I14,0)</f>
        <v>1345000000</v>
      </c>
      <c r="I52" s="426">
        <f ca="1">MAX(I14+G51-F51-H14,0)</f>
        <v>0</v>
      </c>
    </row>
    <row r="53" spans="1:9" s="18" customFormat="1" ht="9.75" customHeight="1">
      <c r="A53" s="363"/>
      <c r="B53" s="363"/>
      <c r="C53" s="363"/>
      <c r="E53" s="363"/>
    </row>
    <row r="54" spans="1:9" s="18" customFormat="1" ht="12.75">
      <c r="A54" s="363"/>
      <c r="B54" s="363"/>
      <c r="C54" s="427" t="s">
        <v>253</v>
      </c>
      <c r="E54" s="363"/>
    </row>
    <row r="55" spans="1:9" s="18" customFormat="1" ht="12.75">
      <c r="A55" s="363"/>
      <c r="B55" s="363"/>
      <c r="C55" s="28" t="s">
        <v>189</v>
      </c>
      <c r="E55" s="363"/>
    </row>
    <row r="56" spans="1:9" s="18" customFormat="1" ht="13.5" customHeight="1">
      <c r="A56" s="363"/>
      <c r="B56" s="363"/>
      <c r="C56" s="363"/>
      <c r="E56" s="1224" t="s">
        <v>190</v>
      </c>
      <c r="F56" s="1224"/>
      <c r="G56" s="1224"/>
      <c r="H56" s="1224"/>
      <c r="I56" s="1224"/>
    </row>
    <row r="57" spans="1:9" s="18" customFormat="1" ht="12.75">
      <c r="A57" s="1224" t="s">
        <v>11</v>
      </c>
      <c r="B57" s="1224"/>
      <c r="C57" s="1224"/>
      <c r="D57" s="1224"/>
      <c r="E57" s="1224" t="s">
        <v>12</v>
      </c>
      <c r="F57" s="1224"/>
      <c r="G57" s="1224"/>
      <c r="H57" s="1224"/>
      <c r="I57" s="1224"/>
    </row>
    <row r="58" spans="1:9" s="18" customFormat="1" ht="12.75">
      <c r="A58" s="1224" t="s">
        <v>13</v>
      </c>
      <c r="B58" s="1224"/>
      <c r="C58" s="1224"/>
      <c r="D58" s="1224"/>
      <c r="E58" s="1224" t="s">
        <v>13</v>
      </c>
      <c r="F58" s="1224"/>
      <c r="G58" s="1224"/>
      <c r="H58" s="1224"/>
      <c r="I58" s="1224"/>
    </row>
    <row r="59" spans="1:9" s="18" customFormat="1" ht="12.75">
      <c r="A59" s="363"/>
      <c r="B59" s="363"/>
      <c r="C59" s="363"/>
      <c r="E59" s="363"/>
    </row>
    <row r="60" spans="1:9">
      <c r="D60" s="251"/>
      <c r="F60" s="252"/>
    </row>
    <row r="65" spans="1:4">
      <c r="A65" s="1225" t="s">
        <v>230</v>
      </c>
      <c r="B65" s="1225"/>
      <c r="C65" s="1225"/>
      <c r="D65" s="1225"/>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S4" sqref="S4"/>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182</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319</v>
      </c>
      <c r="C2" s="111"/>
      <c r="D2" s="101"/>
      <c r="E2" s="101"/>
      <c r="F2" s="101"/>
      <c r="G2" s="101"/>
      <c r="H2" s="103"/>
      <c r="I2" s="103"/>
      <c r="L2" s="112" t="str">
        <f>IF($Q$4&gt;=2015,"(Ban hành theo Thông tư số 200/2014/TT-BTC ","(Ban hành kèm theo QĐ 48/2006/QĐ-BTC")</f>
        <v>(Ban hành kèm theo QĐ 48/2006/QĐ-BTC</v>
      </c>
      <c r="N2" s="113"/>
      <c r="O2" s="113"/>
      <c r="P2" s="106"/>
      <c r="Q2" s="107"/>
      <c r="R2" s="107"/>
      <c r="S2" s="107"/>
      <c r="T2" s="107"/>
      <c r="U2" s="107"/>
      <c r="V2" s="114"/>
      <c r="W2" s="115" t="s">
        <v>126</v>
      </c>
    </row>
    <row r="3" spans="1:23" ht="13.5" customHeight="1" thickBot="1">
      <c r="B3" s="111"/>
      <c r="C3" s="101"/>
      <c r="D3" s="101"/>
      <c r="E3" s="101"/>
      <c r="G3" s="101"/>
      <c r="I3" s="116"/>
      <c r="L3" s="112" t="str">
        <f>IF($Q$4=2015,"Ngày 22/12/2014 của Bộ Tài chính)","ngày 24/09/2006 của Bộ trưởng BTC)")</f>
        <v>ngày 24/09/2006 của Bộ trưởng BTC)</v>
      </c>
      <c r="N3" s="113"/>
      <c r="O3" s="113"/>
      <c r="P3" s="117"/>
      <c r="Q3" s="1020"/>
      <c r="R3" s="325"/>
      <c r="S3" s="326" t="s">
        <v>468</v>
      </c>
      <c r="T3" s="325"/>
      <c r="U3" s="326" t="s">
        <v>127</v>
      </c>
      <c r="V3" s="114"/>
      <c r="W3" s="115" t="s">
        <v>127</v>
      </c>
    </row>
    <row r="4" spans="1:23" ht="22.5" thickBot="1">
      <c r="B4" s="111"/>
      <c r="C4" s="101"/>
      <c r="D4" s="101"/>
      <c r="E4" s="101"/>
      <c r="G4" s="118"/>
      <c r="H4" s="119" t="str">
        <f>IF(LEFT($U$4,1)="T","PHIẾU THU","PHIẾU CHI")</f>
        <v>PHIẾU CHI</v>
      </c>
      <c r="J4" s="118"/>
      <c r="K4" s="120"/>
      <c r="M4" s="120"/>
      <c r="N4" s="120"/>
      <c r="O4" s="120"/>
      <c r="P4" s="121"/>
      <c r="Q4" s="1021"/>
      <c r="R4" s="122"/>
      <c r="S4" s="225">
        <v>2</v>
      </c>
      <c r="T4" s="122"/>
      <c r="U4" s="1022" t="s">
        <v>4</v>
      </c>
      <c r="V4" s="148"/>
      <c r="W4" s="1023">
        <v>1</v>
      </c>
    </row>
    <row r="5" spans="1:23">
      <c r="B5" s="111"/>
      <c r="C5" s="101"/>
      <c r="D5" s="101"/>
      <c r="E5" s="101"/>
      <c r="G5" s="118"/>
      <c r="H5" s="123" t="str">
        <f>IF(ISNA(VLOOKUP($M$7,TM,3,0)),"","Ngày  "&amp;DAY(VLOOKUP($M$7,TM,3,0))&amp;"  tháng  "&amp;MONTH(VLOOKUP($M$7,TM,3,0))&amp;"  năm  "&amp;YEAR(VLOOKUP($M$7,TM,3,0)))</f>
        <v>Ngày  1  tháng  2  năm  2016</v>
      </c>
      <c r="J5" s="118"/>
      <c r="K5" s="120"/>
      <c r="M5" s="120"/>
      <c r="N5" s="120"/>
      <c r="O5" s="120"/>
      <c r="P5" s="121"/>
      <c r="Q5" s="1020"/>
      <c r="V5" s="110"/>
      <c r="W5" s="115"/>
    </row>
    <row r="6" spans="1:23" ht="13.5">
      <c r="A6" s="126"/>
      <c r="B6" s="124"/>
      <c r="C6" s="125"/>
      <c r="D6" s="125"/>
      <c r="E6" s="125"/>
      <c r="F6" s="126"/>
      <c r="G6" s="127"/>
      <c r="H6" s="127"/>
      <c r="I6" s="127"/>
      <c r="J6" s="126"/>
      <c r="K6" s="126"/>
      <c r="L6" s="128" t="str">
        <f>"Quyển số: 0"&amp;$S$4</f>
        <v>Quyển số: 02</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C01</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642</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Họ và tên người nhận tiền : Cty TNHH Nhựa Duy Tân</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Hũ ly trung</v>
      </c>
      <c r="E12" s="137"/>
      <c r="F12" s="137"/>
      <c r="G12" s="137"/>
      <c r="H12" s="137"/>
      <c r="I12" s="137"/>
      <c r="J12" s="137"/>
      <c r="K12" s="137"/>
      <c r="L12" s="137"/>
      <c r="M12" s="137"/>
      <c r="N12" s="137"/>
      <c r="O12" s="137"/>
    </row>
    <row r="13" spans="1:23">
      <c r="C13" s="102" t="s">
        <v>142</v>
      </c>
      <c r="D13" s="139">
        <f ca="1">SUMIF(TM,$M$7,TH)</f>
        <v>4668125</v>
      </c>
      <c r="E13" s="102" t="s">
        <v>130</v>
      </c>
      <c r="F13" s="139"/>
      <c r="G13" s="139"/>
      <c r="P13" s="102"/>
    </row>
    <row r="14" spans="1:23">
      <c r="C14" s="102" t="str">
        <f ca="1">"Viết bằng chữ: " &amp;[3]!VND('IN-TC'!D13, TRUE)</f>
        <v>Viết bằng chữ: Bốn triệu, sáu trăm sáu mươi tám ngàn, một trăm hai mươi lăm đồng</v>
      </c>
      <c r="P14" s="117"/>
    </row>
    <row r="15" spans="1:23">
      <c r="C15" s="137" t="str">
        <f>"Kèm theo :     " &amp;IF(OR(ISNA(VLOOKUP($M$7,TM,7,0)),VLOOKUP($M$7,TM,7,0)=""),"                           ",IF(VLOOKUP($M$7,TM,7,0)&lt;&gt;"","    HĐ  "&amp;(VLOOKUP($M$7,TM,7,0)))) &amp; "     chứng từ gốc. "</f>
        <v xml:space="preserve">Kèm theo :         HĐ  0006129     chứng từ gốc. </v>
      </c>
      <c r="D15" s="137"/>
      <c r="F15" s="137"/>
      <c r="G15" s="137"/>
      <c r="H15" s="137"/>
      <c r="I15" s="137"/>
      <c r="J15" s="137"/>
      <c r="K15" s="137"/>
      <c r="L15" s="137"/>
      <c r="M15" s="137"/>
      <c r="N15" s="137"/>
      <c r="O15" s="137"/>
      <c r="P15" s="140"/>
    </row>
    <row r="16" spans="1:23">
      <c r="K16" s="141"/>
      <c r="L16" s="141"/>
      <c r="M16" s="153" t="str">
        <f>H5</f>
        <v>Ngày  1  tháng  2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60" t="s">
        <v>125</v>
      </c>
      <c r="H24" s="360" t="str">
        <f>IF($U$4="T","","Phạm Thị Đông")</f>
        <v>Phạm Thị Đông</v>
      </c>
      <c r="J24" s="360" t="s">
        <v>230</v>
      </c>
      <c r="M24" s="360"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56" customWidth="1"/>
    <col min="3" max="4" width="6.5703125" style="156" customWidth="1"/>
    <col min="5" max="5" width="34.5703125" style="156" customWidth="1"/>
    <col min="6" max="6" width="6.28515625" style="156" customWidth="1"/>
    <col min="7" max="8" width="14.42578125" style="156" customWidth="1"/>
    <col min="9" max="9" width="15.7109375" style="156" customWidth="1"/>
    <col min="10" max="10" width="6.28515625" style="156" customWidth="1"/>
    <col min="11" max="11" width="2.140625" style="156" customWidth="1"/>
    <col min="12" max="12" width="10" style="156" customWidth="1"/>
    <col min="13" max="13" width="3.28515625" style="156" customWidth="1"/>
    <col min="14" max="14" width="9.140625" style="156" customWidth="1"/>
    <col min="15" max="16384" width="9.140625" style="156"/>
  </cols>
  <sheetData>
    <row r="1" spans="1:12" s="3" customFormat="1" ht="16.5" customHeight="1">
      <c r="A1" s="182" t="s">
        <v>138</v>
      </c>
      <c r="B1" s="2"/>
      <c r="C1" s="2"/>
      <c r="D1" s="2"/>
      <c r="E1" s="2"/>
      <c r="G1" s="1228" t="s">
        <v>143</v>
      </c>
      <c r="H1" s="1228"/>
      <c r="I1" s="1228"/>
      <c r="J1" s="1228"/>
    </row>
    <row r="2" spans="1:12" s="3" customFormat="1" ht="16.5" customHeight="1">
      <c r="A2" s="137" t="s">
        <v>139</v>
      </c>
      <c r="B2" s="16"/>
      <c r="C2" s="16"/>
      <c r="D2" s="16"/>
      <c r="E2" s="16"/>
      <c r="G2" s="1229" t="s">
        <v>144</v>
      </c>
      <c r="H2" s="1229"/>
      <c r="I2" s="1229"/>
      <c r="J2" s="1229"/>
    </row>
    <row r="3" spans="1:12" s="3" customFormat="1" ht="16.5" customHeight="1">
      <c r="A3" s="4"/>
      <c r="B3" s="16"/>
      <c r="C3" s="154"/>
      <c r="D3" s="154"/>
      <c r="E3" s="16"/>
      <c r="G3" s="1229"/>
      <c r="H3" s="1229"/>
      <c r="I3" s="1229"/>
      <c r="J3" s="1229"/>
    </row>
    <row r="4" spans="1:12" s="3" customFormat="1" ht="6.75" customHeight="1">
      <c r="A4" s="16"/>
      <c r="B4" s="16"/>
      <c r="C4" s="16"/>
      <c r="D4" s="16"/>
      <c r="E4" s="16"/>
      <c r="G4" s="155"/>
      <c r="H4" s="155"/>
      <c r="I4" s="155"/>
      <c r="J4" s="155"/>
    </row>
    <row r="5" spans="1:12" ht="24.75" customHeight="1">
      <c r="A5" s="1238" t="s">
        <v>145</v>
      </c>
      <c r="B5" s="1238"/>
      <c r="C5" s="1238"/>
      <c r="D5" s="1238"/>
      <c r="E5" s="1238"/>
      <c r="F5" s="1238"/>
      <c r="G5" s="1238"/>
      <c r="H5" s="1238"/>
      <c r="I5" s="1238"/>
      <c r="J5" s="1238"/>
    </row>
    <row r="6" spans="1:12" ht="14.25" customHeight="1">
      <c r="A6" s="1240" t="str">
        <f>$L$11&amp;" / 2015"</f>
        <v>1 / 2015</v>
      </c>
      <c r="B6" s="1240"/>
      <c r="C6" s="1240"/>
      <c r="D6" s="1240"/>
      <c r="E6" s="1240"/>
      <c r="F6" s="1240"/>
      <c r="G6" s="1240"/>
      <c r="H6" s="1240"/>
      <c r="I6" s="1240"/>
      <c r="J6" s="1240"/>
    </row>
    <row r="7" spans="1:12">
      <c r="A7" s="1239" t="s">
        <v>146</v>
      </c>
      <c r="B7" s="1239"/>
      <c r="C7" s="1239"/>
      <c r="D7" s="1239"/>
      <c r="E7" s="1239"/>
      <c r="F7" s="1239"/>
      <c r="G7" s="1239"/>
      <c r="H7" s="1239"/>
      <c r="I7" s="1239"/>
      <c r="J7" s="1239"/>
    </row>
    <row r="8" spans="1:12">
      <c r="A8" s="1239" t="s">
        <v>147</v>
      </c>
      <c r="B8" s="1239"/>
      <c r="C8" s="1239"/>
      <c r="D8" s="1239"/>
      <c r="E8" s="1239"/>
      <c r="F8" s="1239"/>
      <c r="G8" s="1239"/>
      <c r="H8" s="1239"/>
      <c r="I8" s="1239"/>
      <c r="J8" s="1239"/>
    </row>
    <row r="9" spans="1:12">
      <c r="A9" s="157"/>
      <c r="I9" s="157" t="s">
        <v>148</v>
      </c>
    </row>
    <row r="10" spans="1:12" ht="33" customHeight="1" thickBot="1">
      <c r="A10" s="1242" t="s">
        <v>22</v>
      </c>
      <c r="B10" s="1242" t="s">
        <v>149</v>
      </c>
      <c r="C10" s="1241" t="s">
        <v>150</v>
      </c>
      <c r="D10" s="1241"/>
      <c r="E10" s="1241" t="s">
        <v>0</v>
      </c>
      <c r="F10" s="1242" t="s">
        <v>16</v>
      </c>
      <c r="G10" s="1241" t="s">
        <v>23</v>
      </c>
      <c r="H10" s="1241"/>
      <c r="I10" s="1241" t="s">
        <v>151</v>
      </c>
      <c r="J10" s="1241" t="s">
        <v>152</v>
      </c>
      <c r="L10" s="183"/>
    </row>
    <row r="11" spans="1:12" ht="24" customHeight="1" thickBot="1">
      <c r="A11" s="1243"/>
      <c r="B11" s="1243"/>
      <c r="C11" s="158" t="s">
        <v>153</v>
      </c>
      <c r="D11" s="158" t="s">
        <v>154</v>
      </c>
      <c r="E11" s="1241"/>
      <c r="F11" s="1243"/>
      <c r="G11" s="158" t="s">
        <v>24</v>
      </c>
      <c r="H11" s="158" t="s">
        <v>25</v>
      </c>
      <c r="I11" s="1241"/>
      <c r="J11" s="1241"/>
      <c r="L11" s="225">
        <v>1</v>
      </c>
    </row>
    <row r="12" spans="1:12" s="159" customFormat="1" ht="11.25" customHeight="1">
      <c r="A12" s="160" t="s">
        <v>2</v>
      </c>
      <c r="B12" s="160" t="s">
        <v>3</v>
      </c>
      <c r="C12" s="160" t="s">
        <v>4</v>
      </c>
      <c r="D12" s="160" t="s">
        <v>5</v>
      </c>
      <c r="E12" s="160" t="s">
        <v>6</v>
      </c>
      <c r="F12" s="160" t="s">
        <v>155</v>
      </c>
      <c r="G12" s="160">
        <v>1</v>
      </c>
      <c r="H12" s="160">
        <v>2</v>
      </c>
      <c r="I12" s="160">
        <v>3</v>
      </c>
      <c r="J12" s="160" t="s">
        <v>156</v>
      </c>
    </row>
    <row r="13" spans="1:12" s="161" customFormat="1" ht="19.5" customHeight="1">
      <c r="A13" s="162"/>
      <c r="B13" s="162"/>
      <c r="C13" s="162"/>
      <c r="D13" s="162"/>
      <c r="E13" s="162" t="s">
        <v>157</v>
      </c>
      <c r="F13" s="163"/>
      <c r="G13" s="164"/>
      <c r="H13" s="162"/>
      <c r="I13" s="184">
        <f>IF($L$11="All",CDPS!$C$10,CDPS!$C$10+SUMIF(_N111,"x",TH)-SUMIF(_C111,"x",TH))</f>
        <v>3705039095</v>
      </c>
      <c r="J13" s="162"/>
    </row>
    <row r="14" spans="1:12" ht="19.5" customHeight="1">
      <c r="A14" s="165">
        <f ca="1">IF(ROWS($1:1)&gt;COUNT(Dong1),"",OFFSET(TH!C$1,SMALL(Dong1,ROWS($1:1)),))</f>
        <v>42371</v>
      </c>
      <c r="B14" s="165">
        <f ca="1">IF(ROWS($1:1)&gt;COUNT(Dong1),"",OFFSET(TH!E$1,SMALL(Dong1,ROWS($1:1)),))</f>
        <v>42368</v>
      </c>
      <c r="C14" s="166" t="str">
        <f ca="1">IF(ROWS($1:1)&gt;COUNT(Dong1),"",IF(OFFSET(TH!N$1,SMALL(Dong1,ROWS($1:1)),)="1111",OFFSET(TH!D$1,SMALL(Dong1,ROWS($1:1)),),""))</f>
        <v/>
      </c>
      <c r="D14" s="167" t="str">
        <f ca="1">IF(ROWS($1:1)&gt;COUNT(Dong1),"",IF(OFFSET(TH!O$1,SMALL(Dong1,ROWS($1:1)),)="1111",OFFSET(TH!D$1,SMALL(Dong1,ROWS($1:1)),),""))</f>
        <v>C01</v>
      </c>
      <c r="E14" s="382" t="str">
        <f ca="1">IF(ROWS($1:1)&gt;COUNT(Dong1),"",OFFSET(TH!F$1,SMALL(Dong1,ROWS($1:1)),))</f>
        <v>Phí cấp cont, hạ bãi</v>
      </c>
      <c r="F14" s="169" t="str">
        <f ca="1">IF(ROWS($1:1)&gt;COUNT(Dong1),"",IF(OFFSET(TH!O$1,SMALL(Dong1,ROWS($1:1)),)="1111",OFFSET(TH!N$1,SMALL(Dong1,ROWS($1:1)),),OFFSET(TH!O$1,SMALL(Dong1,ROWS($1:1)),)))</f>
        <v>642</v>
      </c>
      <c r="G14" s="170">
        <f ca="1">IF(ROWS($1:1)&gt;COUNT(Dong1),"",IF(OFFSET(TH!N$1,SMALL(Dong1,ROWS($1:1)),)="1111",OFFSET(TH!M$1,SMALL(Dong1,ROWS($1:1)),),0))</f>
        <v>0</v>
      </c>
      <c r="H14" s="168">
        <f ca="1">IF(ROWS($1:1)&gt;COUNT(Dong1),"",IF(OFFSET(TH!O$1,SMALL(Dong1,ROWS($1:1)),)="1111",OFFSET(TH!M$1,SMALL(Dong1,ROWS($1:1)),),0))</f>
        <v>4399997</v>
      </c>
      <c r="I14" s="166">
        <f ca="1">IF(E14&lt;&gt;"",I13+G14-H14,0)</f>
        <v>3700639098</v>
      </c>
      <c r="J14" s="171"/>
    </row>
    <row r="15" spans="1:12" ht="19.5" customHeight="1">
      <c r="A15" s="165">
        <f ca="1">IF(ROWS($1:2)&gt;COUNT(Dong1),"",OFFSET(TH!C$1,SMALL(Dong1,ROWS($1:2)),))</f>
        <v>42371</v>
      </c>
      <c r="B15" s="165">
        <f ca="1">IF(ROWS($1:2)&gt;COUNT(Dong1),"",OFFSET(TH!E$1,SMALL(Dong1,ROWS($1:2)),))</f>
        <v>42368</v>
      </c>
      <c r="C15" s="166" t="str">
        <f ca="1">IF(ROWS($1:2)&gt;COUNT(Dong1),"",IF(OFFSET(TH!N$1,SMALL(Dong1,ROWS($1:2)),)="1111",OFFSET(TH!D$1,SMALL(Dong1,ROWS($1:2)),),""))</f>
        <v/>
      </c>
      <c r="D15" s="167" t="str">
        <f ca="1">IF(ROWS($1:2)&gt;COUNT(Dong1),"",IF(OFFSET(TH!O$1,SMALL(Dong1,ROWS($1:2)),)="1111",OFFSET(TH!D$1,SMALL(Dong1,ROWS($1:2)),),""))</f>
        <v>C01</v>
      </c>
      <c r="E15" s="382" t="str">
        <f ca="1">IF(ROWS($1:2)&gt;COUNT(Dong1),"",OFFSET(TH!F$1,SMALL(Dong1,ROWS($1:2)),))</f>
        <v>VAT Phí cấp cont, hạ bãi</v>
      </c>
      <c r="F15" s="169" t="str">
        <f ca="1">IF(ROWS($1:2)&gt;COUNT(Dong1),"",IF(OFFSET(TH!O$1,SMALL(Dong1,ROWS($1:2)),)="1111",OFFSET(TH!N$1,SMALL(Dong1,ROWS($1:2)),),OFFSET(TH!O$1,SMALL(Dong1,ROWS($1:2)),)))</f>
        <v>1331</v>
      </c>
      <c r="G15" s="170">
        <f ca="1">IF(ROWS($1:2)&gt;COUNT(Dong1),"",IF(OFFSET(TH!N$1,SMALL(Dong1,ROWS($1:2)),)="1111",OFFSET(TH!M$1,SMALL(Dong1,ROWS($1:2)),),0))</f>
        <v>0</v>
      </c>
      <c r="H15" s="168">
        <f ca="1">IF(ROWS($1:2)&gt;COUNT(Dong1),"",IF(OFFSET(TH!O$1,SMALL(Dong1,ROWS($1:2)),)="1111",OFFSET(TH!M$1,SMALL(Dong1,ROWS($1:2)),),0))</f>
        <v>440003</v>
      </c>
      <c r="I15" s="166">
        <f t="shared" ref="I15:I78" ca="1" si="0">IF(E15&lt;&gt;"",I14+G15-H15,0)</f>
        <v>3700199095</v>
      </c>
      <c r="J15" s="171"/>
    </row>
    <row r="16" spans="1:12" ht="19.5" customHeight="1">
      <c r="A16" s="165">
        <f ca="1">IF(ROWS($1:3)&gt;COUNT(Dong1),"",OFFSET(TH!C$1,SMALL(Dong1,ROWS($1:3)),))</f>
        <v>42371</v>
      </c>
      <c r="B16" s="165">
        <f ca="1">IF(ROWS($1:3)&gt;COUNT(Dong1),"",OFFSET(TH!E$1,SMALL(Dong1,ROWS($1:3)),))</f>
        <v>42369</v>
      </c>
      <c r="C16" s="166" t="str">
        <f ca="1">IF(ROWS($1:3)&gt;COUNT(Dong1),"",IF(OFFSET(TH!N$1,SMALL(Dong1,ROWS($1:3)),)="1111",OFFSET(TH!D$1,SMALL(Dong1,ROWS($1:3)),),""))</f>
        <v/>
      </c>
      <c r="D16" s="167" t="str">
        <f ca="1">IF(ROWS($1:3)&gt;COUNT(Dong1),"",IF(OFFSET(TH!O$1,SMALL(Dong1,ROWS($1:3)),)="1111",OFFSET(TH!D$1,SMALL(Dong1,ROWS($1:3)),),""))</f>
        <v>C02</v>
      </c>
      <c r="E16" s="382" t="str">
        <f ca="1">IF(ROWS($1:3)&gt;COUNT(Dong1),"",OFFSET(TH!F$1,SMALL(Dong1,ROWS($1:3)),))</f>
        <v xml:space="preserve">Cước CPN </v>
      </c>
      <c r="F16" s="169" t="str">
        <f ca="1">IF(ROWS($1:3)&gt;COUNT(Dong1),"",IF(OFFSET(TH!O$1,SMALL(Dong1,ROWS($1:3)),)="1111",OFFSET(TH!N$1,SMALL(Dong1,ROWS($1:3)),),OFFSET(TH!O$1,SMALL(Dong1,ROWS($1:3)),)))</f>
        <v>642</v>
      </c>
      <c r="G16" s="170">
        <f ca="1">IF(ROWS($1:3)&gt;COUNT(Dong1),"",IF(OFFSET(TH!N$1,SMALL(Dong1,ROWS($1:3)),)="1111",OFFSET(TH!M$1,SMALL(Dong1,ROWS($1:3)),),0))</f>
        <v>0</v>
      </c>
      <c r="H16" s="168">
        <f ca="1">IF(ROWS($1:3)&gt;COUNT(Dong1),"",IF(OFFSET(TH!O$1,SMALL(Dong1,ROWS($1:3)),)="1111",OFFSET(TH!M$1,SMALL(Dong1,ROWS($1:3)),),0))</f>
        <v>47150</v>
      </c>
      <c r="I16" s="166">
        <f t="shared" ca="1" si="0"/>
        <v>3700151945</v>
      </c>
      <c r="J16" s="171"/>
    </row>
    <row r="17" spans="1:10" ht="19.5" customHeight="1">
      <c r="A17" s="165">
        <f ca="1">IF(ROWS($1:4)&gt;COUNT(Dong1),"",OFFSET(TH!C$1,SMALL(Dong1,ROWS($1:4)),))</f>
        <v>42371</v>
      </c>
      <c r="B17" s="165">
        <f ca="1">IF(ROWS($1:4)&gt;COUNT(Dong1),"",OFFSET(TH!E$1,SMALL(Dong1,ROWS($1:4)),))</f>
        <v>42369</v>
      </c>
      <c r="C17" s="166" t="str">
        <f ca="1">IF(ROWS($1:4)&gt;COUNT(Dong1),"",IF(OFFSET(TH!N$1,SMALL(Dong1,ROWS($1:4)),)="1111",OFFSET(TH!D$1,SMALL(Dong1,ROWS($1:4)),),""))</f>
        <v/>
      </c>
      <c r="D17" s="167" t="str">
        <f ca="1">IF(ROWS($1:4)&gt;COUNT(Dong1),"",IF(OFFSET(TH!O$1,SMALL(Dong1,ROWS($1:4)),)="1111",OFFSET(TH!D$1,SMALL(Dong1,ROWS($1:4)),),""))</f>
        <v>C02</v>
      </c>
      <c r="E17" s="382" t="str">
        <f ca="1">IF(ROWS($1:4)&gt;COUNT(Dong1),"",OFFSET(TH!F$1,SMALL(Dong1,ROWS($1:4)),))</f>
        <v xml:space="preserve">VAT Cước CPN </v>
      </c>
      <c r="F17" s="169" t="str">
        <f ca="1">IF(ROWS($1:4)&gt;COUNT(Dong1),"",IF(OFFSET(TH!O$1,SMALL(Dong1,ROWS($1:4)),)="1111",OFFSET(TH!N$1,SMALL(Dong1,ROWS($1:4)),),OFFSET(TH!O$1,SMALL(Dong1,ROWS($1:4)),)))</f>
        <v>1331</v>
      </c>
      <c r="G17" s="170">
        <f ca="1">IF(ROWS($1:4)&gt;COUNT(Dong1),"",IF(OFFSET(TH!N$1,SMALL(Dong1,ROWS($1:4)),)="1111",OFFSET(TH!M$1,SMALL(Dong1,ROWS($1:4)),),0))</f>
        <v>0</v>
      </c>
      <c r="H17" s="168">
        <f ca="1">IF(ROWS($1:4)&gt;COUNT(Dong1),"",IF(OFFSET(TH!O$1,SMALL(Dong1,ROWS($1:4)),)="1111",OFFSET(TH!M$1,SMALL(Dong1,ROWS($1:4)),),0))</f>
        <v>4715</v>
      </c>
      <c r="I17" s="166">
        <f t="shared" ca="1" si="0"/>
        <v>3700147230</v>
      </c>
      <c r="J17" s="171"/>
    </row>
    <row r="18" spans="1:10" ht="19.5" customHeight="1">
      <c r="A18" s="165">
        <f ca="1">IF(ROWS($1:5)&gt;COUNT(Dong1),"",OFFSET(TH!C$1,SMALL(Dong1,ROWS($1:5)),))</f>
        <v>42371</v>
      </c>
      <c r="B18" s="165">
        <f ca="1">IF(ROWS($1:5)&gt;COUNT(Dong1),"",OFFSET(TH!E$1,SMALL(Dong1,ROWS($1:5)),))</f>
        <v>42367</v>
      </c>
      <c r="C18" s="166" t="str">
        <f ca="1">IF(ROWS($1:5)&gt;COUNT(Dong1),"",IF(OFFSET(TH!N$1,SMALL(Dong1,ROWS($1:5)),)="1111",OFFSET(TH!D$1,SMALL(Dong1,ROWS($1:5)),),""))</f>
        <v/>
      </c>
      <c r="D18" s="167" t="str">
        <f ca="1">IF(ROWS($1:5)&gt;COUNT(Dong1),"",IF(OFFSET(TH!O$1,SMALL(Dong1,ROWS($1:5)),)="1111",OFFSET(TH!D$1,SMALL(Dong1,ROWS($1:5)),),""))</f>
        <v>C03</v>
      </c>
      <c r="E18" s="382" t="str">
        <f ca="1">IF(ROWS($1:5)&gt;COUNT(Dong1),"",OFFSET(TH!F$1,SMALL(Dong1,ROWS($1:5)),))</f>
        <v>Phí cấp cont, hạ bãi</v>
      </c>
      <c r="F18" s="169" t="str">
        <f ca="1">IF(ROWS($1:5)&gt;COUNT(Dong1),"",IF(OFFSET(TH!O$1,SMALL(Dong1,ROWS($1:5)),)="1111",OFFSET(TH!N$1,SMALL(Dong1,ROWS($1:5)),),OFFSET(TH!O$1,SMALL(Dong1,ROWS($1:5)),)))</f>
        <v>642</v>
      </c>
      <c r="G18" s="170">
        <f ca="1">IF(ROWS($1:5)&gt;COUNT(Dong1),"",IF(OFFSET(TH!N$1,SMALL(Dong1,ROWS($1:5)),)="1111",OFFSET(TH!M$1,SMALL(Dong1,ROWS($1:5)),),0))</f>
        <v>0</v>
      </c>
      <c r="H18" s="168">
        <f ca="1">IF(ROWS($1:5)&gt;COUNT(Dong1),"",IF(OFFSET(TH!O$1,SMALL(Dong1,ROWS($1:5)),)="1111",OFFSET(TH!M$1,SMALL(Dong1,ROWS($1:5)),),0))</f>
        <v>2090910</v>
      </c>
      <c r="I18" s="166">
        <f t="shared" ca="1" si="0"/>
        <v>3698056320</v>
      </c>
      <c r="J18" s="171"/>
    </row>
    <row r="19" spans="1:10" ht="19.5" customHeight="1">
      <c r="A19" s="165">
        <f ca="1">IF(ROWS($1:6)&gt;COUNT(Dong1),"",OFFSET(TH!C$1,SMALL(Dong1,ROWS($1:6)),))</f>
        <v>42371</v>
      </c>
      <c r="B19" s="165">
        <f ca="1">IF(ROWS($1:6)&gt;COUNT(Dong1),"",OFFSET(TH!E$1,SMALL(Dong1,ROWS($1:6)),))</f>
        <v>42367</v>
      </c>
      <c r="C19" s="166" t="str">
        <f ca="1">IF(ROWS($1:6)&gt;COUNT(Dong1),"",IF(OFFSET(TH!N$1,SMALL(Dong1,ROWS($1:6)),)="1111",OFFSET(TH!D$1,SMALL(Dong1,ROWS($1:6)),),""))</f>
        <v/>
      </c>
      <c r="D19" s="167" t="str">
        <f ca="1">IF(ROWS($1:6)&gt;COUNT(Dong1),"",IF(OFFSET(TH!O$1,SMALL(Dong1,ROWS($1:6)),)="1111",OFFSET(TH!D$1,SMALL(Dong1,ROWS($1:6)),),""))</f>
        <v>C03</v>
      </c>
      <c r="E19" s="382" t="str">
        <f ca="1">IF(ROWS($1:6)&gt;COUNT(Dong1),"",OFFSET(TH!F$1,SMALL(Dong1,ROWS($1:6)),))</f>
        <v>VAT Phí cấp cont, hạ bãi</v>
      </c>
      <c r="F19" s="169" t="str">
        <f ca="1">IF(ROWS($1:6)&gt;COUNT(Dong1),"",IF(OFFSET(TH!O$1,SMALL(Dong1,ROWS($1:6)),)="1111",OFFSET(TH!N$1,SMALL(Dong1,ROWS($1:6)),),OFFSET(TH!O$1,SMALL(Dong1,ROWS($1:6)),)))</f>
        <v>1331</v>
      </c>
      <c r="G19" s="170">
        <f ca="1">IF(ROWS($1:6)&gt;COUNT(Dong1),"",IF(OFFSET(TH!N$1,SMALL(Dong1,ROWS($1:6)),)="1111",OFFSET(TH!M$1,SMALL(Dong1,ROWS($1:6)),),0))</f>
        <v>0</v>
      </c>
      <c r="H19" s="168">
        <f ca="1">IF(ROWS($1:6)&gt;COUNT(Dong1),"",IF(OFFSET(TH!O$1,SMALL(Dong1,ROWS($1:6)),)="1111",OFFSET(TH!M$1,SMALL(Dong1,ROWS($1:6)),),0))</f>
        <v>209090</v>
      </c>
      <c r="I19" s="166">
        <f t="shared" ca="1" si="0"/>
        <v>3697847230</v>
      </c>
      <c r="J19" s="171"/>
    </row>
    <row r="20" spans="1:10" ht="19.5" customHeight="1">
      <c r="A20" s="165">
        <f ca="1">IF(ROWS($1:7)&gt;COUNT(Dong1),"",OFFSET(TH!C$1,SMALL(Dong1,ROWS($1:7)),))</f>
        <v>42371</v>
      </c>
      <c r="B20" s="165">
        <f ca="1">IF(ROWS($1:7)&gt;COUNT(Dong1),"",OFFSET(TH!E$1,SMALL(Dong1,ROWS($1:7)),))</f>
        <v>42367</v>
      </c>
      <c r="C20" s="166" t="str">
        <f ca="1">IF(ROWS($1:7)&gt;COUNT(Dong1),"",IF(OFFSET(TH!N$1,SMALL(Dong1,ROWS($1:7)),)="1111",OFFSET(TH!D$1,SMALL(Dong1,ROWS($1:7)),),""))</f>
        <v/>
      </c>
      <c r="D20" s="167" t="str">
        <f ca="1">IF(ROWS($1:7)&gt;COUNT(Dong1),"",IF(OFFSET(TH!O$1,SMALL(Dong1,ROWS($1:7)),)="1111",OFFSET(TH!D$1,SMALL(Dong1,ROWS($1:7)),),""))</f>
        <v>C04</v>
      </c>
      <c r="E20" s="382" t="str">
        <f ca="1">IF(ROWS($1:7)&gt;COUNT(Dong1),"",OFFSET(TH!F$1,SMALL(Dong1,ROWS($1:7)),))</f>
        <v>Cước vận chuyển</v>
      </c>
      <c r="F20" s="169" t="str">
        <f ca="1">IF(ROWS($1:7)&gt;COUNT(Dong1),"",IF(OFFSET(TH!O$1,SMALL(Dong1,ROWS($1:7)),)="1111",OFFSET(TH!N$1,SMALL(Dong1,ROWS($1:7)),),OFFSET(TH!O$1,SMALL(Dong1,ROWS($1:7)),)))</f>
        <v>642</v>
      </c>
      <c r="G20" s="170">
        <f ca="1">IF(ROWS($1:7)&gt;COUNT(Dong1),"",IF(OFFSET(TH!N$1,SMALL(Dong1,ROWS($1:7)),)="1111",OFFSET(TH!M$1,SMALL(Dong1,ROWS($1:7)),),0))</f>
        <v>0</v>
      </c>
      <c r="H20" s="168">
        <f ca="1">IF(ROWS($1:7)&gt;COUNT(Dong1),"",IF(OFFSET(TH!O$1,SMALL(Dong1,ROWS($1:7)),)="1111",OFFSET(TH!M$1,SMALL(Dong1,ROWS($1:7)),),0))</f>
        <v>12000000</v>
      </c>
      <c r="I20" s="166">
        <f t="shared" ca="1" si="0"/>
        <v>3685847230</v>
      </c>
      <c r="J20" s="171"/>
    </row>
    <row r="21" spans="1:10" ht="19.5" customHeight="1">
      <c r="A21" s="165">
        <f ca="1">IF(ROWS($1:8)&gt;COUNT(Dong1),"",OFFSET(TH!C$1,SMALL(Dong1,ROWS($1:8)),))</f>
        <v>42371</v>
      </c>
      <c r="B21" s="165">
        <f ca="1">IF(ROWS($1:8)&gt;COUNT(Dong1),"",OFFSET(TH!E$1,SMALL(Dong1,ROWS($1:8)),))</f>
        <v>42367</v>
      </c>
      <c r="C21" s="166" t="str">
        <f ca="1">IF(ROWS($1:8)&gt;COUNT(Dong1),"",IF(OFFSET(TH!N$1,SMALL(Dong1,ROWS($1:8)),)="1111",OFFSET(TH!D$1,SMALL(Dong1,ROWS($1:8)),),""))</f>
        <v/>
      </c>
      <c r="D21" s="167" t="str">
        <f ca="1">IF(ROWS($1:8)&gt;COUNT(Dong1),"",IF(OFFSET(TH!O$1,SMALL(Dong1,ROWS($1:8)),)="1111",OFFSET(TH!D$1,SMALL(Dong1,ROWS($1:8)),),""))</f>
        <v>C04</v>
      </c>
      <c r="E21" s="382" t="str">
        <f ca="1">IF(ROWS($1:8)&gt;COUNT(Dong1),"",OFFSET(TH!F$1,SMALL(Dong1,ROWS($1:8)),))</f>
        <v>VAT Cước vận chuyển</v>
      </c>
      <c r="F21" s="169" t="str">
        <f ca="1">IF(ROWS($1:8)&gt;COUNT(Dong1),"",IF(OFFSET(TH!O$1,SMALL(Dong1,ROWS($1:8)),)="1111",OFFSET(TH!N$1,SMALL(Dong1,ROWS($1:8)),),OFFSET(TH!O$1,SMALL(Dong1,ROWS($1:8)),)))</f>
        <v>1331</v>
      </c>
      <c r="G21" s="170">
        <f ca="1">IF(ROWS($1:8)&gt;COUNT(Dong1),"",IF(OFFSET(TH!N$1,SMALL(Dong1,ROWS($1:8)),)="1111",OFFSET(TH!M$1,SMALL(Dong1,ROWS($1:8)),),0))</f>
        <v>0</v>
      </c>
      <c r="H21" s="168">
        <f ca="1">IF(ROWS($1:8)&gt;COUNT(Dong1),"",IF(OFFSET(TH!O$1,SMALL(Dong1,ROWS($1:8)),)="1111",OFFSET(TH!M$1,SMALL(Dong1,ROWS($1:8)),),0))</f>
        <v>1200000</v>
      </c>
      <c r="I21" s="166">
        <f t="shared" ca="1" si="0"/>
        <v>3684647230</v>
      </c>
      <c r="J21" s="171"/>
    </row>
    <row r="22" spans="1:10" ht="19.5" customHeight="1">
      <c r="A22" s="165">
        <f ca="1">IF(ROWS($1:9)&gt;COUNT(Dong1),"",OFFSET(TH!C$1,SMALL(Dong1,ROWS($1:9)),))</f>
        <v>42371</v>
      </c>
      <c r="B22" s="165">
        <f ca="1">IF(ROWS($1:9)&gt;COUNT(Dong1),"",OFFSET(TH!E$1,SMALL(Dong1,ROWS($1:9)),))</f>
        <v>42370</v>
      </c>
      <c r="C22" s="166" t="str">
        <f ca="1">IF(ROWS($1:9)&gt;COUNT(Dong1),"",IF(OFFSET(TH!N$1,SMALL(Dong1,ROWS($1:9)),)="1111",OFFSET(TH!D$1,SMALL(Dong1,ROWS($1:9)),),""))</f>
        <v/>
      </c>
      <c r="D22" s="167" t="str">
        <f ca="1">IF(ROWS($1:9)&gt;COUNT(Dong1),"",IF(OFFSET(TH!O$1,SMALL(Dong1,ROWS($1:9)),)="1111",OFFSET(TH!D$1,SMALL(Dong1,ROWS($1:9)),),""))</f>
        <v>C05</v>
      </c>
      <c r="E22" s="382" t="str">
        <f ca="1">IF(ROWS($1:9)&gt;COUNT(Dong1),"",OFFSET(TH!F$1,SMALL(Dong1,ROWS($1:9)),))</f>
        <v>Dầu DO</v>
      </c>
      <c r="F22" s="169" t="str">
        <f ca="1">IF(ROWS($1:9)&gt;COUNT(Dong1),"",IF(OFFSET(TH!O$1,SMALL(Dong1,ROWS($1:9)),)="1111",OFFSET(TH!N$1,SMALL(Dong1,ROWS($1:9)),),OFFSET(TH!O$1,SMALL(Dong1,ROWS($1:9)),)))</f>
        <v>642</v>
      </c>
      <c r="G22" s="170">
        <f ca="1">IF(ROWS($1:9)&gt;COUNT(Dong1),"",IF(OFFSET(TH!N$1,SMALL(Dong1,ROWS($1:9)),)="1111",OFFSET(TH!M$1,SMALL(Dong1,ROWS($1:9)),),0))</f>
        <v>0</v>
      </c>
      <c r="H22" s="168">
        <f ca="1">IF(ROWS($1:9)&gt;COUNT(Dong1),"",IF(OFFSET(TH!O$1,SMALL(Dong1,ROWS($1:9)),)="1111",OFFSET(TH!M$1,SMALL(Dong1,ROWS($1:9)),),0))</f>
        <v>620782</v>
      </c>
      <c r="I22" s="166">
        <f t="shared" ca="1" si="0"/>
        <v>3684026448</v>
      </c>
      <c r="J22" s="171"/>
    </row>
    <row r="23" spans="1:10" ht="19.5" customHeight="1">
      <c r="A23" s="165">
        <f ca="1">IF(ROWS($1:10)&gt;COUNT(Dong1),"",OFFSET(TH!C$1,SMALL(Dong1,ROWS($1:10)),))</f>
        <v>42371</v>
      </c>
      <c r="B23" s="165">
        <f ca="1">IF(ROWS($1:10)&gt;COUNT(Dong1),"",OFFSET(TH!E$1,SMALL(Dong1,ROWS($1:10)),))</f>
        <v>42370</v>
      </c>
      <c r="C23" s="166" t="str">
        <f ca="1">IF(ROWS($1:10)&gt;COUNT(Dong1),"",IF(OFFSET(TH!N$1,SMALL(Dong1,ROWS($1:10)),)="1111",OFFSET(TH!D$1,SMALL(Dong1,ROWS($1:10)),),""))</f>
        <v/>
      </c>
      <c r="D23" s="167" t="str">
        <f ca="1">IF(ROWS($1:10)&gt;COUNT(Dong1),"",IF(OFFSET(TH!O$1,SMALL(Dong1,ROWS($1:10)),)="1111",OFFSET(TH!D$1,SMALL(Dong1,ROWS($1:10)),),""))</f>
        <v>C05</v>
      </c>
      <c r="E23" s="382" t="str">
        <f ca="1">IF(ROWS($1:10)&gt;COUNT(Dong1),"",OFFSET(TH!F$1,SMALL(Dong1,ROWS($1:10)),))</f>
        <v>VAT Dầu DO</v>
      </c>
      <c r="F23" s="169" t="str">
        <f ca="1">IF(ROWS($1:10)&gt;COUNT(Dong1),"",IF(OFFSET(TH!O$1,SMALL(Dong1,ROWS($1:10)),)="1111",OFFSET(TH!N$1,SMALL(Dong1,ROWS($1:10)),),OFFSET(TH!O$1,SMALL(Dong1,ROWS($1:10)),)))</f>
        <v>1331</v>
      </c>
      <c r="G23" s="170">
        <f ca="1">IF(ROWS($1:10)&gt;COUNT(Dong1),"",IF(OFFSET(TH!N$1,SMALL(Dong1,ROWS($1:10)),)="1111",OFFSET(TH!M$1,SMALL(Dong1,ROWS($1:10)),),0))</f>
        <v>0</v>
      </c>
      <c r="H23" s="168">
        <f ca="1">IF(ROWS($1:10)&gt;COUNT(Dong1),"",IF(OFFSET(TH!O$1,SMALL(Dong1,ROWS($1:10)),)="1111",OFFSET(TH!M$1,SMALL(Dong1,ROWS($1:10)),),0))</f>
        <v>62078</v>
      </c>
      <c r="I23" s="166">
        <f t="shared" ca="1" si="0"/>
        <v>3683964370</v>
      </c>
      <c r="J23" s="171"/>
    </row>
    <row r="24" spans="1:10" ht="19.5" customHeight="1">
      <c r="A24" s="165">
        <f ca="1">IF(ROWS($1:11)&gt;COUNT(Dong1),"",OFFSET(TH!C$1,SMALL(Dong1,ROWS($1:11)),))</f>
        <v>42371</v>
      </c>
      <c r="B24" s="165">
        <f ca="1">IF(ROWS($1:11)&gt;COUNT(Dong1),"",OFFSET(TH!E$1,SMALL(Dong1,ROWS($1:11)),))</f>
        <v>42370</v>
      </c>
      <c r="C24" s="166" t="str">
        <f ca="1">IF(ROWS($1:11)&gt;COUNT(Dong1),"",IF(OFFSET(TH!N$1,SMALL(Dong1,ROWS($1:11)),)="1111",OFFSET(TH!D$1,SMALL(Dong1,ROWS($1:11)),),""))</f>
        <v/>
      </c>
      <c r="D24" s="167" t="str">
        <f ca="1">IF(ROWS($1:11)&gt;COUNT(Dong1),"",IF(OFFSET(TH!O$1,SMALL(Dong1,ROWS($1:11)),)="1111",OFFSET(TH!D$1,SMALL(Dong1,ROWS($1:11)),),""))</f>
        <v>C06</v>
      </c>
      <c r="E24" s="382" t="str">
        <f ca="1">IF(ROWS($1:11)&gt;COUNT(Dong1),"",OFFSET(TH!F$1,SMALL(Dong1,ROWS($1:11)),))</f>
        <v>Thanh toán tiền diệt chuột</v>
      </c>
      <c r="F24" s="169" t="str">
        <f ca="1">IF(ROWS($1:11)&gt;COUNT(Dong1),"",IF(OFFSET(TH!O$1,SMALL(Dong1,ROWS($1:11)),)="1111",OFFSET(TH!N$1,SMALL(Dong1,ROWS($1:11)),),OFFSET(TH!O$1,SMALL(Dong1,ROWS($1:11)),)))</f>
        <v>331</v>
      </c>
      <c r="G24" s="170">
        <f ca="1">IF(ROWS($1:11)&gt;COUNT(Dong1),"",IF(OFFSET(TH!N$1,SMALL(Dong1,ROWS($1:11)),)="1111",OFFSET(TH!M$1,SMALL(Dong1,ROWS($1:11)),),0))</f>
        <v>0</v>
      </c>
      <c r="H24" s="168">
        <f ca="1">IF(ROWS($1:11)&gt;COUNT(Dong1),"",IF(OFFSET(TH!O$1,SMALL(Dong1,ROWS($1:11)),)="1111",OFFSET(TH!M$1,SMALL(Dong1,ROWS($1:11)),),0))</f>
        <v>7500000</v>
      </c>
      <c r="I24" s="166">
        <f t="shared" ca="1" si="0"/>
        <v>3676464370</v>
      </c>
      <c r="J24" s="171"/>
    </row>
    <row r="25" spans="1:10" ht="19.5" customHeight="1">
      <c r="A25" s="165">
        <f ca="1">IF(ROWS($1:12)&gt;COUNT(Dong1),"",OFFSET(TH!C$1,SMALL(Dong1,ROWS($1:12)),))</f>
        <v>42373</v>
      </c>
      <c r="B25" s="165">
        <f ca="1">IF(ROWS($1:12)&gt;COUNT(Dong1),"",OFFSET(TH!E$1,SMALL(Dong1,ROWS($1:12)),))</f>
        <v>42373</v>
      </c>
      <c r="C25" s="166" t="str">
        <f ca="1">IF(ROWS($1:12)&gt;COUNT(Dong1),"",IF(OFFSET(TH!N$1,SMALL(Dong1,ROWS($1:12)),)="1111",OFFSET(TH!D$1,SMALL(Dong1,ROWS($1:12)),),""))</f>
        <v>T01</v>
      </c>
      <c r="D25" s="167" t="str">
        <f ca="1">IF(ROWS($1:12)&gt;COUNT(Dong1),"",IF(OFFSET(TH!O$1,SMALL(Dong1,ROWS($1:12)),)="1111",OFFSET(TH!D$1,SMALL(Dong1,ROWS($1:12)),),""))</f>
        <v/>
      </c>
      <c r="E25" s="382" t="str">
        <f ca="1">IF(ROWS($1:12)&gt;COUNT(Dong1),"",OFFSET(TH!F$1,SMALL(Dong1,ROWS($1:12)),))</f>
        <v>Q4 - Rút tiền gửi NH nhập quỹ TM</v>
      </c>
      <c r="F25" s="169" t="str">
        <f ca="1">IF(ROWS($1:12)&gt;COUNT(Dong1),"",IF(OFFSET(TH!O$1,SMALL(Dong1,ROWS($1:12)),)="1111",OFFSET(TH!N$1,SMALL(Dong1,ROWS($1:12)),),OFFSET(TH!O$1,SMALL(Dong1,ROWS($1:12)),)))</f>
        <v>1121</v>
      </c>
      <c r="G25" s="170">
        <f ca="1">IF(ROWS($1:12)&gt;COUNT(Dong1),"",IF(OFFSET(TH!N$1,SMALL(Dong1,ROWS($1:12)),)="1111",OFFSET(TH!M$1,SMALL(Dong1,ROWS($1:12)),),0))</f>
        <v>2200000000</v>
      </c>
      <c r="H25" s="168">
        <f ca="1">IF(ROWS($1:12)&gt;COUNT(Dong1),"",IF(OFFSET(TH!O$1,SMALL(Dong1,ROWS($1:12)),)="1111",OFFSET(TH!M$1,SMALL(Dong1,ROWS($1:12)),),0))</f>
        <v>0</v>
      </c>
      <c r="I25" s="166">
        <f t="shared" ca="1" si="0"/>
        <v>5876464370</v>
      </c>
      <c r="J25" s="171"/>
    </row>
    <row r="26" spans="1:10" ht="19.5" customHeight="1">
      <c r="A26" s="165">
        <f ca="1">IF(ROWS($1:13)&gt;COUNT(Dong1),"",OFFSET(TH!C$1,SMALL(Dong1,ROWS($1:13)),))</f>
        <v>42373</v>
      </c>
      <c r="B26" s="165">
        <f ca="1">IF(ROWS($1:13)&gt;COUNT(Dong1),"",OFFSET(TH!E$1,SMALL(Dong1,ROWS($1:13)),))</f>
        <v>42373</v>
      </c>
      <c r="C26" s="166" t="str">
        <f ca="1">IF(ROWS($1:13)&gt;COUNT(Dong1),"",IF(OFFSET(TH!N$1,SMALL(Dong1,ROWS($1:13)),)="1111",OFFSET(TH!D$1,SMALL(Dong1,ROWS($1:13)),),""))</f>
        <v/>
      </c>
      <c r="D26" s="167" t="str">
        <f ca="1">IF(ROWS($1:13)&gt;COUNT(Dong1),"",IF(OFFSET(TH!O$1,SMALL(Dong1,ROWS($1:13)),)="1111",OFFSET(TH!D$1,SMALL(Dong1,ROWS($1:13)),),""))</f>
        <v>C07</v>
      </c>
      <c r="E26" s="382" t="str">
        <f ca="1">IF(ROWS($1:13)&gt;COUNT(Dong1),"",OFFSET(TH!F$1,SMALL(Dong1,ROWS($1:13)),))</f>
        <v>Xi măng Fico</v>
      </c>
      <c r="F26" s="169" t="str">
        <f ca="1">IF(ROWS($1:13)&gt;COUNT(Dong1),"",IF(OFFSET(TH!O$1,SMALL(Dong1,ROWS($1:13)),)="1111",OFFSET(TH!N$1,SMALL(Dong1,ROWS($1:13)),),OFFSET(TH!O$1,SMALL(Dong1,ROWS($1:13)),)))</f>
        <v>2412</v>
      </c>
      <c r="G26" s="170">
        <f ca="1">IF(ROWS($1:13)&gt;COUNT(Dong1),"",IF(OFFSET(TH!N$1,SMALL(Dong1,ROWS($1:13)),)="1111",OFFSET(TH!M$1,SMALL(Dong1,ROWS($1:13)),),0))</f>
        <v>0</v>
      </c>
      <c r="H26" s="168">
        <f ca="1">IF(ROWS($1:13)&gt;COUNT(Dong1),"",IF(OFFSET(TH!O$1,SMALL(Dong1,ROWS($1:13)),)="1111",OFFSET(TH!M$1,SMALL(Dong1,ROWS($1:13)),),0))</f>
        <v>16650000</v>
      </c>
      <c r="I26" s="166">
        <f t="shared" ca="1" si="0"/>
        <v>5859814370</v>
      </c>
      <c r="J26" s="171"/>
    </row>
    <row r="27" spans="1:10" ht="19.5" customHeight="1">
      <c r="A27" s="165">
        <f ca="1">IF(ROWS($1:14)&gt;COUNT(Dong1),"",OFFSET(TH!C$1,SMALL(Dong1,ROWS($1:14)),))</f>
        <v>42373</v>
      </c>
      <c r="B27" s="165">
        <f ca="1">IF(ROWS($1:14)&gt;COUNT(Dong1),"",OFFSET(TH!E$1,SMALL(Dong1,ROWS($1:14)),))</f>
        <v>42373</v>
      </c>
      <c r="C27" s="166" t="str">
        <f ca="1">IF(ROWS($1:14)&gt;COUNT(Dong1),"",IF(OFFSET(TH!N$1,SMALL(Dong1,ROWS($1:14)),)="1111",OFFSET(TH!D$1,SMALL(Dong1,ROWS($1:14)),),""))</f>
        <v/>
      </c>
      <c r="D27" s="167" t="str">
        <f ca="1">IF(ROWS($1:14)&gt;COUNT(Dong1),"",IF(OFFSET(TH!O$1,SMALL(Dong1,ROWS($1:14)),)="1111",OFFSET(TH!D$1,SMALL(Dong1,ROWS($1:14)),),""))</f>
        <v>C07</v>
      </c>
      <c r="E27" s="382" t="str">
        <f ca="1">IF(ROWS($1:14)&gt;COUNT(Dong1),"",OFFSET(TH!F$1,SMALL(Dong1,ROWS($1:14)),))</f>
        <v>VAT Xi măng Fico</v>
      </c>
      <c r="F27" s="169" t="str">
        <f ca="1">IF(ROWS($1:14)&gt;COUNT(Dong1),"",IF(OFFSET(TH!O$1,SMALL(Dong1,ROWS($1:14)),)="1111",OFFSET(TH!N$1,SMALL(Dong1,ROWS($1:14)),),OFFSET(TH!O$1,SMALL(Dong1,ROWS($1:14)),)))</f>
        <v>1331</v>
      </c>
      <c r="G27" s="170">
        <f ca="1">IF(ROWS($1:14)&gt;COUNT(Dong1),"",IF(OFFSET(TH!N$1,SMALL(Dong1,ROWS($1:14)),)="1111",OFFSET(TH!M$1,SMALL(Dong1,ROWS($1:14)),),0))</f>
        <v>0</v>
      </c>
      <c r="H27" s="168">
        <f ca="1">IF(ROWS($1:14)&gt;COUNT(Dong1),"",IF(OFFSET(TH!O$1,SMALL(Dong1,ROWS($1:14)),)="1111",OFFSET(TH!M$1,SMALL(Dong1,ROWS($1:14)),),0))</f>
        <v>1665000</v>
      </c>
      <c r="I27" s="166">
        <f t="shared" ca="1" si="0"/>
        <v>5858149370</v>
      </c>
      <c r="J27" s="171"/>
    </row>
    <row r="28" spans="1:10" ht="19.5" customHeight="1">
      <c r="A28" s="165">
        <f ca="1">IF(ROWS($1:15)&gt;COUNT(Dong1),"",OFFSET(TH!C$1,SMALL(Dong1,ROWS($1:15)),))</f>
        <v>42373</v>
      </c>
      <c r="B28" s="165">
        <f ca="1">IF(ROWS($1:15)&gt;COUNT(Dong1),"",OFFSET(TH!E$1,SMALL(Dong1,ROWS($1:15)),))</f>
        <v>42336</v>
      </c>
      <c r="C28" s="166" t="str">
        <f ca="1">IF(ROWS($1:15)&gt;COUNT(Dong1),"",IF(OFFSET(TH!N$1,SMALL(Dong1,ROWS($1:15)),)="1111",OFFSET(TH!D$1,SMALL(Dong1,ROWS($1:15)),),""))</f>
        <v/>
      </c>
      <c r="D28" s="167" t="str">
        <f ca="1">IF(ROWS($1:15)&gt;COUNT(Dong1),"",IF(OFFSET(TH!O$1,SMALL(Dong1,ROWS($1:15)),)="1111",OFFSET(TH!D$1,SMALL(Dong1,ROWS($1:15)),),""))</f>
        <v>C08</v>
      </c>
      <c r="E28" s="382" t="str">
        <f ca="1">IF(ROWS($1:15)&gt;COUNT(Dong1),"",OFFSET(TH!F$1,SMALL(Dong1,ROWS($1:15)),))</f>
        <v>Cước vận chuyển</v>
      </c>
      <c r="F28" s="169" t="str">
        <f ca="1">IF(ROWS($1:15)&gt;COUNT(Dong1),"",IF(OFFSET(TH!O$1,SMALL(Dong1,ROWS($1:15)),)="1111",OFFSET(TH!N$1,SMALL(Dong1,ROWS($1:15)),),OFFSET(TH!O$1,SMALL(Dong1,ROWS($1:15)),)))</f>
        <v>642</v>
      </c>
      <c r="G28" s="170">
        <f ca="1">IF(ROWS($1:15)&gt;COUNT(Dong1),"",IF(OFFSET(TH!N$1,SMALL(Dong1,ROWS($1:15)),)="1111",OFFSET(TH!M$1,SMALL(Dong1,ROWS($1:15)),),0))</f>
        <v>0</v>
      </c>
      <c r="H28" s="168">
        <f ca="1">IF(ROWS($1:15)&gt;COUNT(Dong1),"",IF(OFFSET(TH!O$1,SMALL(Dong1,ROWS($1:15)),)="1111",OFFSET(TH!M$1,SMALL(Dong1,ROWS($1:15)),),0))</f>
        <v>12000000</v>
      </c>
      <c r="I28" s="166">
        <f t="shared" ca="1" si="0"/>
        <v>5846149370</v>
      </c>
      <c r="J28" s="171"/>
    </row>
    <row r="29" spans="1:10" ht="19.5" customHeight="1">
      <c r="A29" s="165">
        <f ca="1">IF(ROWS($1:16)&gt;COUNT(Dong1),"",OFFSET(TH!C$1,SMALL(Dong1,ROWS($1:16)),))</f>
        <v>42373</v>
      </c>
      <c r="B29" s="165">
        <f ca="1">IF(ROWS($1:16)&gt;COUNT(Dong1),"",OFFSET(TH!E$1,SMALL(Dong1,ROWS($1:16)),))</f>
        <v>42336</v>
      </c>
      <c r="C29" s="166" t="str">
        <f ca="1">IF(ROWS($1:16)&gt;COUNT(Dong1),"",IF(OFFSET(TH!N$1,SMALL(Dong1,ROWS($1:16)),)="1111",OFFSET(TH!D$1,SMALL(Dong1,ROWS($1:16)),),""))</f>
        <v/>
      </c>
      <c r="D29" s="167" t="str">
        <f ca="1">IF(ROWS($1:16)&gt;COUNT(Dong1),"",IF(OFFSET(TH!O$1,SMALL(Dong1,ROWS($1:16)),)="1111",OFFSET(TH!D$1,SMALL(Dong1,ROWS($1:16)),),""))</f>
        <v>C08</v>
      </c>
      <c r="E29" s="382" t="str">
        <f ca="1">IF(ROWS($1:16)&gt;COUNT(Dong1),"",OFFSET(TH!F$1,SMALL(Dong1,ROWS($1:16)),))</f>
        <v>VAT Cước vận chuyển</v>
      </c>
      <c r="F29" s="169" t="str">
        <f ca="1">IF(ROWS($1:16)&gt;COUNT(Dong1),"",IF(OFFSET(TH!O$1,SMALL(Dong1,ROWS($1:16)),)="1111",OFFSET(TH!N$1,SMALL(Dong1,ROWS($1:16)),),OFFSET(TH!O$1,SMALL(Dong1,ROWS($1:16)),)))</f>
        <v>1331</v>
      </c>
      <c r="G29" s="170">
        <f ca="1">IF(ROWS($1:16)&gt;COUNT(Dong1),"",IF(OFFSET(TH!N$1,SMALL(Dong1,ROWS($1:16)),)="1111",OFFSET(TH!M$1,SMALL(Dong1,ROWS($1:16)),),0))</f>
        <v>0</v>
      </c>
      <c r="H29" s="168">
        <f ca="1">IF(ROWS($1:16)&gt;COUNT(Dong1),"",IF(OFFSET(TH!O$1,SMALL(Dong1,ROWS($1:16)),)="1111",OFFSET(TH!M$1,SMALL(Dong1,ROWS($1:16)),),0))</f>
        <v>1200000</v>
      </c>
      <c r="I29" s="166">
        <f t="shared" ca="1" si="0"/>
        <v>5844949370</v>
      </c>
      <c r="J29" s="171"/>
    </row>
    <row r="30" spans="1:10" ht="19.5" customHeight="1">
      <c r="A30" s="165">
        <f ca="1">IF(ROWS($1:17)&gt;COUNT(Dong1),"",OFFSET(TH!C$1,SMALL(Dong1,ROWS($1:17)),))</f>
        <v>42373</v>
      </c>
      <c r="B30" s="165">
        <f ca="1">IF(ROWS($1:17)&gt;COUNT(Dong1),"",OFFSET(TH!E$1,SMALL(Dong1,ROWS($1:17)),))</f>
        <v>42373</v>
      </c>
      <c r="C30" s="166" t="str">
        <f ca="1">IF(ROWS($1:17)&gt;COUNT(Dong1),"",IF(OFFSET(TH!N$1,SMALL(Dong1,ROWS($1:17)),)="1111",OFFSET(TH!D$1,SMALL(Dong1,ROWS($1:17)),),""))</f>
        <v/>
      </c>
      <c r="D30" s="167" t="str">
        <f ca="1">IF(ROWS($1:17)&gt;COUNT(Dong1),"",IF(OFFSET(TH!O$1,SMALL(Dong1,ROWS($1:17)),)="1111",OFFSET(TH!D$1,SMALL(Dong1,ROWS($1:17)),),""))</f>
        <v>C09</v>
      </c>
      <c r="E30" s="382" t="str">
        <f ca="1">IF(ROWS($1:17)&gt;COUNT(Dong1),"",OFFSET(TH!F$1,SMALL(Dong1,ROWS($1:17)),))</f>
        <v>Xăng</v>
      </c>
      <c r="F30" s="169" t="str">
        <f ca="1">IF(ROWS($1:17)&gt;COUNT(Dong1),"",IF(OFFSET(TH!O$1,SMALL(Dong1,ROWS($1:17)),)="1111",OFFSET(TH!N$1,SMALL(Dong1,ROWS($1:17)),),OFFSET(TH!O$1,SMALL(Dong1,ROWS($1:17)),)))</f>
        <v>642</v>
      </c>
      <c r="G30" s="170">
        <f ca="1">IF(ROWS($1:17)&gt;COUNT(Dong1),"",IF(OFFSET(TH!N$1,SMALL(Dong1,ROWS($1:17)),)="1111",OFFSET(TH!M$1,SMALL(Dong1,ROWS($1:17)),),0))</f>
        <v>0</v>
      </c>
      <c r="H30" s="168">
        <f ca="1">IF(ROWS($1:17)&gt;COUNT(Dong1),"",IF(OFFSET(TH!O$1,SMALL(Dong1,ROWS($1:17)),)="1111",OFFSET(TH!M$1,SMALL(Dong1,ROWS($1:17)),),0))</f>
        <v>684000</v>
      </c>
      <c r="I30" s="166">
        <f t="shared" ca="1" si="0"/>
        <v>5844265370</v>
      </c>
      <c r="J30" s="171"/>
    </row>
    <row r="31" spans="1:10" ht="19.5" customHeight="1">
      <c r="A31" s="165">
        <f ca="1">IF(ROWS($1:18)&gt;COUNT(Dong1),"",OFFSET(TH!C$1,SMALL(Dong1,ROWS($1:18)),))</f>
        <v>42373</v>
      </c>
      <c r="B31" s="165">
        <f ca="1">IF(ROWS($1:18)&gt;COUNT(Dong1),"",OFFSET(TH!E$1,SMALL(Dong1,ROWS($1:18)),))</f>
        <v>42373</v>
      </c>
      <c r="C31" s="166" t="str">
        <f ca="1">IF(ROWS($1:18)&gt;COUNT(Dong1),"",IF(OFFSET(TH!N$1,SMALL(Dong1,ROWS($1:18)),)="1111",OFFSET(TH!D$1,SMALL(Dong1,ROWS($1:18)),),""))</f>
        <v/>
      </c>
      <c r="D31" s="167" t="str">
        <f ca="1">IF(ROWS($1:18)&gt;COUNT(Dong1),"",IF(OFFSET(TH!O$1,SMALL(Dong1,ROWS($1:18)),)="1111",OFFSET(TH!D$1,SMALL(Dong1,ROWS($1:18)),),""))</f>
        <v>C09</v>
      </c>
      <c r="E31" s="382" t="str">
        <f ca="1">IF(ROWS($1:18)&gt;COUNT(Dong1),"",OFFSET(TH!F$1,SMALL(Dong1,ROWS($1:18)),))</f>
        <v>VAT Xăng</v>
      </c>
      <c r="F31" s="169" t="str">
        <f ca="1">IF(ROWS($1:18)&gt;COUNT(Dong1),"",IF(OFFSET(TH!O$1,SMALL(Dong1,ROWS($1:18)),)="1111",OFFSET(TH!N$1,SMALL(Dong1,ROWS($1:18)),),OFFSET(TH!O$1,SMALL(Dong1,ROWS($1:18)),)))</f>
        <v>1331</v>
      </c>
      <c r="G31" s="170">
        <f ca="1">IF(ROWS($1:18)&gt;COUNT(Dong1),"",IF(OFFSET(TH!N$1,SMALL(Dong1,ROWS($1:18)),)="1111",OFFSET(TH!M$1,SMALL(Dong1,ROWS($1:18)),),0))</f>
        <v>0</v>
      </c>
      <c r="H31" s="168">
        <f ca="1">IF(ROWS($1:18)&gt;COUNT(Dong1),"",IF(OFFSET(TH!O$1,SMALL(Dong1,ROWS($1:18)),)="1111",OFFSET(TH!M$1,SMALL(Dong1,ROWS($1:18)),),0))</f>
        <v>68400</v>
      </c>
      <c r="I31" s="166">
        <f t="shared" ca="1" si="0"/>
        <v>5844196970</v>
      </c>
      <c r="J31" s="171"/>
    </row>
    <row r="32" spans="1:10" ht="19.5" customHeight="1">
      <c r="A32" s="165">
        <f ca="1">IF(ROWS($1:19)&gt;COUNT(Dong1),"",OFFSET(TH!C$1,SMALL(Dong1,ROWS($1:19)),))</f>
        <v>42373</v>
      </c>
      <c r="B32" s="165">
        <f ca="1">IF(ROWS($1:19)&gt;COUNT(Dong1),"",OFFSET(TH!E$1,SMALL(Dong1,ROWS($1:19)),))</f>
        <v>42373</v>
      </c>
      <c r="C32" s="166" t="str">
        <f ca="1">IF(ROWS($1:19)&gt;COUNT(Dong1),"",IF(OFFSET(TH!N$1,SMALL(Dong1,ROWS($1:19)),)="1111",OFFSET(TH!D$1,SMALL(Dong1,ROWS($1:19)),),""))</f>
        <v/>
      </c>
      <c r="D32" s="167" t="str">
        <f ca="1">IF(ROWS($1:19)&gt;COUNT(Dong1),"",IF(OFFSET(TH!O$1,SMALL(Dong1,ROWS($1:19)),)="1111",OFFSET(TH!D$1,SMALL(Dong1,ROWS($1:19)),),""))</f>
        <v>C10</v>
      </c>
      <c r="E32" s="382" t="str">
        <f ca="1">IF(ROWS($1:19)&gt;COUNT(Dong1),"",OFFSET(TH!F$1,SMALL(Dong1,ROWS($1:19)),))</f>
        <v>Xăng</v>
      </c>
      <c r="F32" s="169" t="str">
        <f ca="1">IF(ROWS($1:19)&gt;COUNT(Dong1),"",IF(OFFSET(TH!O$1,SMALL(Dong1,ROWS($1:19)),)="1111",OFFSET(TH!N$1,SMALL(Dong1,ROWS($1:19)),),OFFSET(TH!O$1,SMALL(Dong1,ROWS($1:19)),)))</f>
        <v>642</v>
      </c>
      <c r="G32" s="170">
        <f ca="1">IF(ROWS($1:19)&gt;COUNT(Dong1),"",IF(OFFSET(TH!N$1,SMALL(Dong1,ROWS($1:19)),)="1111",OFFSET(TH!M$1,SMALL(Dong1,ROWS($1:19)),),0))</f>
        <v>0</v>
      </c>
      <c r="H32" s="168">
        <f ca="1">IF(ROWS($1:19)&gt;COUNT(Dong1),"",IF(OFFSET(TH!O$1,SMALL(Dong1,ROWS($1:19)),)="1111",OFFSET(TH!M$1,SMALL(Dong1,ROWS($1:19)),),0))</f>
        <v>29818</v>
      </c>
      <c r="I32" s="166">
        <f t="shared" ca="1" si="0"/>
        <v>5844167152</v>
      </c>
      <c r="J32" s="171"/>
    </row>
    <row r="33" spans="1:10" ht="19.5" customHeight="1">
      <c r="A33" s="165">
        <f ca="1">IF(ROWS($1:20)&gt;COUNT(Dong1),"",OFFSET(TH!C$1,SMALL(Dong1,ROWS($1:20)),))</f>
        <v>42373</v>
      </c>
      <c r="B33" s="165">
        <f ca="1">IF(ROWS($1:20)&gt;COUNT(Dong1),"",OFFSET(TH!E$1,SMALL(Dong1,ROWS($1:20)),))</f>
        <v>42373</v>
      </c>
      <c r="C33" s="166" t="str">
        <f ca="1">IF(ROWS($1:20)&gt;COUNT(Dong1),"",IF(OFFSET(TH!N$1,SMALL(Dong1,ROWS($1:20)),)="1111",OFFSET(TH!D$1,SMALL(Dong1,ROWS($1:20)),),""))</f>
        <v/>
      </c>
      <c r="D33" s="167" t="str">
        <f ca="1">IF(ROWS($1:20)&gt;COUNT(Dong1),"",IF(OFFSET(TH!O$1,SMALL(Dong1,ROWS($1:20)),)="1111",OFFSET(TH!D$1,SMALL(Dong1,ROWS($1:20)),),""))</f>
        <v>C10</v>
      </c>
      <c r="E33" s="382" t="str">
        <f ca="1">IF(ROWS($1:20)&gt;COUNT(Dong1),"",OFFSET(TH!F$1,SMALL(Dong1,ROWS($1:20)),))</f>
        <v>VAT Xăng</v>
      </c>
      <c r="F33" s="169" t="str">
        <f ca="1">IF(ROWS($1:20)&gt;COUNT(Dong1),"",IF(OFFSET(TH!O$1,SMALL(Dong1,ROWS($1:20)),)="1111",OFFSET(TH!N$1,SMALL(Dong1,ROWS($1:20)),),OFFSET(TH!O$1,SMALL(Dong1,ROWS($1:20)),)))</f>
        <v>1331</v>
      </c>
      <c r="G33" s="170">
        <f ca="1">IF(ROWS($1:20)&gt;COUNT(Dong1),"",IF(OFFSET(TH!N$1,SMALL(Dong1,ROWS($1:20)),)="1111",OFFSET(TH!M$1,SMALL(Dong1,ROWS($1:20)),),0))</f>
        <v>0</v>
      </c>
      <c r="H33" s="168">
        <f ca="1">IF(ROWS($1:20)&gt;COUNT(Dong1),"",IF(OFFSET(TH!O$1,SMALL(Dong1,ROWS($1:20)),)="1111",OFFSET(TH!M$1,SMALL(Dong1,ROWS($1:20)),),0))</f>
        <v>2982</v>
      </c>
      <c r="I33" s="166">
        <f t="shared" ca="1" si="0"/>
        <v>5844164170</v>
      </c>
      <c r="J33" s="171"/>
    </row>
    <row r="34" spans="1:10" ht="19.5" customHeight="1">
      <c r="A34" s="165">
        <f ca="1">IF(ROWS($1:21)&gt;COUNT(Dong1),"",OFFSET(TH!C$1,SMALL(Dong1,ROWS($1:21)),))</f>
        <v>42374</v>
      </c>
      <c r="B34" s="165">
        <f ca="1">IF(ROWS($1:21)&gt;COUNT(Dong1),"",OFFSET(TH!E$1,SMALL(Dong1,ROWS($1:21)),))</f>
        <v>42374</v>
      </c>
      <c r="C34" s="166" t="str">
        <f ca="1">IF(ROWS($1:21)&gt;COUNT(Dong1),"",IF(OFFSET(TH!N$1,SMALL(Dong1,ROWS($1:21)),)="1111",OFFSET(TH!D$1,SMALL(Dong1,ROWS($1:21)),),""))</f>
        <v/>
      </c>
      <c r="D34" s="167" t="str">
        <f ca="1">IF(ROWS($1:21)&gt;COUNT(Dong1),"",IF(OFFSET(TH!O$1,SMALL(Dong1,ROWS($1:21)),)="1111",OFFSET(TH!D$1,SMALL(Dong1,ROWS($1:21)),),""))</f>
        <v>C11</v>
      </c>
      <c r="E34" s="382" t="str">
        <f ca="1">IF(ROWS($1:21)&gt;COUNT(Dong1),"",OFFSET(TH!F$1,SMALL(Dong1,ROWS($1:21)),))</f>
        <v>Gạch ống, cát vàng</v>
      </c>
      <c r="F34" s="169" t="str">
        <f ca="1">IF(ROWS($1:21)&gt;COUNT(Dong1),"",IF(OFFSET(TH!O$1,SMALL(Dong1,ROWS($1:21)),)="1111",OFFSET(TH!N$1,SMALL(Dong1,ROWS($1:21)),),OFFSET(TH!O$1,SMALL(Dong1,ROWS($1:21)),)))</f>
        <v>2412</v>
      </c>
      <c r="G34" s="170">
        <f ca="1">IF(ROWS($1:21)&gt;COUNT(Dong1),"",IF(OFFSET(TH!N$1,SMALL(Dong1,ROWS($1:21)),)="1111",OFFSET(TH!M$1,SMALL(Dong1,ROWS($1:21)),),0))</f>
        <v>0</v>
      </c>
      <c r="H34" s="168">
        <f ca="1">IF(ROWS($1:21)&gt;COUNT(Dong1),"",IF(OFFSET(TH!O$1,SMALL(Dong1,ROWS($1:21)),)="1111",OFFSET(TH!M$1,SMALL(Dong1,ROWS($1:21)),),0))</f>
        <v>16890000</v>
      </c>
      <c r="I34" s="166">
        <f t="shared" ca="1" si="0"/>
        <v>5827274170</v>
      </c>
      <c r="J34" s="171"/>
    </row>
    <row r="35" spans="1:10" ht="19.5" customHeight="1">
      <c r="A35" s="165">
        <f ca="1">IF(ROWS($1:22)&gt;COUNT(Dong1),"",OFFSET(TH!C$1,SMALL(Dong1,ROWS($1:22)),))</f>
        <v>42374</v>
      </c>
      <c r="B35" s="165">
        <f ca="1">IF(ROWS($1:22)&gt;COUNT(Dong1),"",OFFSET(TH!E$1,SMALL(Dong1,ROWS($1:22)),))</f>
        <v>42374</v>
      </c>
      <c r="C35" s="166" t="str">
        <f ca="1">IF(ROWS($1:22)&gt;COUNT(Dong1),"",IF(OFFSET(TH!N$1,SMALL(Dong1,ROWS($1:22)),)="1111",OFFSET(TH!D$1,SMALL(Dong1,ROWS($1:22)),),""))</f>
        <v/>
      </c>
      <c r="D35" s="167" t="str">
        <f ca="1">IF(ROWS($1:22)&gt;COUNT(Dong1),"",IF(OFFSET(TH!O$1,SMALL(Dong1,ROWS($1:22)),)="1111",OFFSET(TH!D$1,SMALL(Dong1,ROWS($1:22)),),""))</f>
        <v>C11</v>
      </c>
      <c r="E35" s="382" t="str">
        <f ca="1">IF(ROWS($1:22)&gt;COUNT(Dong1),"",OFFSET(TH!F$1,SMALL(Dong1,ROWS($1:22)),))</f>
        <v>VAT Gạch ống, cát vàng</v>
      </c>
      <c r="F35" s="169" t="str">
        <f ca="1">IF(ROWS($1:22)&gt;COUNT(Dong1),"",IF(OFFSET(TH!O$1,SMALL(Dong1,ROWS($1:22)),)="1111",OFFSET(TH!N$1,SMALL(Dong1,ROWS($1:22)),),OFFSET(TH!O$1,SMALL(Dong1,ROWS($1:22)),)))</f>
        <v>1331</v>
      </c>
      <c r="G35" s="170">
        <f ca="1">IF(ROWS($1:22)&gt;COUNT(Dong1),"",IF(OFFSET(TH!N$1,SMALL(Dong1,ROWS($1:22)),)="1111",OFFSET(TH!M$1,SMALL(Dong1,ROWS($1:22)),),0))</f>
        <v>0</v>
      </c>
      <c r="H35" s="168">
        <f ca="1">IF(ROWS($1:22)&gt;COUNT(Dong1),"",IF(OFFSET(TH!O$1,SMALL(Dong1,ROWS($1:22)),)="1111",OFFSET(TH!M$1,SMALL(Dong1,ROWS($1:22)),),0))</f>
        <v>1689000</v>
      </c>
      <c r="I35" s="166">
        <f t="shared" ca="1" si="0"/>
        <v>5825585170</v>
      </c>
      <c r="J35" s="171"/>
    </row>
    <row r="36" spans="1:10" ht="19.5" customHeight="1">
      <c r="A36" s="165">
        <f ca="1">IF(ROWS($1:23)&gt;COUNT(Dong1),"",OFFSET(TH!C$1,SMALL(Dong1,ROWS($1:23)),))</f>
        <v>42374</v>
      </c>
      <c r="B36" s="165">
        <f ca="1">IF(ROWS($1:23)&gt;COUNT(Dong1),"",OFFSET(TH!E$1,SMALL(Dong1,ROWS($1:23)),))</f>
        <v>42350</v>
      </c>
      <c r="C36" s="166" t="str">
        <f ca="1">IF(ROWS($1:23)&gt;COUNT(Dong1),"",IF(OFFSET(TH!N$1,SMALL(Dong1,ROWS($1:23)),)="1111",OFFSET(TH!D$1,SMALL(Dong1,ROWS($1:23)),),""))</f>
        <v/>
      </c>
      <c r="D36" s="167" t="str">
        <f ca="1">IF(ROWS($1:23)&gt;COUNT(Dong1),"",IF(OFFSET(TH!O$1,SMALL(Dong1,ROWS($1:23)),)="1111",OFFSET(TH!D$1,SMALL(Dong1,ROWS($1:23)),),""))</f>
        <v>C12</v>
      </c>
      <c r="E36" s="382" t="str">
        <f ca="1">IF(ROWS($1:23)&gt;COUNT(Dong1),"",OFFSET(TH!F$1,SMALL(Dong1,ROWS($1:23)),))</f>
        <v>Cước vận chuyển</v>
      </c>
      <c r="F36" s="169" t="str">
        <f ca="1">IF(ROWS($1:23)&gt;COUNT(Dong1),"",IF(OFFSET(TH!O$1,SMALL(Dong1,ROWS($1:23)),)="1111",OFFSET(TH!N$1,SMALL(Dong1,ROWS($1:23)),),OFFSET(TH!O$1,SMALL(Dong1,ROWS($1:23)),)))</f>
        <v>642</v>
      </c>
      <c r="G36" s="170">
        <f ca="1">IF(ROWS($1:23)&gt;COUNT(Dong1),"",IF(OFFSET(TH!N$1,SMALL(Dong1,ROWS($1:23)),)="1111",OFFSET(TH!M$1,SMALL(Dong1,ROWS($1:23)),),0))</f>
        <v>0</v>
      </c>
      <c r="H36" s="168">
        <f ca="1">IF(ROWS($1:23)&gt;COUNT(Dong1),"",IF(OFFSET(TH!O$1,SMALL(Dong1,ROWS($1:23)),)="1111",OFFSET(TH!M$1,SMALL(Dong1,ROWS($1:23)),),0))</f>
        <v>12000000</v>
      </c>
      <c r="I36" s="166">
        <f t="shared" ca="1" si="0"/>
        <v>5813585170</v>
      </c>
      <c r="J36" s="171"/>
    </row>
    <row r="37" spans="1:10" ht="19.5" customHeight="1">
      <c r="A37" s="165">
        <f ca="1">IF(ROWS($1:24)&gt;COUNT(Dong1),"",OFFSET(TH!C$1,SMALL(Dong1,ROWS($1:24)),))</f>
        <v>42374</v>
      </c>
      <c r="B37" s="165">
        <f ca="1">IF(ROWS($1:24)&gt;COUNT(Dong1),"",OFFSET(TH!E$1,SMALL(Dong1,ROWS($1:24)),))</f>
        <v>42350</v>
      </c>
      <c r="C37" s="166" t="str">
        <f ca="1">IF(ROWS($1:24)&gt;COUNT(Dong1),"",IF(OFFSET(TH!N$1,SMALL(Dong1,ROWS($1:24)),)="1111",OFFSET(TH!D$1,SMALL(Dong1,ROWS($1:24)),),""))</f>
        <v/>
      </c>
      <c r="D37" s="167" t="str">
        <f ca="1">IF(ROWS($1:24)&gt;COUNT(Dong1),"",IF(OFFSET(TH!O$1,SMALL(Dong1,ROWS($1:24)),)="1111",OFFSET(TH!D$1,SMALL(Dong1,ROWS($1:24)),),""))</f>
        <v>C12</v>
      </c>
      <c r="E37" s="382" t="str">
        <f ca="1">IF(ROWS($1:24)&gt;COUNT(Dong1),"",OFFSET(TH!F$1,SMALL(Dong1,ROWS($1:24)),))</f>
        <v>VAT Cước vận chuyển</v>
      </c>
      <c r="F37" s="169" t="str">
        <f ca="1">IF(ROWS($1:24)&gt;COUNT(Dong1),"",IF(OFFSET(TH!O$1,SMALL(Dong1,ROWS($1:24)),)="1111",OFFSET(TH!N$1,SMALL(Dong1,ROWS($1:24)),),OFFSET(TH!O$1,SMALL(Dong1,ROWS($1:24)),)))</f>
        <v>1331</v>
      </c>
      <c r="G37" s="170">
        <f ca="1">IF(ROWS($1:24)&gt;COUNT(Dong1),"",IF(OFFSET(TH!N$1,SMALL(Dong1,ROWS($1:24)),)="1111",OFFSET(TH!M$1,SMALL(Dong1,ROWS($1:24)),),0))</f>
        <v>0</v>
      </c>
      <c r="H37" s="168">
        <f ca="1">IF(ROWS($1:24)&gt;COUNT(Dong1),"",IF(OFFSET(TH!O$1,SMALL(Dong1,ROWS($1:24)),)="1111",OFFSET(TH!M$1,SMALL(Dong1,ROWS($1:24)),),0))</f>
        <v>1200000</v>
      </c>
      <c r="I37" s="166">
        <f t="shared" ca="1" si="0"/>
        <v>5812385170</v>
      </c>
      <c r="J37" s="171"/>
    </row>
    <row r="38" spans="1:10" ht="19.5" customHeight="1">
      <c r="A38" s="165">
        <f ca="1">IF(ROWS($1:25)&gt;COUNT(Dong1),"",OFFSET(TH!C$1,SMALL(Dong1,ROWS($1:25)),))</f>
        <v>42374</v>
      </c>
      <c r="B38" s="165">
        <f ca="1">IF(ROWS($1:25)&gt;COUNT(Dong1),"",OFFSET(TH!E$1,SMALL(Dong1,ROWS($1:25)),))</f>
        <v>42374</v>
      </c>
      <c r="C38" s="166" t="str">
        <f ca="1">IF(ROWS($1:25)&gt;COUNT(Dong1),"",IF(OFFSET(TH!N$1,SMALL(Dong1,ROWS($1:25)),)="1111",OFFSET(TH!D$1,SMALL(Dong1,ROWS($1:25)),),""))</f>
        <v/>
      </c>
      <c r="D38" s="167" t="str">
        <f ca="1">IF(ROWS($1:25)&gt;COUNT(Dong1),"",IF(OFFSET(TH!O$1,SMALL(Dong1,ROWS($1:25)),)="1111",OFFSET(TH!D$1,SMALL(Dong1,ROWS($1:25)),),""))</f>
        <v>C13</v>
      </c>
      <c r="E38" s="382" t="str">
        <f ca="1">IF(ROWS($1:25)&gt;COUNT(Dong1),"",OFFSET(TH!F$1,SMALL(Dong1,ROWS($1:25)),))</f>
        <v>Xăng</v>
      </c>
      <c r="F38" s="169" t="str">
        <f ca="1">IF(ROWS($1:25)&gt;COUNT(Dong1),"",IF(OFFSET(TH!O$1,SMALL(Dong1,ROWS($1:25)),)="1111",OFFSET(TH!N$1,SMALL(Dong1,ROWS($1:25)),),OFFSET(TH!O$1,SMALL(Dong1,ROWS($1:25)),)))</f>
        <v>642</v>
      </c>
      <c r="G38" s="170">
        <f ca="1">IF(ROWS($1:25)&gt;COUNT(Dong1),"",IF(OFFSET(TH!N$1,SMALL(Dong1,ROWS($1:25)),)="1111",OFFSET(TH!M$1,SMALL(Dong1,ROWS($1:25)),),0))</f>
        <v>0</v>
      </c>
      <c r="H38" s="168">
        <f ca="1">IF(ROWS($1:25)&gt;COUNT(Dong1),"",IF(OFFSET(TH!O$1,SMALL(Dong1,ROWS($1:25)),)="1111",OFFSET(TH!M$1,SMALL(Dong1,ROWS($1:25)),),0))</f>
        <v>676700</v>
      </c>
      <c r="I38" s="166">
        <f t="shared" ca="1" si="0"/>
        <v>5811708470</v>
      </c>
      <c r="J38" s="171"/>
    </row>
    <row r="39" spans="1:10" ht="19.5" customHeight="1">
      <c r="A39" s="165">
        <f ca="1">IF(ROWS($1:26)&gt;COUNT(Dong1),"",OFFSET(TH!C$1,SMALL(Dong1,ROWS($1:26)),))</f>
        <v>42374</v>
      </c>
      <c r="B39" s="165">
        <f ca="1">IF(ROWS($1:26)&gt;COUNT(Dong1),"",OFFSET(TH!E$1,SMALL(Dong1,ROWS($1:26)),))</f>
        <v>42374</v>
      </c>
      <c r="C39" s="166" t="str">
        <f ca="1">IF(ROWS($1:26)&gt;COUNT(Dong1),"",IF(OFFSET(TH!N$1,SMALL(Dong1,ROWS($1:26)),)="1111",OFFSET(TH!D$1,SMALL(Dong1,ROWS($1:26)),),""))</f>
        <v/>
      </c>
      <c r="D39" s="167" t="str">
        <f ca="1">IF(ROWS($1:26)&gt;COUNT(Dong1),"",IF(OFFSET(TH!O$1,SMALL(Dong1,ROWS($1:26)),)="1111",OFFSET(TH!D$1,SMALL(Dong1,ROWS($1:26)),),""))</f>
        <v>C13</v>
      </c>
      <c r="E39" s="382" t="str">
        <f ca="1">IF(ROWS($1:26)&gt;COUNT(Dong1),"",OFFSET(TH!F$1,SMALL(Dong1,ROWS($1:26)),))</f>
        <v>VAT Xăng</v>
      </c>
      <c r="F39" s="169" t="str">
        <f ca="1">IF(ROWS($1:26)&gt;COUNT(Dong1),"",IF(OFFSET(TH!O$1,SMALL(Dong1,ROWS($1:26)),)="1111",OFFSET(TH!N$1,SMALL(Dong1,ROWS($1:26)),),OFFSET(TH!O$1,SMALL(Dong1,ROWS($1:26)),)))</f>
        <v>1331</v>
      </c>
      <c r="G39" s="170">
        <f ca="1">IF(ROWS($1:26)&gt;COUNT(Dong1),"",IF(OFFSET(TH!N$1,SMALL(Dong1,ROWS($1:26)),)="1111",OFFSET(TH!M$1,SMALL(Dong1,ROWS($1:26)),),0))</f>
        <v>0</v>
      </c>
      <c r="H39" s="168">
        <f ca="1">IF(ROWS($1:26)&gt;COUNT(Dong1),"",IF(OFFSET(TH!O$1,SMALL(Dong1,ROWS($1:26)),)="1111",OFFSET(TH!M$1,SMALL(Dong1,ROWS($1:26)),),0))</f>
        <v>67670</v>
      </c>
      <c r="I39" s="166">
        <f t="shared" ca="1" si="0"/>
        <v>5811640800</v>
      </c>
      <c r="J39" s="171"/>
    </row>
    <row r="40" spans="1:10" ht="19.5" customHeight="1">
      <c r="A40" s="165">
        <f ca="1">IF(ROWS($1:27)&gt;COUNT(Dong1),"",OFFSET(TH!C$1,SMALL(Dong1,ROWS($1:27)),))</f>
        <v>42374</v>
      </c>
      <c r="B40" s="165">
        <f ca="1">IF(ROWS($1:27)&gt;COUNT(Dong1),"",OFFSET(TH!E$1,SMALL(Dong1,ROWS($1:27)),))</f>
        <v>42374</v>
      </c>
      <c r="C40" s="166" t="str">
        <f ca="1">IF(ROWS($1:27)&gt;COUNT(Dong1),"",IF(OFFSET(TH!N$1,SMALL(Dong1,ROWS($1:27)),)="1111",OFFSET(TH!D$1,SMALL(Dong1,ROWS($1:27)),),""))</f>
        <v/>
      </c>
      <c r="D40" s="167" t="str">
        <f ca="1">IF(ROWS($1:27)&gt;COUNT(Dong1),"",IF(OFFSET(TH!O$1,SMALL(Dong1,ROWS($1:27)),)="1111",OFFSET(TH!D$1,SMALL(Dong1,ROWS($1:27)),),""))</f>
        <v>C14</v>
      </c>
      <c r="E40" s="382" t="str">
        <f ca="1">IF(ROWS($1:27)&gt;COUNT(Dong1),"",OFFSET(TH!F$1,SMALL(Dong1,ROWS($1:27)),))</f>
        <v>Thanh toán tiền đường</v>
      </c>
      <c r="F40" s="169" t="str">
        <f ca="1">IF(ROWS($1:27)&gt;COUNT(Dong1),"",IF(OFFSET(TH!O$1,SMALL(Dong1,ROWS($1:27)),)="1111",OFFSET(TH!N$1,SMALL(Dong1,ROWS($1:27)),),OFFSET(TH!O$1,SMALL(Dong1,ROWS($1:27)),)))</f>
        <v>331</v>
      </c>
      <c r="G40" s="170">
        <f ca="1">IF(ROWS($1:27)&gt;COUNT(Dong1),"",IF(OFFSET(TH!N$1,SMALL(Dong1,ROWS($1:27)),)="1111",OFFSET(TH!M$1,SMALL(Dong1,ROWS($1:27)),),0))</f>
        <v>0</v>
      </c>
      <c r="H40" s="168">
        <f ca="1">IF(ROWS($1:27)&gt;COUNT(Dong1),"",IF(OFFSET(TH!O$1,SMALL(Dong1,ROWS($1:27)),)="1111",OFFSET(TH!M$1,SMALL(Dong1,ROWS($1:27)),),0))</f>
        <v>14250000</v>
      </c>
      <c r="I40" s="166">
        <f t="shared" ca="1" si="0"/>
        <v>5797390800</v>
      </c>
      <c r="J40" s="171"/>
    </row>
    <row r="41" spans="1:10" ht="19.5" customHeight="1">
      <c r="A41" s="165">
        <f ca="1">IF(ROWS($1:28)&gt;COUNT(Dong1),"",OFFSET(TH!C$1,SMALL(Dong1,ROWS($1:28)),))</f>
        <v>42376</v>
      </c>
      <c r="B41" s="165">
        <f ca="1">IF(ROWS($1:28)&gt;COUNT(Dong1),"",OFFSET(TH!E$1,SMALL(Dong1,ROWS($1:28)),))</f>
        <v>42376</v>
      </c>
      <c r="C41" s="166" t="str">
        <f ca="1">IF(ROWS($1:28)&gt;COUNT(Dong1),"",IF(OFFSET(TH!N$1,SMALL(Dong1,ROWS($1:28)),)="1111",OFFSET(TH!D$1,SMALL(Dong1,ROWS($1:28)),),""))</f>
        <v/>
      </c>
      <c r="D41" s="167" t="str">
        <f ca="1">IF(ROWS($1:28)&gt;COUNT(Dong1),"",IF(OFFSET(TH!O$1,SMALL(Dong1,ROWS($1:28)),)="1111",OFFSET(TH!D$1,SMALL(Dong1,ROWS($1:28)),),""))</f>
        <v>C15</v>
      </c>
      <c r="E41" s="382" t="str">
        <f ca="1">IF(ROWS($1:28)&gt;COUNT(Dong1),"",OFFSET(TH!F$1,SMALL(Dong1,ROWS($1:28)),))</f>
        <v>Q11 - Nộp tiền mặt vào TK</v>
      </c>
      <c r="F41" s="169" t="str">
        <f ca="1">IF(ROWS($1:28)&gt;COUNT(Dong1),"",IF(OFFSET(TH!O$1,SMALL(Dong1,ROWS($1:28)),)="1111",OFFSET(TH!N$1,SMALL(Dong1,ROWS($1:28)),),OFFSET(TH!O$1,SMALL(Dong1,ROWS($1:28)),)))</f>
        <v>1121</v>
      </c>
      <c r="G41" s="170">
        <f ca="1">IF(ROWS($1:28)&gt;COUNT(Dong1),"",IF(OFFSET(TH!N$1,SMALL(Dong1,ROWS($1:28)),)="1111",OFFSET(TH!M$1,SMALL(Dong1,ROWS($1:28)),),0))</f>
        <v>0</v>
      </c>
      <c r="H41" s="168">
        <f ca="1">IF(ROWS($1:28)&gt;COUNT(Dong1),"",IF(OFFSET(TH!O$1,SMALL(Dong1,ROWS($1:28)),)="1111",OFFSET(TH!M$1,SMALL(Dong1,ROWS($1:28)),),0))</f>
        <v>50000000</v>
      </c>
      <c r="I41" s="166">
        <f t="shared" ca="1" si="0"/>
        <v>5747390800</v>
      </c>
      <c r="J41" s="171"/>
    </row>
    <row r="42" spans="1:10" ht="19.5" customHeight="1">
      <c r="A42" s="165">
        <f ca="1">IF(ROWS($1:29)&gt;COUNT(Dong1),"",OFFSET(TH!C$1,SMALL(Dong1,ROWS($1:29)),))</f>
        <v>42376</v>
      </c>
      <c r="B42" s="165">
        <f ca="1">IF(ROWS($1:29)&gt;COUNT(Dong1),"",OFFSET(TH!E$1,SMALL(Dong1,ROWS($1:29)),))</f>
        <v>42376</v>
      </c>
      <c r="C42" s="166" t="str">
        <f ca="1">IF(ROWS($1:29)&gt;COUNT(Dong1),"",IF(OFFSET(TH!N$1,SMALL(Dong1,ROWS($1:29)),)="1111",OFFSET(TH!D$1,SMALL(Dong1,ROWS($1:29)),),""))</f>
        <v/>
      </c>
      <c r="D42" s="167" t="str">
        <f ca="1">IF(ROWS($1:29)&gt;COUNT(Dong1),"",IF(OFFSET(TH!O$1,SMALL(Dong1,ROWS($1:29)),)="1111",OFFSET(TH!D$1,SMALL(Dong1,ROWS($1:29)),),""))</f>
        <v>C16</v>
      </c>
      <c r="E42" s="382" t="str">
        <f ca="1">IF(ROWS($1:29)&gt;COUNT(Dong1),"",OFFSET(TH!F$1,SMALL(Dong1,ROWS($1:29)),))</f>
        <v>Bảo dưỡng xe 51F - 080.56</v>
      </c>
      <c r="F42" s="169" t="str">
        <f ca="1">IF(ROWS($1:29)&gt;COUNT(Dong1),"",IF(OFFSET(TH!O$1,SMALL(Dong1,ROWS($1:29)),)="1111",OFFSET(TH!N$1,SMALL(Dong1,ROWS($1:29)),),OFFSET(TH!O$1,SMALL(Dong1,ROWS($1:29)),)))</f>
        <v>642</v>
      </c>
      <c r="G42" s="170">
        <f ca="1">IF(ROWS($1:29)&gt;COUNT(Dong1),"",IF(OFFSET(TH!N$1,SMALL(Dong1,ROWS($1:29)),)="1111",OFFSET(TH!M$1,SMALL(Dong1,ROWS($1:29)),),0))</f>
        <v>0</v>
      </c>
      <c r="H42" s="168">
        <f ca="1">IF(ROWS($1:29)&gt;COUNT(Dong1),"",IF(OFFSET(TH!O$1,SMALL(Dong1,ROWS($1:29)),)="1111",OFFSET(TH!M$1,SMALL(Dong1,ROWS($1:29)),),0))</f>
        <v>1341060</v>
      </c>
      <c r="I42" s="166">
        <f t="shared" ca="1" si="0"/>
        <v>5746049740</v>
      </c>
      <c r="J42" s="171"/>
    </row>
    <row r="43" spans="1:10" ht="19.5" customHeight="1">
      <c r="A43" s="165">
        <f ca="1">IF(ROWS($1:30)&gt;COUNT(Dong1),"",OFFSET(TH!C$1,SMALL(Dong1,ROWS($1:30)),))</f>
        <v>42376</v>
      </c>
      <c r="B43" s="165">
        <f ca="1">IF(ROWS($1:30)&gt;COUNT(Dong1),"",OFFSET(TH!E$1,SMALL(Dong1,ROWS($1:30)),))</f>
        <v>42376</v>
      </c>
      <c r="C43" s="166" t="str">
        <f ca="1">IF(ROWS($1:30)&gt;COUNT(Dong1),"",IF(OFFSET(TH!N$1,SMALL(Dong1,ROWS($1:30)),)="1111",OFFSET(TH!D$1,SMALL(Dong1,ROWS($1:30)),),""))</f>
        <v/>
      </c>
      <c r="D43" s="167" t="str">
        <f ca="1">IF(ROWS($1:30)&gt;COUNT(Dong1),"",IF(OFFSET(TH!O$1,SMALL(Dong1,ROWS($1:30)),)="1111",OFFSET(TH!D$1,SMALL(Dong1,ROWS($1:30)),),""))</f>
        <v>C16</v>
      </c>
      <c r="E43" s="382" t="str">
        <f ca="1">IF(ROWS($1:30)&gt;COUNT(Dong1),"",OFFSET(TH!F$1,SMALL(Dong1,ROWS($1:30)),))</f>
        <v>VAT Bảo dưỡng xe 51F - 080.56</v>
      </c>
      <c r="F43" s="169" t="str">
        <f ca="1">IF(ROWS($1:30)&gt;COUNT(Dong1),"",IF(OFFSET(TH!O$1,SMALL(Dong1,ROWS($1:30)),)="1111",OFFSET(TH!N$1,SMALL(Dong1,ROWS($1:30)),),OFFSET(TH!O$1,SMALL(Dong1,ROWS($1:30)),)))</f>
        <v>1331</v>
      </c>
      <c r="G43" s="170">
        <f ca="1">IF(ROWS($1:30)&gt;COUNT(Dong1),"",IF(OFFSET(TH!N$1,SMALL(Dong1,ROWS($1:30)),)="1111",OFFSET(TH!M$1,SMALL(Dong1,ROWS($1:30)),),0))</f>
        <v>0</v>
      </c>
      <c r="H43" s="168">
        <f ca="1">IF(ROWS($1:30)&gt;COUNT(Dong1),"",IF(OFFSET(TH!O$1,SMALL(Dong1,ROWS($1:30)),)="1111",OFFSET(TH!M$1,SMALL(Dong1,ROWS($1:30)),),0))</f>
        <v>134106</v>
      </c>
      <c r="I43" s="166">
        <f t="shared" ca="1" si="0"/>
        <v>5745915634</v>
      </c>
      <c r="J43" s="171"/>
    </row>
    <row r="44" spans="1:10" ht="19.5" customHeight="1">
      <c r="A44" s="165">
        <f ca="1">IF(ROWS($1:31)&gt;COUNT(Dong1),"",OFFSET(TH!C$1,SMALL(Dong1,ROWS($1:31)),))</f>
        <v>42377</v>
      </c>
      <c r="B44" s="165">
        <f ca="1">IF(ROWS($1:31)&gt;COUNT(Dong1),"",OFFSET(TH!E$1,SMALL(Dong1,ROWS($1:31)),))</f>
        <v>42377</v>
      </c>
      <c r="C44" s="166" t="str">
        <f ca="1">IF(ROWS($1:31)&gt;COUNT(Dong1),"",IF(OFFSET(TH!N$1,SMALL(Dong1,ROWS($1:31)),)="1111",OFFSET(TH!D$1,SMALL(Dong1,ROWS($1:31)),),""))</f>
        <v/>
      </c>
      <c r="D44" s="167" t="str">
        <f ca="1">IF(ROWS($1:31)&gt;COUNT(Dong1),"",IF(OFFSET(TH!O$1,SMALL(Dong1,ROWS($1:31)),)="1111",OFFSET(TH!D$1,SMALL(Dong1,ROWS($1:31)),),""))</f>
        <v>C17</v>
      </c>
      <c r="E44" s="382" t="str">
        <f ca="1">IF(ROWS($1:31)&gt;COUNT(Dong1),"",OFFSET(TH!F$1,SMALL(Dong1,ROWS($1:31)),))</f>
        <v>Máy tính</v>
      </c>
      <c r="F44" s="169" t="str">
        <f ca="1">IF(ROWS($1:31)&gt;COUNT(Dong1),"",IF(OFFSET(TH!O$1,SMALL(Dong1,ROWS($1:31)),)="1111",OFFSET(TH!N$1,SMALL(Dong1,ROWS($1:31)),),OFFSET(TH!O$1,SMALL(Dong1,ROWS($1:31)),)))</f>
        <v>642</v>
      </c>
      <c r="G44" s="170">
        <f ca="1">IF(ROWS($1:31)&gt;COUNT(Dong1),"",IF(OFFSET(TH!N$1,SMALL(Dong1,ROWS($1:31)),)="1111",OFFSET(TH!M$1,SMALL(Dong1,ROWS($1:31)),),0))</f>
        <v>0</v>
      </c>
      <c r="H44" s="168">
        <f ca="1">IF(ROWS($1:31)&gt;COUNT(Dong1),"",IF(OFFSET(TH!O$1,SMALL(Dong1,ROWS($1:31)),)="1111",OFFSET(TH!M$1,SMALL(Dong1,ROWS($1:31)),),0))</f>
        <v>5363636</v>
      </c>
      <c r="I44" s="166">
        <f t="shared" ca="1" si="0"/>
        <v>5740551998</v>
      </c>
      <c r="J44" s="171"/>
    </row>
    <row r="45" spans="1:10" ht="19.5" customHeight="1">
      <c r="A45" s="165">
        <f ca="1">IF(ROWS($1:32)&gt;COUNT(Dong1),"",OFFSET(TH!C$1,SMALL(Dong1,ROWS($1:32)),))</f>
        <v>42377</v>
      </c>
      <c r="B45" s="165">
        <f ca="1">IF(ROWS($1:32)&gt;COUNT(Dong1),"",OFFSET(TH!E$1,SMALL(Dong1,ROWS($1:32)),))</f>
        <v>42377</v>
      </c>
      <c r="C45" s="166" t="str">
        <f ca="1">IF(ROWS($1:32)&gt;COUNT(Dong1),"",IF(OFFSET(TH!N$1,SMALL(Dong1,ROWS($1:32)),)="1111",OFFSET(TH!D$1,SMALL(Dong1,ROWS($1:32)),),""))</f>
        <v/>
      </c>
      <c r="D45" s="167" t="str">
        <f ca="1">IF(ROWS($1:32)&gt;COUNT(Dong1),"",IF(OFFSET(TH!O$1,SMALL(Dong1,ROWS($1:32)),)="1111",OFFSET(TH!D$1,SMALL(Dong1,ROWS($1:32)),),""))</f>
        <v>C17</v>
      </c>
      <c r="E45" s="382" t="str">
        <f ca="1">IF(ROWS($1:32)&gt;COUNT(Dong1),"",OFFSET(TH!F$1,SMALL(Dong1,ROWS($1:32)),))</f>
        <v>VAT Máy tính</v>
      </c>
      <c r="F45" s="169" t="str">
        <f ca="1">IF(ROWS($1:32)&gt;COUNT(Dong1),"",IF(OFFSET(TH!O$1,SMALL(Dong1,ROWS($1:32)),)="1111",OFFSET(TH!N$1,SMALL(Dong1,ROWS($1:32)),),OFFSET(TH!O$1,SMALL(Dong1,ROWS($1:32)),)))</f>
        <v>1331</v>
      </c>
      <c r="G45" s="170">
        <f ca="1">IF(ROWS($1:32)&gt;COUNT(Dong1),"",IF(OFFSET(TH!N$1,SMALL(Dong1,ROWS($1:32)),)="1111",OFFSET(TH!M$1,SMALL(Dong1,ROWS($1:32)),),0))</f>
        <v>0</v>
      </c>
      <c r="H45" s="168">
        <f ca="1">IF(ROWS($1:32)&gt;COUNT(Dong1),"",IF(OFFSET(TH!O$1,SMALL(Dong1,ROWS($1:32)),)="1111",OFFSET(TH!M$1,SMALL(Dong1,ROWS($1:32)),),0))</f>
        <v>536364</v>
      </c>
      <c r="I45" s="166">
        <f t="shared" ca="1" si="0"/>
        <v>5740015634</v>
      </c>
      <c r="J45" s="171"/>
    </row>
    <row r="46" spans="1:10" ht="19.5" customHeight="1">
      <c r="A46" s="165">
        <f ca="1">IF(ROWS($1:33)&gt;COUNT(Dong1),"",OFFSET(TH!C$1,SMALL(Dong1,ROWS($1:33)),))</f>
        <v>42377</v>
      </c>
      <c r="B46" s="165">
        <f ca="1">IF(ROWS($1:33)&gt;COUNT(Dong1),"",OFFSET(TH!E$1,SMALL(Dong1,ROWS($1:33)),))</f>
        <v>42377</v>
      </c>
      <c r="C46" s="166" t="str">
        <f ca="1">IF(ROWS($1:33)&gt;COUNT(Dong1),"",IF(OFFSET(TH!N$1,SMALL(Dong1,ROWS($1:33)),)="1111",OFFSET(TH!D$1,SMALL(Dong1,ROWS($1:33)),),""))</f>
        <v/>
      </c>
      <c r="D46" s="167" t="str">
        <f ca="1">IF(ROWS($1:33)&gt;COUNT(Dong1),"",IF(OFFSET(TH!O$1,SMALL(Dong1,ROWS($1:33)),)="1111",OFFSET(TH!D$1,SMALL(Dong1,ROWS($1:33)),),""))</f>
        <v>C18</v>
      </c>
      <c r="E46" s="382" t="str">
        <f ca="1">IF(ROWS($1:33)&gt;COUNT(Dong1),"",OFFSET(TH!F$1,SMALL(Dong1,ROWS($1:33)),))</f>
        <v xml:space="preserve">Xăng </v>
      </c>
      <c r="F46" s="169" t="str">
        <f ca="1">IF(ROWS($1:33)&gt;COUNT(Dong1),"",IF(OFFSET(TH!O$1,SMALL(Dong1,ROWS($1:33)),)="1111",OFFSET(TH!N$1,SMALL(Dong1,ROWS($1:33)),),OFFSET(TH!O$1,SMALL(Dong1,ROWS($1:33)),)))</f>
        <v>642</v>
      </c>
      <c r="G46" s="170">
        <f ca="1">IF(ROWS($1:33)&gt;COUNT(Dong1),"",IF(OFFSET(TH!N$1,SMALL(Dong1,ROWS($1:33)),)="1111",OFFSET(TH!M$1,SMALL(Dong1,ROWS($1:33)),),0))</f>
        <v>0</v>
      </c>
      <c r="H46" s="168">
        <f ca="1">IF(ROWS($1:33)&gt;COUNT(Dong1),"",IF(OFFSET(TH!O$1,SMALL(Dong1,ROWS($1:33)),)="1111",OFFSET(TH!M$1,SMALL(Dong1,ROWS($1:33)),),0))</f>
        <v>851709</v>
      </c>
      <c r="I46" s="166">
        <f t="shared" ca="1" si="0"/>
        <v>5739163925</v>
      </c>
      <c r="J46" s="171"/>
    </row>
    <row r="47" spans="1:10" ht="19.5" customHeight="1">
      <c r="A47" s="165">
        <f ca="1">IF(ROWS($1:34)&gt;COUNT(Dong1),"",OFFSET(TH!C$1,SMALL(Dong1,ROWS($1:34)),))</f>
        <v>42377</v>
      </c>
      <c r="B47" s="165">
        <f ca="1">IF(ROWS($1:34)&gt;COUNT(Dong1),"",OFFSET(TH!E$1,SMALL(Dong1,ROWS($1:34)),))</f>
        <v>42377</v>
      </c>
      <c r="C47" s="166" t="str">
        <f ca="1">IF(ROWS($1:34)&gt;COUNT(Dong1),"",IF(OFFSET(TH!N$1,SMALL(Dong1,ROWS($1:34)),)="1111",OFFSET(TH!D$1,SMALL(Dong1,ROWS($1:34)),),""))</f>
        <v/>
      </c>
      <c r="D47" s="167" t="str">
        <f ca="1">IF(ROWS($1:34)&gt;COUNT(Dong1),"",IF(OFFSET(TH!O$1,SMALL(Dong1,ROWS($1:34)),)="1111",OFFSET(TH!D$1,SMALL(Dong1,ROWS($1:34)),),""))</f>
        <v>C18</v>
      </c>
      <c r="E47" s="382" t="str">
        <f ca="1">IF(ROWS($1:34)&gt;COUNT(Dong1),"",OFFSET(TH!F$1,SMALL(Dong1,ROWS($1:34)),))</f>
        <v xml:space="preserve">VAT Xăng </v>
      </c>
      <c r="F47" s="169" t="str">
        <f ca="1">IF(ROWS($1:34)&gt;COUNT(Dong1),"",IF(OFFSET(TH!O$1,SMALL(Dong1,ROWS($1:34)),)="1111",OFFSET(TH!N$1,SMALL(Dong1,ROWS($1:34)),),OFFSET(TH!O$1,SMALL(Dong1,ROWS($1:34)),)))</f>
        <v>1331</v>
      </c>
      <c r="G47" s="170">
        <f ca="1">IF(ROWS($1:34)&gt;COUNT(Dong1),"",IF(OFFSET(TH!N$1,SMALL(Dong1,ROWS($1:34)),)="1111",OFFSET(TH!M$1,SMALL(Dong1,ROWS($1:34)),),0))</f>
        <v>0</v>
      </c>
      <c r="H47" s="168">
        <f ca="1">IF(ROWS($1:34)&gt;COUNT(Dong1),"",IF(OFFSET(TH!O$1,SMALL(Dong1,ROWS($1:34)),)="1111",OFFSET(TH!M$1,SMALL(Dong1,ROWS($1:34)),),0))</f>
        <v>85171</v>
      </c>
      <c r="I47" s="166">
        <f t="shared" ca="1" si="0"/>
        <v>5739078754</v>
      </c>
      <c r="J47" s="171"/>
    </row>
    <row r="48" spans="1:10" ht="19.5" customHeight="1">
      <c r="A48" s="165">
        <f ca="1">IF(ROWS($1:35)&gt;COUNT(Dong1),"",OFFSET(TH!C$1,SMALL(Dong1,ROWS($1:35)),))</f>
        <v>42380</v>
      </c>
      <c r="B48" s="165">
        <f ca="1">IF(ROWS($1:35)&gt;COUNT(Dong1),"",OFFSET(TH!E$1,SMALL(Dong1,ROWS($1:35)),))</f>
        <v>42380</v>
      </c>
      <c r="C48" s="166" t="str">
        <f ca="1">IF(ROWS($1:35)&gt;COUNT(Dong1),"",IF(OFFSET(TH!N$1,SMALL(Dong1,ROWS($1:35)),)="1111",OFFSET(TH!D$1,SMALL(Dong1,ROWS($1:35)),),""))</f>
        <v/>
      </c>
      <c r="D48" s="167" t="str">
        <f ca="1">IF(ROWS($1:35)&gt;COUNT(Dong1),"",IF(OFFSET(TH!O$1,SMALL(Dong1,ROWS($1:35)),)="1111",OFFSET(TH!D$1,SMALL(Dong1,ROWS($1:35)),),""))</f>
        <v>C19</v>
      </c>
      <c r="E48" s="382" t="str">
        <f ca="1">IF(ROWS($1:35)&gt;COUNT(Dong1),"",OFFSET(TH!F$1,SMALL(Dong1,ROWS($1:35)),))</f>
        <v>Dầu DO</v>
      </c>
      <c r="F48" s="169" t="str">
        <f ca="1">IF(ROWS($1:35)&gt;COUNT(Dong1),"",IF(OFFSET(TH!O$1,SMALL(Dong1,ROWS($1:35)),)="1111",OFFSET(TH!N$1,SMALL(Dong1,ROWS($1:35)),),OFFSET(TH!O$1,SMALL(Dong1,ROWS($1:35)),)))</f>
        <v>642</v>
      </c>
      <c r="G48" s="170">
        <f ca="1">IF(ROWS($1:35)&gt;COUNT(Dong1),"",IF(OFFSET(TH!N$1,SMALL(Dong1,ROWS($1:35)),)="1111",OFFSET(TH!M$1,SMALL(Dong1,ROWS($1:35)),),0))</f>
        <v>0</v>
      </c>
      <c r="H48" s="168">
        <f ca="1">IF(ROWS($1:35)&gt;COUNT(Dong1),"",IF(OFFSET(TH!O$1,SMALL(Dong1,ROWS($1:35)),)="1111",OFFSET(TH!M$1,SMALL(Dong1,ROWS($1:35)),),0))</f>
        <v>595900</v>
      </c>
      <c r="I48" s="166">
        <f t="shared" ca="1" si="0"/>
        <v>5738482854</v>
      </c>
      <c r="J48" s="171"/>
    </row>
    <row r="49" spans="1:10" ht="19.5" customHeight="1">
      <c r="A49" s="165">
        <f ca="1">IF(ROWS($1:36)&gt;COUNT(Dong1),"",OFFSET(TH!C$1,SMALL(Dong1,ROWS($1:36)),))</f>
        <v>42380</v>
      </c>
      <c r="B49" s="165">
        <f ca="1">IF(ROWS($1:36)&gt;COUNT(Dong1),"",OFFSET(TH!E$1,SMALL(Dong1,ROWS($1:36)),))</f>
        <v>42380</v>
      </c>
      <c r="C49" s="166" t="str">
        <f ca="1">IF(ROWS($1:36)&gt;COUNT(Dong1),"",IF(OFFSET(TH!N$1,SMALL(Dong1,ROWS($1:36)),)="1111",OFFSET(TH!D$1,SMALL(Dong1,ROWS($1:36)),),""))</f>
        <v/>
      </c>
      <c r="D49" s="167" t="str">
        <f ca="1">IF(ROWS($1:36)&gt;COUNT(Dong1),"",IF(OFFSET(TH!O$1,SMALL(Dong1,ROWS($1:36)),)="1111",OFFSET(TH!D$1,SMALL(Dong1,ROWS($1:36)),),""))</f>
        <v>C19</v>
      </c>
      <c r="E49" s="382" t="str">
        <f ca="1">IF(ROWS($1:36)&gt;COUNT(Dong1),"",OFFSET(TH!F$1,SMALL(Dong1,ROWS($1:36)),))</f>
        <v>VAT Dầu DO</v>
      </c>
      <c r="F49" s="169" t="str">
        <f ca="1">IF(ROWS($1:36)&gt;COUNT(Dong1),"",IF(OFFSET(TH!O$1,SMALL(Dong1,ROWS($1:36)),)="1111",OFFSET(TH!N$1,SMALL(Dong1,ROWS($1:36)),),OFFSET(TH!O$1,SMALL(Dong1,ROWS($1:36)),)))</f>
        <v>1331</v>
      </c>
      <c r="G49" s="170">
        <f ca="1">IF(ROWS($1:36)&gt;COUNT(Dong1),"",IF(OFFSET(TH!N$1,SMALL(Dong1,ROWS($1:36)),)="1111",OFFSET(TH!M$1,SMALL(Dong1,ROWS($1:36)),),0))</f>
        <v>0</v>
      </c>
      <c r="H49" s="168">
        <f ca="1">IF(ROWS($1:36)&gt;COUNT(Dong1),"",IF(OFFSET(TH!O$1,SMALL(Dong1,ROWS($1:36)),)="1111",OFFSET(TH!M$1,SMALL(Dong1,ROWS($1:36)),),0))</f>
        <v>59590</v>
      </c>
      <c r="I49" s="166">
        <f t="shared" ca="1" si="0"/>
        <v>5738423264</v>
      </c>
      <c r="J49" s="171"/>
    </row>
    <row r="50" spans="1:10" ht="19.5" customHeight="1">
      <c r="A50" s="165">
        <f ca="1">IF(ROWS($1:37)&gt;COUNT(Dong1),"",OFFSET(TH!C$1,SMALL(Dong1,ROWS($1:37)),))</f>
        <v>42380</v>
      </c>
      <c r="B50" s="165">
        <f ca="1">IF(ROWS($1:37)&gt;COUNT(Dong1),"",OFFSET(TH!E$1,SMALL(Dong1,ROWS($1:37)),))</f>
        <v>42380</v>
      </c>
      <c r="C50" s="166" t="str">
        <f ca="1">IF(ROWS($1:37)&gt;COUNT(Dong1),"",IF(OFFSET(TH!N$1,SMALL(Dong1,ROWS($1:37)),)="1111",OFFSET(TH!D$1,SMALL(Dong1,ROWS($1:37)),),""))</f>
        <v/>
      </c>
      <c r="D50" s="167" t="str">
        <f ca="1">IF(ROWS($1:37)&gt;COUNT(Dong1),"",IF(OFFSET(TH!O$1,SMALL(Dong1,ROWS($1:37)),)="1111",OFFSET(TH!D$1,SMALL(Dong1,ROWS($1:37)),),""))</f>
        <v>C20</v>
      </c>
      <c r="E50" s="382" t="str">
        <f ca="1">IF(ROWS($1:37)&gt;COUNT(Dong1),"",OFFSET(TH!F$1,SMALL(Dong1,ROWS($1:37)),))</f>
        <v>Tạm ứng mua NL</v>
      </c>
      <c r="F50" s="169" t="str">
        <f ca="1">IF(ROWS($1:37)&gt;COUNT(Dong1),"",IF(OFFSET(TH!O$1,SMALL(Dong1,ROWS($1:37)),)="1111",OFFSET(TH!N$1,SMALL(Dong1,ROWS($1:37)),),OFFSET(TH!O$1,SMALL(Dong1,ROWS($1:37)),)))</f>
        <v>141</v>
      </c>
      <c r="G50" s="170">
        <f ca="1">IF(ROWS($1:37)&gt;COUNT(Dong1),"",IF(OFFSET(TH!N$1,SMALL(Dong1,ROWS($1:37)),)="1111",OFFSET(TH!M$1,SMALL(Dong1,ROWS($1:37)),),0))</f>
        <v>0</v>
      </c>
      <c r="H50" s="168">
        <f ca="1">IF(ROWS($1:37)&gt;COUNT(Dong1),"",IF(OFFSET(TH!O$1,SMALL(Dong1,ROWS($1:37)),)="1111",OFFSET(TH!M$1,SMALL(Dong1,ROWS($1:37)),),0))</f>
        <v>500000000</v>
      </c>
      <c r="I50" s="166">
        <f t="shared" ca="1" si="0"/>
        <v>5238423264</v>
      </c>
      <c r="J50" s="171"/>
    </row>
    <row r="51" spans="1:10" ht="19.5" customHeight="1">
      <c r="A51" s="165">
        <f ca="1">IF(ROWS($1:38)&gt;COUNT(Dong1),"",OFFSET(TH!C$1,SMALL(Dong1,ROWS($1:38)),))</f>
        <v>42381</v>
      </c>
      <c r="B51" s="165">
        <f ca="1">IF(ROWS($1:38)&gt;COUNT(Dong1),"",OFFSET(TH!E$1,SMALL(Dong1,ROWS($1:38)),))</f>
        <v>42381</v>
      </c>
      <c r="C51" s="166" t="str">
        <f ca="1">IF(ROWS($1:38)&gt;COUNT(Dong1),"",IF(OFFSET(TH!N$1,SMALL(Dong1,ROWS($1:38)),)="1111",OFFSET(TH!D$1,SMALL(Dong1,ROWS($1:38)),),""))</f>
        <v/>
      </c>
      <c r="D51" s="167" t="str">
        <f ca="1">IF(ROWS($1:38)&gt;COUNT(Dong1),"",IF(OFFSET(TH!O$1,SMALL(Dong1,ROWS($1:38)),)="1111",OFFSET(TH!D$1,SMALL(Dong1,ROWS($1:38)),),""))</f>
        <v>C21</v>
      </c>
      <c r="E51" s="382" t="str">
        <f ca="1">IF(ROWS($1:38)&gt;COUNT(Dong1),"",OFFSET(TH!F$1,SMALL(Dong1,ROWS($1:38)),))</f>
        <v>Xăng</v>
      </c>
      <c r="F51" s="169" t="str">
        <f ca="1">IF(ROWS($1:38)&gt;COUNT(Dong1),"",IF(OFFSET(TH!O$1,SMALL(Dong1,ROWS($1:38)),)="1111",OFFSET(TH!N$1,SMALL(Dong1,ROWS($1:38)),),OFFSET(TH!O$1,SMALL(Dong1,ROWS($1:38)),)))</f>
        <v>642</v>
      </c>
      <c r="G51" s="170">
        <f ca="1">IF(ROWS($1:38)&gt;COUNT(Dong1),"",IF(OFFSET(TH!N$1,SMALL(Dong1,ROWS($1:38)),)="1111",OFFSET(TH!M$1,SMALL(Dong1,ROWS($1:38)),),0))</f>
        <v>0</v>
      </c>
      <c r="H51" s="168">
        <f ca="1">IF(ROWS($1:38)&gt;COUNT(Dong1),"",IF(OFFSET(TH!O$1,SMALL(Dong1,ROWS($1:38)),)="1111",OFFSET(TH!M$1,SMALL(Dong1,ROWS($1:38)),),0))</f>
        <v>790873</v>
      </c>
      <c r="I51" s="166">
        <f t="shared" ca="1" si="0"/>
        <v>5237632391</v>
      </c>
      <c r="J51" s="171"/>
    </row>
    <row r="52" spans="1:10" ht="19.5" customHeight="1">
      <c r="A52" s="165">
        <f ca="1">IF(ROWS($1:39)&gt;COUNT(Dong1),"",OFFSET(TH!C$1,SMALL(Dong1,ROWS($1:39)),))</f>
        <v>42381</v>
      </c>
      <c r="B52" s="165">
        <f ca="1">IF(ROWS($1:39)&gt;COUNT(Dong1),"",OFFSET(TH!E$1,SMALL(Dong1,ROWS($1:39)),))</f>
        <v>42381</v>
      </c>
      <c r="C52" s="166" t="str">
        <f ca="1">IF(ROWS($1:39)&gt;COUNT(Dong1),"",IF(OFFSET(TH!N$1,SMALL(Dong1,ROWS($1:39)),)="1111",OFFSET(TH!D$1,SMALL(Dong1,ROWS($1:39)),),""))</f>
        <v/>
      </c>
      <c r="D52" s="167" t="str">
        <f ca="1">IF(ROWS($1:39)&gt;COUNT(Dong1),"",IF(OFFSET(TH!O$1,SMALL(Dong1,ROWS($1:39)),)="1111",OFFSET(TH!D$1,SMALL(Dong1,ROWS($1:39)),),""))</f>
        <v>C21</v>
      </c>
      <c r="E52" s="382" t="str">
        <f ca="1">IF(ROWS($1:39)&gt;COUNT(Dong1),"",OFFSET(TH!F$1,SMALL(Dong1,ROWS($1:39)),))</f>
        <v>VAT Xăng</v>
      </c>
      <c r="F52" s="169" t="str">
        <f ca="1">IF(ROWS($1:39)&gt;COUNT(Dong1),"",IF(OFFSET(TH!O$1,SMALL(Dong1,ROWS($1:39)),)="1111",OFFSET(TH!N$1,SMALL(Dong1,ROWS($1:39)),),OFFSET(TH!O$1,SMALL(Dong1,ROWS($1:39)),)))</f>
        <v>1331</v>
      </c>
      <c r="G52" s="170">
        <f ca="1">IF(ROWS($1:39)&gt;COUNT(Dong1),"",IF(OFFSET(TH!N$1,SMALL(Dong1,ROWS($1:39)),)="1111",OFFSET(TH!M$1,SMALL(Dong1,ROWS($1:39)),),0))</f>
        <v>0</v>
      </c>
      <c r="H52" s="168">
        <f ca="1">IF(ROWS($1:39)&gt;COUNT(Dong1),"",IF(OFFSET(TH!O$1,SMALL(Dong1,ROWS($1:39)),)="1111",OFFSET(TH!M$1,SMALL(Dong1,ROWS($1:39)),),0))</f>
        <v>79087</v>
      </c>
      <c r="I52" s="166">
        <f t="shared" ca="1" si="0"/>
        <v>5237553304</v>
      </c>
      <c r="J52" s="171"/>
    </row>
    <row r="53" spans="1:10" ht="19.5" customHeight="1">
      <c r="A53" s="165">
        <f ca="1">IF(ROWS($1:40)&gt;COUNT(Dong1),"",OFFSET(TH!C$1,SMALL(Dong1,ROWS($1:40)),))</f>
        <v>42381</v>
      </c>
      <c r="B53" s="165">
        <f ca="1">IF(ROWS($1:40)&gt;COUNT(Dong1),"",OFFSET(TH!E$1,SMALL(Dong1,ROWS($1:40)),))</f>
        <v>42381</v>
      </c>
      <c r="C53" s="166" t="str">
        <f ca="1">IF(ROWS($1:40)&gt;COUNT(Dong1),"",IF(OFFSET(TH!N$1,SMALL(Dong1,ROWS($1:40)),)="1111",OFFSET(TH!D$1,SMALL(Dong1,ROWS($1:40)),),""))</f>
        <v/>
      </c>
      <c r="D53" s="167" t="str">
        <f ca="1">IF(ROWS($1:40)&gt;COUNT(Dong1),"",IF(OFFSET(TH!O$1,SMALL(Dong1,ROWS($1:40)),)="1111",OFFSET(TH!D$1,SMALL(Dong1,ROWS($1:40)),),""))</f>
        <v>C22</v>
      </c>
      <c r="E53" s="382" t="str">
        <f ca="1">IF(ROWS($1:40)&gt;COUNT(Dong1),"",OFFSET(TH!F$1,SMALL(Dong1,ROWS($1:40)),))</f>
        <v>Tư vấn giám sát môi trường</v>
      </c>
      <c r="F53" s="169" t="str">
        <f ca="1">IF(ROWS($1:40)&gt;COUNT(Dong1),"",IF(OFFSET(TH!O$1,SMALL(Dong1,ROWS($1:40)),)="1111",OFFSET(TH!N$1,SMALL(Dong1,ROWS($1:40)),),OFFSET(TH!O$1,SMALL(Dong1,ROWS($1:40)),)))</f>
        <v>642</v>
      </c>
      <c r="G53" s="170">
        <f ca="1">IF(ROWS($1:40)&gt;COUNT(Dong1),"",IF(OFFSET(TH!N$1,SMALL(Dong1,ROWS($1:40)),)="1111",OFFSET(TH!M$1,SMALL(Dong1,ROWS($1:40)),),0))</f>
        <v>0</v>
      </c>
      <c r="H53" s="168">
        <f ca="1">IF(ROWS($1:40)&gt;COUNT(Dong1),"",IF(OFFSET(TH!O$1,SMALL(Dong1,ROWS($1:40)),)="1111",OFFSET(TH!M$1,SMALL(Dong1,ROWS($1:40)),),0))</f>
        <v>3325000</v>
      </c>
      <c r="I53" s="166">
        <f t="shared" ca="1" si="0"/>
        <v>5234228304</v>
      </c>
      <c r="J53" s="171"/>
    </row>
    <row r="54" spans="1:10" ht="19.5" customHeight="1">
      <c r="A54" s="165">
        <f ca="1">IF(ROWS($1:41)&gt;COUNT(Dong1),"",OFFSET(TH!C$1,SMALL(Dong1,ROWS($1:41)),))</f>
        <v>42381</v>
      </c>
      <c r="B54" s="165">
        <f ca="1">IF(ROWS($1:41)&gt;COUNT(Dong1),"",OFFSET(TH!E$1,SMALL(Dong1,ROWS($1:41)),))</f>
        <v>42381</v>
      </c>
      <c r="C54" s="166" t="str">
        <f ca="1">IF(ROWS($1:41)&gt;COUNT(Dong1),"",IF(OFFSET(TH!N$1,SMALL(Dong1,ROWS($1:41)),)="1111",OFFSET(TH!D$1,SMALL(Dong1,ROWS($1:41)),),""))</f>
        <v/>
      </c>
      <c r="D54" s="167" t="str">
        <f ca="1">IF(ROWS($1:41)&gt;COUNT(Dong1),"",IF(OFFSET(TH!O$1,SMALL(Dong1,ROWS($1:41)),)="1111",OFFSET(TH!D$1,SMALL(Dong1,ROWS($1:41)),),""))</f>
        <v>C22</v>
      </c>
      <c r="E54" s="382" t="str">
        <f ca="1">IF(ROWS($1:41)&gt;COUNT(Dong1),"",OFFSET(TH!F$1,SMALL(Dong1,ROWS($1:41)),))</f>
        <v>VAT Tư vấn giám sát môi trường</v>
      </c>
      <c r="F54" s="169" t="str">
        <f ca="1">IF(ROWS($1:41)&gt;COUNT(Dong1),"",IF(OFFSET(TH!O$1,SMALL(Dong1,ROWS($1:41)),)="1111",OFFSET(TH!N$1,SMALL(Dong1,ROWS($1:41)),),OFFSET(TH!O$1,SMALL(Dong1,ROWS($1:41)),)))</f>
        <v>1331</v>
      </c>
      <c r="G54" s="170">
        <f ca="1">IF(ROWS($1:41)&gt;COUNT(Dong1),"",IF(OFFSET(TH!N$1,SMALL(Dong1,ROWS($1:41)),)="1111",OFFSET(TH!M$1,SMALL(Dong1,ROWS($1:41)),),0))</f>
        <v>0</v>
      </c>
      <c r="H54" s="168">
        <f ca="1">IF(ROWS($1:41)&gt;COUNT(Dong1),"",IF(OFFSET(TH!O$1,SMALL(Dong1,ROWS($1:41)),)="1111",OFFSET(TH!M$1,SMALL(Dong1,ROWS($1:41)),),0))</f>
        <v>332500</v>
      </c>
      <c r="I54" s="166">
        <f t="shared" ca="1" si="0"/>
        <v>5233895804</v>
      </c>
      <c r="J54" s="171"/>
    </row>
    <row r="55" spans="1:10" ht="19.5" customHeight="1">
      <c r="A55" s="165">
        <f ca="1">IF(ROWS($1:42)&gt;COUNT(Dong1),"",OFFSET(TH!C$1,SMALL(Dong1,ROWS($1:42)),))</f>
        <v>42383</v>
      </c>
      <c r="B55" s="165">
        <f ca="1">IF(ROWS($1:42)&gt;COUNT(Dong1),"",OFFSET(TH!E$1,SMALL(Dong1,ROWS($1:42)),))</f>
        <v>42383</v>
      </c>
      <c r="C55" s="166" t="str">
        <f ca="1">IF(ROWS($1:42)&gt;COUNT(Dong1),"",IF(OFFSET(TH!N$1,SMALL(Dong1,ROWS($1:42)),)="1111",OFFSET(TH!D$1,SMALL(Dong1,ROWS($1:42)),),""))</f>
        <v/>
      </c>
      <c r="D55" s="167" t="str">
        <f ca="1">IF(ROWS($1:42)&gt;COUNT(Dong1),"",IF(OFFSET(TH!O$1,SMALL(Dong1,ROWS($1:42)),)="1111",OFFSET(TH!D$1,SMALL(Dong1,ROWS($1:42)),),""))</f>
        <v>C23</v>
      </c>
      <c r="E55" s="382" t="str">
        <f ca="1">IF(ROWS($1:42)&gt;COUNT(Dong1),"",OFFSET(TH!F$1,SMALL(Dong1,ROWS($1:42)),))</f>
        <v>Bảo dưỡng xe 51F - 080.56</v>
      </c>
      <c r="F55" s="169" t="str">
        <f ca="1">IF(ROWS($1:42)&gt;COUNT(Dong1),"",IF(OFFSET(TH!O$1,SMALL(Dong1,ROWS($1:42)),)="1111",OFFSET(TH!N$1,SMALL(Dong1,ROWS($1:42)),),OFFSET(TH!O$1,SMALL(Dong1,ROWS($1:42)),)))</f>
        <v>642</v>
      </c>
      <c r="G55" s="170">
        <f ca="1">IF(ROWS($1:42)&gt;COUNT(Dong1),"",IF(OFFSET(TH!N$1,SMALL(Dong1,ROWS($1:42)),)="1111",OFFSET(TH!M$1,SMALL(Dong1,ROWS($1:42)),),0))</f>
        <v>0</v>
      </c>
      <c r="H55" s="168">
        <f ca="1">IF(ROWS($1:42)&gt;COUNT(Dong1),"",IF(OFFSET(TH!O$1,SMALL(Dong1,ROWS($1:42)),)="1111",OFFSET(TH!M$1,SMALL(Dong1,ROWS($1:42)),),0))</f>
        <v>16662900</v>
      </c>
      <c r="I55" s="166">
        <f t="shared" ca="1" si="0"/>
        <v>5217232904</v>
      </c>
      <c r="J55" s="171"/>
    </row>
    <row r="56" spans="1:10" ht="19.5" customHeight="1">
      <c r="A56" s="165">
        <f ca="1">IF(ROWS($1:43)&gt;COUNT(Dong1),"",OFFSET(TH!C$1,SMALL(Dong1,ROWS($1:43)),))</f>
        <v>42383</v>
      </c>
      <c r="B56" s="165">
        <f ca="1">IF(ROWS($1:43)&gt;COUNT(Dong1),"",OFFSET(TH!E$1,SMALL(Dong1,ROWS($1:43)),))</f>
        <v>42383</v>
      </c>
      <c r="C56" s="166" t="str">
        <f ca="1">IF(ROWS($1:43)&gt;COUNT(Dong1),"",IF(OFFSET(TH!N$1,SMALL(Dong1,ROWS($1:43)),)="1111",OFFSET(TH!D$1,SMALL(Dong1,ROWS($1:43)),),""))</f>
        <v/>
      </c>
      <c r="D56" s="167" t="str">
        <f ca="1">IF(ROWS($1:43)&gt;COUNT(Dong1),"",IF(OFFSET(TH!O$1,SMALL(Dong1,ROWS($1:43)),)="1111",OFFSET(TH!D$1,SMALL(Dong1,ROWS($1:43)),),""))</f>
        <v>C23</v>
      </c>
      <c r="E56" s="382" t="str">
        <f ca="1">IF(ROWS($1:43)&gt;COUNT(Dong1),"",OFFSET(TH!F$1,SMALL(Dong1,ROWS($1:43)),))</f>
        <v>VAT Bảo dưỡng xe 51F - 080.56</v>
      </c>
      <c r="F56" s="169" t="str">
        <f ca="1">IF(ROWS($1:43)&gt;COUNT(Dong1),"",IF(OFFSET(TH!O$1,SMALL(Dong1,ROWS($1:43)),)="1111",OFFSET(TH!N$1,SMALL(Dong1,ROWS($1:43)),),OFFSET(TH!O$1,SMALL(Dong1,ROWS($1:43)),)))</f>
        <v>1331</v>
      </c>
      <c r="G56" s="170">
        <f ca="1">IF(ROWS($1:43)&gt;COUNT(Dong1),"",IF(OFFSET(TH!N$1,SMALL(Dong1,ROWS($1:43)),)="1111",OFFSET(TH!M$1,SMALL(Dong1,ROWS($1:43)),),0))</f>
        <v>0</v>
      </c>
      <c r="H56" s="168">
        <f ca="1">IF(ROWS($1:43)&gt;COUNT(Dong1),"",IF(OFFSET(TH!O$1,SMALL(Dong1,ROWS($1:43)),)="1111",OFFSET(TH!M$1,SMALL(Dong1,ROWS($1:43)),),0))</f>
        <v>1666290</v>
      </c>
      <c r="I56" s="166">
        <f t="shared" ca="1" si="0"/>
        <v>5215566614</v>
      </c>
      <c r="J56" s="171"/>
    </row>
    <row r="57" spans="1:10" ht="19.5" customHeight="1">
      <c r="A57" s="165">
        <f ca="1">IF(ROWS($1:44)&gt;COUNT(Dong1),"",OFFSET(TH!C$1,SMALL(Dong1,ROWS($1:44)),))</f>
        <v>42384</v>
      </c>
      <c r="B57" s="165">
        <f ca="1">IF(ROWS($1:44)&gt;COUNT(Dong1),"",OFFSET(TH!E$1,SMALL(Dong1,ROWS($1:44)),))</f>
        <v>42384</v>
      </c>
      <c r="C57" s="166" t="str">
        <f ca="1">IF(ROWS($1:44)&gt;COUNT(Dong1),"",IF(OFFSET(TH!N$1,SMALL(Dong1,ROWS($1:44)),)="1111",OFFSET(TH!D$1,SMALL(Dong1,ROWS($1:44)),),""))</f>
        <v>T02</v>
      </c>
      <c r="D57" s="167" t="str">
        <f ca="1">IF(ROWS($1:44)&gt;COUNT(Dong1),"",IF(OFFSET(TH!O$1,SMALL(Dong1,ROWS($1:44)),)="1111",OFFSET(TH!D$1,SMALL(Dong1,ROWS($1:44)),),""))</f>
        <v/>
      </c>
      <c r="E57" s="382" t="str">
        <f ca="1">IF(ROWS($1:44)&gt;COUNT(Dong1),"",OFFSET(TH!F$1,SMALL(Dong1,ROWS($1:44)),))</f>
        <v>Q11 - Rút tiền gửi NH nhập quỹ TM</v>
      </c>
      <c r="F57" s="169" t="str">
        <f ca="1">IF(ROWS($1:44)&gt;COUNT(Dong1),"",IF(OFFSET(TH!O$1,SMALL(Dong1,ROWS($1:44)),)="1111",OFFSET(TH!N$1,SMALL(Dong1,ROWS($1:44)),),OFFSET(TH!O$1,SMALL(Dong1,ROWS($1:44)),)))</f>
        <v>1121</v>
      </c>
      <c r="G57" s="170">
        <f ca="1">IF(ROWS($1:44)&gt;COUNT(Dong1),"",IF(OFFSET(TH!N$1,SMALL(Dong1,ROWS($1:44)),)="1111",OFFSET(TH!M$1,SMALL(Dong1,ROWS($1:44)),),0))</f>
        <v>100000000</v>
      </c>
      <c r="H57" s="168">
        <f ca="1">IF(ROWS($1:44)&gt;COUNT(Dong1),"",IF(OFFSET(TH!O$1,SMALL(Dong1,ROWS($1:44)),)="1111",OFFSET(TH!M$1,SMALL(Dong1,ROWS($1:44)),),0))</f>
        <v>0</v>
      </c>
      <c r="I57" s="166">
        <f t="shared" ca="1" si="0"/>
        <v>5315566614</v>
      </c>
      <c r="J57" s="171"/>
    </row>
    <row r="58" spans="1:10" ht="19.5" customHeight="1">
      <c r="A58" s="165">
        <f ca="1">IF(ROWS($1:45)&gt;COUNT(Dong1),"",OFFSET(TH!C$1,SMALL(Dong1,ROWS($1:45)),))</f>
        <v>42384</v>
      </c>
      <c r="B58" s="165">
        <f ca="1">IF(ROWS($1:45)&gt;COUNT(Dong1),"",OFFSET(TH!E$1,SMALL(Dong1,ROWS($1:45)),))</f>
        <v>42384</v>
      </c>
      <c r="C58" s="166" t="str">
        <f ca="1">IF(ROWS($1:45)&gt;COUNT(Dong1),"",IF(OFFSET(TH!N$1,SMALL(Dong1,ROWS($1:45)),)="1111",OFFSET(TH!D$1,SMALL(Dong1,ROWS($1:45)),),""))</f>
        <v/>
      </c>
      <c r="D58" s="167" t="str">
        <f ca="1">IF(ROWS($1:45)&gt;COUNT(Dong1),"",IF(OFFSET(TH!O$1,SMALL(Dong1,ROWS($1:45)),)="1111",OFFSET(TH!D$1,SMALL(Dong1,ROWS($1:45)),),""))</f>
        <v>C24</v>
      </c>
      <c r="E58" s="382" t="str">
        <f ca="1">IF(ROWS($1:45)&gt;COUNT(Dong1),"",OFFSET(TH!F$1,SMALL(Dong1,ROWS($1:45)),))</f>
        <v>Xăng</v>
      </c>
      <c r="F58" s="169" t="str">
        <f ca="1">IF(ROWS($1:45)&gt;COUNT(Dong1),"",IF(OFFSET(TH!O$1,SMALL(Dong1,ROWS($1:45)),)="1111",OFFSET(TH!N$1,SMALL(Dong1,ROWS($1:45)),),OFFSET(TH!O$1,SMALL(Dong1,ROWS($1:45)),)))</f>
        <v>642</v>
      </c>
      <c r="G58" s="170">
        <f ca="1">IF(ROWS($1:45)&gt;COUNT(Dong1),"",IF(OFFSET(TH!N$1,SMALL(Dong1,ROWS($1:45)),)="1111",OFFSET(TH!M$1,SMALL(Dong1,ROWS($1:45)),),0))</f>
        <v>0</v>
      </c>
      <c r="H58" s="168">
        <f ca="1">IF(ROWS($1:45)&gt;COUNT(Dong1),"",IF(OFFSET(TH!O$1,SMALL(Dong1,ROWS($1:45)),)="1111",OFFSET(TH!M$1,SMALL(Dong1,ROWS($1:45)),),0))</f>
        <v>306027</v>
      </c>
      <c r="I58" s="166">
        <f t="shared" ca="1" si="0"/>
        <v>5315260587</v>
      </c>
      <c r="J58" s="171"/>
    </row>
    <row r="59" spans="1:10" ht="19.5" customHeight="1">
      <c r="A59" s="165">
        <f ca="1">IF(ROWS($1:46)&gt;COUNT(Dong1),"",OFFSET(TH!C$1,SMALL(Dong1,ROWS($1:46)),))</f>
        <v>42384</v>
      </c>
      <c r="B59" s="165">
        <f ca="1">IF(ROWS($1:46)&gt;COUNT(Dong1),"",OFFSET(TH!E$1,SMALL(Dong1,ROWS($1:46)),))</f>
        <v>42384</v>
      </c>
      <c r="C59" s="166" t="str">
        <f ca="1">IF(ROWS($1:46)&gt;COUNT(Dong1),"",IF(OFFSET(TH!N$1,SMALL(Dong1,ROWS($1:46)),)="1111",OFFSET(TH!D$1,SMALL(Dong1,ROWS($1:46)),),""))</f>
        <v/>
      </c>
      <c r="D59" s="167" t="str">
        <f ca="1">IF(ROWS($1:46)&gt;COUNT(Dong1),"",IF(OFFSET(TH!O$1,SMALL(Dong1,ROWS($1:46)),)="1111",OFFSET(TH!D$1,SMALL(Dong1,ROWS($1:46)),),""))</f>
        <v>C24</v>
      </c>
      <c r="E59" s="382" t="str">
        <f ca="1">IF(ROWS($1:46)&gt;COUNT(Dong1),"",OFFSET(TH!F$1,SMALL(Dong1,ROWS($1:46)),))</f>
        <v>VAT Xăng</v>
      </c>
      <c r="F59" s="169" t="str">
        <f ca="1">IF(ROWS($1:46)&gt;COUNT(Dong1),"",IF(OFFSET(TH!O$1,SMALL(Dong1,ROWS($1:46)),)="1111",OFFSET(TH!N$1,SMALL(Dong1,ROWS($1:46)),),OFFSET(TH!O$1,SMALL(Dong1,ROWS($1:46)),)))</f>
        <v>1331</v>
      </c>
      <c r="G59" s="170">
        <f ca="1">IF(ROWS($1:46)&gt;COUNT(Dong1),"",IF(OFFSET(TH!N$1,SMALL(Dong1,ROWS($1:46)),)="1111",OFFSET(TH!M$1,SMALL(Dong1,ROWS($1:46)),),0))</f>
        <v>0</v>
      </c>
      <c r="H59" s="168">
        <f ca="1">IF(ROWS($1:46)&gt;COUNT(Dong1),"",IF(OFFSET(TH!O$1,SMALL(Dong1,ROWS($1:46)),)="1111",OFFSET(TH!M$1,SMALL(Dong1,ROWS($1:46)),),0))</f>
        <v>30603</v>
      </c>
      <c r="I59" s="166">
        <f t="shared" ca="1" si="0"/>
        <v>5315229984</v>
      </c>
      <c r="J59" s="171"/>
    </row>
    <row r="60" spans="1:10" ht="19.5" customHeight="1">
      <c r="A60" s="165">
        <f ca="1">IF(ROWS($1:47)&gt;COUNT(Dong1),"",OFFSET(TH!C$1,SMALL(Dong1,ROWS($1:47)),))</f>
        <v>42384</v>
      </c>
      <c r="B60" s="165">
        <f ca="1">IF(ROWS($1:47)&gt;COUNT(Dong1),"",OFFSET(TH!E$1,SMALL(Dong1,ROWS($1:47)),))</f>
        <v>42384</v>
      </c>
      <c r="C60" s="166" t="str">
        <f ca="1">IF(ROWS($1:47)&gt;COUNT(Dong1),"",IF(OFFSET(TH!N$1,SMALL(Dong1,ROWS($1:47)),)="1111",OFFSET(TH!D$1,SMALL(Dong1,ROWS($1:47)),),""))</f>
        <v/>
      </c>
      <c r="D60" s="167" t="str">
        <f ca="1">IF(ROWS($1:47)&gt;COUNT(Dong1),"",IF(OFFSET(TH!O$1,SMALL(Dong1,ROWS($1:47)),)="1111",OFFSET(TH!D$1,SMALL(Dong1,ROWS($1:47)),),""))</f>
        <v>C25</v>
      </c>
      <c r="E60" s="382" t="str">
        <f ca="1">IF(ROWS($1:47)&gt;COUNT(Dong1),"",OFFSET(TH!F$1,SMALL(Dong1,ROWS($1:47)),))</f>
        <v>Xăng</v>
      </c>
      <c r="F60" s="169" t="str">
        <f ca="1">IF(ROWS($1:47)&gt;COUNT(Dong1),"",IF(OFFSET(TH!O$1,SMALL(Dong1,ROWS($1:47)),)="1111",OFFSET(TH!N$1,SMALL(Dong1,ROWS($1:47)),),OFFSET(TH!O$1,SMALL(Dong1,ROWS($1:47)),)))</f>
        <v>642</v>
      </c>
      <c r="G60" s="170">
        <f ca="1">IF(ROWS($1:47)&gt;COUNT(Dong1),"",IF(OFFSET(TH!N$1,SMALL(Dong1,ROWS($1:47)),)="1111",OFFSET(TH!M$1,SMALL(Dong1,ROWS($1:47)),),0))</f>
        <v>0</v>
      </c>
      <c r="H60" s="168">
        <f ca="1">IF(ROWS($1:47)&gt;COUNT(Dong1),"",IF(OFFSET(TH!O$1,SMALL(Dong1,ROWS($1:47)),)="1111",OFFSET(TH!M$1,SMALL(Dong1,ROWS($1:47)),),0))</f>
        <v>593155</v>
      </c>
      <c r="I60" s="166">
        <f t="shared" ca="1" si="0"/>
        <v>5314636829</v>
      </c>
      <c r="J60" s="171"/>
    </row>
    <row r="61" spans="1:10" ht="19.5" customHeight="1">
      <c r="A61" s="165">
        <f ca="1">IF(ROWS($1:48)&gt;COUNT(Dong1),"",OFFSET(TH!C$1,SMALL(Dong1,ROWS($1:48)),))</f>
        <v>42384</v>
      </c>
      <c r="B61" s="165">
        <f ca="1">IF(ROWS($1:48)&gt;COUNT(Dong1),"",OFFSET(TH!E$1,SMALL(Dong1,ROWS($1:48)),))</f>
        <v>42384</v>
      </c>
      <c r="C61" s="166" t="str">
        <f ca="1">IF(ROWS($1:48)&gt;COUNT(Dong1),"",IF(OFFSET(TH!N$1,SMALL(Dong1,ROWS($1:48)),)="1111",OFFSET(TH!D$1,SMALL(Dong1,ROWS($1:48)),),""))</f>
        <v/>
      </c>
      <c r="D61" s="167" t="str">
        <f ca="1">IF(ROWS($1:48)&gt;COUNT(Dong1),"",IF(OFFSET(TH!O$1,SMALL(Dong1,ROWS($1:48)),)="1111",OFFSET(TH!D$1,SMALL(Dong1,ROWS($1:48)),),""))</f>
        <v>C25</v>
      </c>
      <c r="E61" s="382" t="str">
        <f ca="1">IF(ROWS($1:48)&gt;COUNT(Dong1),"",OFFSET(TH!F$1,SMALL(Dong1,ROWS($1:48)),))</f>
        <v>VAT Xăng</v>
      </c>
      <c r="F61" s="169" t="str">
        <f ca="1">IF(ROWS($1:48)&gt;COUNT(Dong1),"",IF(OFFSET(TH!O$1,SMALL(Dong1,ROWS($1:48)),)="1111",OFFSET(TH!N$1,SMALL(Dong1,ROWS($1:48)),),OFFSET(TH!O$1,SMALL(Dong1,ROWS($1:48)),)))</f>
        <v>1331</v>
      </c>
      <c r="G61" s="170">
        <f ca="1">IF(ROWS($1:48)&gt;COUNT(Dong1),"",IF(OFFSET(TH!N$1,SMALL(Dong1,ROWS($1:48)),)="1111",OFFSET(TH!M$1,SMALL(Dong1,ROWS($1:48)),),0))</f>
        <v>0</v>
      </c>
      <c r="H61" s="168">
        <f ca="1">IF(ROWS($1:48)&gt;COUNT(Dong1),"",IF(OFFSET(TH!O$1,SMALL(Dong1,ROWS($1:48)),)="1111",OFFSET(TH!M$1,SMALL(Dong1,ROWS($1:48)),),0))</f>
        <v>59315</v>
      </c>
      <c r="I61" s="166">
        <f t="shared" ca="1" si="0"/>
        <v>5314577514</v>
      </c>
      <c r="J61" s="171"/>
    </row>
    <row r="62" spans="1:10" ht="19.5" customHeight="1">
      <c r="A62" s="165">
        <f ca="1">IF(ROWS($1:49)&gt;COUNT(Dong1),"",OFFSET(TH!C$1,SMALL(Dong1,ROWS($1:49)),))</f>
        <v>42384</v>
      </c>
      <c r="B62" s="165">
        <f ca="1">IF(ROWS($1:49)&gt;COUNT(Dong1),"",OFFSET(TH!E$1,SMALL(Dong1,ROWS($1:49)),))</f>
        <v>42384</v>
      </c>
      <c r="C62" s="166" t="str">
        <f ca="1">IF(ROWS($1:49)&gt;COUNT(Dong1),"",IF(OFFSET(TH!N$1,SMALL(Dong1,ROWS($1:49)),)="1111",OFFSET(TH!D$1,SMALL(Dong1,ROWS($1:49)),),""))</f>
        <v/>
      </c>
      <c r="D62" s="167" t="str">
        <f ca="1">IF(ROWS($1:49)&gt;COUNT(Dong1),"",IF(OFFSET(TH!O$1,SMALL(Dong1,ROWS($1:49)),)="1111",OFFSET(TH!D$1,SMALL(Dong1,ROWS($1:49)),),""))</f>
        <v>C26</v>
      </c>
      <c r="E62" s="382" t="str">
        <f ca="1">IF(ROWS($1:49)&gt;COUNT(Dong1),"",OFFSET(TH!F$1,SMALL(Dong1,ROWS($1:49)),))</f>
        <v>Phí phân tích cá khô</v>
      </c>
      <c r="F62" s="169" t="str">
        <f ca="1">IF(ROWS($1:49)&gt;COUNT(Dong1),"",IF(OFFSET(TH!O$1,SMALL(Dong1,ROWS($1:49)),)="1111",OFFSET(TH!N$1,SMALL(Dong1,ROWS($1:49)),),OFFSET(TH!O$1,SMALL(Dong1,ROWS($1:49)),)))</f>
        <v>642</v>
      </c>
      <c r="G62" s="170">
        <f ca="1">IF(ROWS($1:49)&gt;COUNT(Dong1),"",IF(OFFSET(TH!N$1,SMALL(Dong1,ROWS($1:49)),)="1111",OFFSET(TH!M$1,SMALL(Dong1,ROWS($1:49)),),0))</f>
        <v>0</v>
      </c>
      <c r="H62" s="168">
        <f ca="1">IF(ROWS($1:49)&gt;COUNT(Dong1),"",IF(OFFSET(TH!O$1,SMALL(Dong1,ROWS($1:49)),)="1111",OFFSET(TH!M$1,SMALL(Dong1,ROWS($1:49)),),0))</f>
        <v>400000</v>
      </c>
      <c r="I62" s="166">
        <f t="shared" ca="1" si="0"/>
        <v>5314177514</v>
      </c>
      <c r="J62" s="171"/>
    </row>
    <row r="63" spans="1:10" ht="19.5" customHeight="1">
      <c r="A63" s="165">
        <f ca="1">IF(ROWS($1:50)&gt;COUNT(Dong1),"",OFFSET(TH!C$1,SMALL(Dong1,ROWS($1:50)),))</f>
        <v>42384</v>
      </c>
      <c r="B63" s="165">
        <f ca="1">IF(ROWS($1:50)&gt;COUNT(Dong1),"",OFFSET(TH!E$1,SMALL(Dong1,ROWS($1:50)),))</f>
        <v>42384</v>
      </c>
      <c r="C63" s="166" t="str">
        <f ca="1">IF(ROWS($1:50)&gt;COUNT(Dong1),"",IF(OFFSET(TH!N$1,SMALL(Dong1,ROWS($1:50)),)="1111",OFFSET(TH!D$1,SMALL(Dong1,ROWS($1:50)),),""))</f>
        <v/>
      </c>
      <c r="D63" s="167" t="str">
        <f ca="1">IF(ROWS($1:50)&gt;COUNT(Dong1),"",IF(OFFSET(TH!O$1,SMALL(Dong1,ROWS($1:50)),)="1111",OFFSET(TH!D$1,SMALL(Dong1,ROWS($1:50)),),""))</f>
        <v>C26</v>
      </c>
      <c r="E63" s="382" t="str">
        <f ca="1">IF(ROWS($1:50)&gt;COUNT(Dong1),"",OFFSET(TH!F$1,SMALL(Dong1,ROWS($1:50)),))</f>
        <v>VAT Phí phân tích cá khô</v>
      </c>
      <c r="F63" s="169" t="str">
        <f ca="1">IF(ROWS($1:50)&gt;COUNT(Dong1),"",IF(OFFSET(TH!O$1,SMALL(Dong1,ROWS($1:50)),)="1111",OFFSET(TH!N$1,SMALL(Dong1,ROWS($1:50)),),OFFSET(TH!O$1,SMALL(Dong1,ROWS($1:50)),)))</f>
        <v>1331</v>
      </c>
      <c r="G63" s="170">
        <f ca="1">IF(ROWS($1:50)&gt;COUNT(Dong1),"",IF(OFFSET(TH!N$1,SMALL(Dong1,ROWS($1:50)),)="1111",OFFSET(TH!M$1,SMALL(Dong1,ROWS($1:50)),),0))</f>
        <v>0</v>
      </c>
      <c r="H63" s="168">
        <f ca="1">IF(ROWS($1:50)&gt;COUNT(Dong1),"",IF(OFFSET(TH!O$1,SMALL(Dong1,ROWS($1:50)),)="1111",OFFSET(TH!M$1,SMALL(Dong1,ROWS($1:50)),),0))</f>
        <v>20000</v>
      </c>
      <c r="I63" s="166">
        <f t="shared" ca="1" si="0"/>
        <v>5314157514</v>
      </c>
      <c r="J63" s="171"/>
    </row>
    <row r="64" spans="1:10" ht="19.5" customHeight="1">
      <c r="A64" s="165">
        <f ca="1">IF(ROWS($1:51)&gt;COUNT(Dong1),"",OFFSET(TH!C$1,SMALL(Dong1,ROWS($1:51)),))</f>
        <v>42384</v>
      </c>
      <c r="B64" s="165">
        <f ca="1">IF(ROWS($1:51)&gt;COUNT(Dong1),"",OFFSET(TH!E$1,SMALL(Dong1,ROWS($1:51)),))</f>
        <v>42384</v>
      </c>
      <c r="C64" s="166" t="str">
        <f ca="1">IF(ROWS($1:51)&gt;COUNT(Dong1),"",IF(OFFSET(TH!N$1,SMALL(Dong1,ROWS($1:51)),)="1111",OFFSET(TH!D$1,SMALL(Dong1,ROWS($1:51)),),""))</f>
        <v/>
      </c>
      <c r="D64" s="167" t="str">
        <f ca="1">IF(ROWS($1:51)&gt;COUNT(Dong1),"",IF(OFFSET(TH!O$1,SMALL(Dong1,ROWS($1:51)),)="1111",OFFSET(TH!D$1,SMALL(Dong1,ROWS($1:51)),),""))</f>
        <v>C27</v>
      </c>
      <c r="E64" s="382" t="str">
        <f ca="1">IF(ROWS($1:51)&gt;COUNT(Dong1),"",OFFSET(TH!F$1,SMALL(Dong1,ROWS($1:51)),))</f>
        <v>Bảo dưỡng xe 51F - 080.56</v>
      </c>
      <c r="F64" s="169" t="str">
        <f ca="1">IF(ROWS($1:51)&gt;COUNT(Dong1),"",IF(OFFSET(TH!O$1,SMALL(Dong1,ROWS($1:51)),)="1111",OFFSET(TH!N$1,SMALL(Dong1,ROWS($1:51)),),OFFSET(TH!O$1,SMALL(Dong1,ROWS($1:51)),)))</f>
        <v>642</v>
      </c>
      <c r="G64" s="170">
        <f ca="1">IF(ROWS($1:51)&gt;COUNT(Dong1),"",IF(OFFSET(TH!N$1,SMALL(Dong1,ROWS($1:51)),)="1111",OFFSET(TH!M$1,SMALL(Dong1,ROWS($1:51)),),0))</f>
        <v>0</v>
      </c>
      <c r="H64" s="168">
        <f ca="1">IF(ROWS($1:51)&gt;COUNT(Dong1),"",IF(OFFSET(TH!O$1,SMALL(Dong1,ROWS($1:51)),)="1111",OFFSET(TH!M$1,SMALL(Dong1,ROWS($1:51)),),0))</f>
        <v>17435800</v>
      </c>
      <c r="I64" s="166">
        <f t="shared" ca="1" si="0"/>
        <v>5296721714</v>
      </c>
      <c r="J64" s="171"/>
    </row>
    <row r="65" spans="1:10" ht="19.5" customHeight="1">
      <c r="A65" s="165">
        <f ca="1">IF(ROWS($1:52)&gt;COUNT(Dong1),"",OFFSET(TH!C$1,SMALL(Dong1,ROWS($1:52)),))</f>
        <v>42384</v>
      </c>
      <c r="B65" s="165">
        <f ca="1">IF(ROWS($1:52)&gt;COUNT(Dong1),"",OFFSET(TH!E$1,SMALL(Dong1,ROWS($1:52)),))</f>
        <v>42384</v>
      </c>
      <c r="C65" s="166" t="str">
        <f ca="1">IF(ROWS($1:52)&gt;COUNT(Dong1),"",IF(OFFSET(TH!N$1,SMALL(Dong1,ROWS($1:52)),)="1111",OFFSET(TH!D$1,SMALL(Dong1,ROWS($1:52)),),""))</f>
        <v/>
      </c>
      <c r="D65" s="167" t="str">
        <f ca="1">IF(ROWS($1:52)&gt;COUNT(Dong1),"",IF(OFFSET(TH!O$1,SMALL(Dong1,ROWS($1:52)),)="1111",OFFSET(TH!D$1,SMALL(Dong1,ROWS($1:52)),),""))</f>
        <v>C27</v>
      </c>
      <c r="E65" s="382" t="str">
        <f ca="1">IF(ROWS($1:52)&gt;COUNT(Dong1),"",OFFSET(TH!F$1,SMALL(Dong1,ROWS($1:52)),))</f>
        <v>VAT Bảo dưỡng xe 51F - 080.56</v>
      </c>
      <c r="F65" s="169" t="str">
        <f ca="1">IF(ROWS($1:52)&gt;COUNT(Dong1),"",IF(OFFSET(TH!O$1,SMALL(Dong1,ROWS($1:52)),)="1111",OFFSET(TH!N$1,SMALL(Dong1,ROWS($1:52)),),OFFSET(TH!O$1,SMALL(Dong1,ROWS($1:52)),)))</f>
        <v>1331</v>
      </c>
      <c r="G65" s="170">
        <f ca="1">IF(ROWS($1:52)&gt;COUNT(Dong1),"",IF(OFFSET(TH!N$1,SMALL(Dong1,ROWS($1:52)),)="1111",OFFSET(TH!M$1,SMALL(Dong1,ROWS($1:52)),),0))</f>
        <v>0</v>
      </c>
      <c r="H65" s="168">
        <f ca="1">IF(ROWS($1:52)&gt;COUNT(Dong1),"",IF(OFFSET(TH!O$1,SMALL(Dong1,ROWS($1:52)),)="1111",OFFSET(TH!M$1,SMALL(Dong1,ROWS($1:52)),),0))</f>
        <v>1743580</v>
      </c>
      <c r="I65" s="166">
        <f t="shared" ca="1" si="0"/>
        <v>5294978134</v>
      </c>
      <c r="J65" s="171"/>
    </row>
    <row r="66" spans="1:10" ht="19.5" customHeight="1">
      <c r="A66" s="165">
        <f ca="1">IF(ROWS($1:53)&gt;COUNT(Dong1),"",OFFSET(TH!C$1,SMALL(Dong1,ROWS($1:53)),))</f>
        <v>42387</v>
      </c>
      <c r="B66" s="165">
        <f ca="1">IF(ROWS($1:53)&gt;COUNT(Dong1),"",OFFSET(TH!E$1,SMALL(Dong1,ROWS($1:53)),))</f>
        <v>42387</v>
      </c>
      <c r="C66" s="166" t="str">
        <f ca="1">IF(ROWS($1:53)&gt;COUNT(Dong1),"",IF(OFFSET(TH!N$1,SMALL(Dong1,ROWS($1:53)),)="1111",OFFSET(TH!D$1,SMALL(Dong1,ROWS($1:53)),),""))</f>
        <v/>
      </c>
      <c r="D66" s="167" t="str">
        <f ca="1">IF(ROWS($1:53)&gt;COUNT(Dong1),"",IF(OFFSET(TH!O$1,SMALL(Dong1,ROWS($1:53)),)="1111",OFFSET(TH!D$1,SMALL(Dong1,ROWS($1:53)),),""))</f>
        <v>C28</v>
      </c>
      <c r="E66" s="382" t="str">
        <f ca="1">IF(ROWS($1:53)&gt;COUNT(Dong1),"",OFFSET(TH!F$1,SMALL(Dong1,ROWS($1:53)),))</f>
        <v>Dầu DO, Xăng</v>
      </c>
      <c r="F66" s="169" t="str">
        <f ca="1">IF(ROWS($1:53)&gt;COUNT(Dong1),"",IF(OFFSET(TH!O$1,SMALL(Dong1,ROWS($1:53)),)="1111",OFFSET(TH!N$1,SMALL(Dong1,ROWS($1:53)),),OFFSET(TH!O$1,SMALL(Dong1,ROWS($1:53)),)))</f>
        <v>642</v>
      </c>
      <c r="G66" s="170">
        <f ca="1">IF(ROWS($1:53)&gt;COUNT(Dong1),"",IF(OFFSET(TH!N$1,SMALL(Dong1,ROWS($1:53)),)="1111",OFFSET(TH!M$1,SMALL(Dong1,ROWS($1:53)),),0))</f>
        <v>0</v>
      </c>
      <c r="H66" s="168">
        <f ca="1">IF(ROWS($1:53)&gt;COUNT(Dong1),"",IF(OFFSET(TH!O$1,SMALL(Dong1,ROWS($1:53)),)="1111",OFFSET(TH!M$1,SMALL(Dong1,ROWS($1:53)),),0))</f>
        <v>1346136</v>
      </c>
      <c r="I66" s="166">
        <f t="shared" ca="1" si="0"/>
        <v>5293631998</v>
      </c>
      <c r="J66" s="171"/>
    </row>
    <row r="67" spans="1:10" ht="19.5" customHeight="1">
      <c r="A67" s="165">
        <f ca="1">IF(ROWS($1:54)&gt;COUNT(Dong1),"",OFFSET(TH!C$1,SMALL(Dong1,ROWS($1:54)),))</f>
        <v>42387</v>
      </c>
      <c r="B67" s="165">
        <f ca="1">IF(ROWS($1:54)&gt;COUNT(Dong1),"",OFFSET(TH!E$1,SMALL(Dong1,ROWS($1:54)),))</f>
        <v>42387</v>
      </c>
      <c r="C67" s="166" t="str">
        <f ca="1">IF(ROWS($1:54)&gt;COUNT(Dong1),"",IF(OFFSET(TH!N$1,SMALL(Dong1,ROWS($1:54)),)="1111",OFFSET(TH!D$1,SMALL(Dong1,ROWS($1:54)),),""))</f>
        <v/>
      </c>
      <c r="D67" s="167" t="str">
        <f ca="1">IF(ROWS($1:54)&gt;COUNT(Dong1),"",IF(OFFSET(TH!O$1,SMALL(Dong1,ROWS($1:54)),)="1111",OFFSET(TH!D$1,SMALL(Dong1,ROWS($1:54)),),""))</f>
        <v>C28</v>
      </c>
      <c r="E67" s="382" t="str">
        <f ca="1">IF(ROWS($1:54)&gt;COUNT(Dong1),"",OFFSET(TH!F$1,SMALL(Dong1,ROWS($1:54)),))</f>
        <v>VAT Dầu DO, Xăng</v>
      </c>
      <c r="F67" s="169" t="str">
        <f ca="1">IF(ROWS($1:54)&gt;COUNT(Dong1),"",IF(OFFSET(TH!O$1,SMALL(Dong1,ROWS($1:54)),)="1111",OFFSET(TH!N$1,SMALL(Dong1,ROWS($1:54)),),OFFSET(TH!O$1,SMALL(Dong1,ROWS($1:54)),)))</f>
        <v>1331</v>
      </c>
      <c r="G67" s="170">
        <f ca="1">IF(ROWS($1:54)&gt;COUNT(Dong1),"",IF(OFFSET(TH!N$1,SMALL(Dong1,ROWS($1:54)),)="1111",OFFSET(TH!M$1,SMALL(Dong1,ROWS($1:54)),),0))</f>
        <v>0</v>
      </c>
      <c r="H67" s="168">
        <f ca="1">IF(ROWS($1:54)&gt;COUNT(Dong1),"",IF(OFFSET(TH!O$1,SMALL(Dong1,ROWS($1:54)),)="1111",OFFSET(TH!M$1,SMALL(Dong1,ROWS($1:54)),),0))</f>
        <v>134614</v>
      </c>
      <c r="I67" s="166">
        <f t="shared" ca="1" si="0"/>
        <v>5293497384</v>
      </c>
      <c r="J67" s="171"/>
    </row>
    <row r="68" spans="1:10" ht="19.5" customHeight="1">
      <c r="A68" s="165">
        <f ca="1">IF(ROWS($1:55)&gt;COUNT(Dong1),"",OFFSET(TH!C$1,SMALL(Dong1,ROWS($1:55)),))</f>
        <v>42387</v>
      </c>
      <c r="B68" s="165">
        <f ca="1">IF(ROWS($1:55)&gt;COUNT(Dong1),"",OFFSET(TH!E$1,SMALL(Dong1,ROWS($1:55)),))</f>
        <v>42387</v>
      </c>
      <c r="C68" s="166" t="str">
        <f ca="1">IF(ROWS($1:55)&gt;COUNT(Dong1),"",IF(OFFSET(TH!N$1,SMALL(Dong1,ROWS($1:55)),)="1111",OFFSET(TH!D$1,SMALL(Dong1,ROWS($1:55)),),""))</f>
        <v/>
      </c>
      <c r="D68" s="167" t="str">
        <f ca="1">IF(ROWS($1:55)&gt;COUNT(Dong1),"",IF(OFFSET(TH!O$1,SMALL(Dong1,ROWS($1:55)),)="1111",OFFSET(TH!D$1,SMALL(Dong1,ROWS($1:55)),),""))</f>
        <v>C29</v>
      </c>
      <c r="E68" s="382" t="str">
        <f ca="1">IF(ROWS($1:55)&gt;COUNT(Dong1),"",OFFSET(TH!F$1,SMALL(Dong1,ROWS($1:55)),))</f>
        <v>Thanh toán tiền đường</v>
      </c>
      <c r="F68" s="169" t="str">
        <f ca="1">IF(ROWS($1:55)&gt;COUNT(Dong1),"",IF(OFFSET(TH!O$1,SMALL(Dong1,ROWS($1:55)),)="1111",OFFSET(TH!N$1,SMALL(Dong1,ROWS($1:55)),),OFFSET(TH!O$1,SMALL(Dong1,ROWS($1:55)),)))</f>
        <v>331</v>
      </c>
      <c r="G68" s="170">
        <f ca="1">IF(ROWS($1:55)&gt;COUNT(Dong1),"",IF(OFFSET(TH!N$1,SMALL(Dong1,ROWS($1:55)),)="1111",OFFSET(TH!M$1,SMALL(Dong1,ROWS($1:55)),),0))</f>
        <v>0</v>
      </c>
      <c r="H68" s="168">
        <f ca="1">IF(ROWS($1:55)&gt;COUNT(Dong1),"",IF(OFFSET(TH!O$1,SMALL(Dong1,ROWS($1:55)),)="1111",OFFSET(TH!M$1,SMALL(Dong1,ROWS($1:55)),),0))</f>
        <v>15250000</v>
      </c>
      <c r="I68" s="166">
        <f t="shared" ca="1" si="0"/>
        <v>5278247384</v>
      </c>
      <c r="J68" s="171"/>
    </row>
    <row r="69" spans="1:10" ht="19.5" customHeight="1">
      <c r="A69" s="165">
        <f ca="1">IF(ROWS($1:56)&gt;COUNT(Dong1),"",OFFSET(TH!C$1,SMALL(Dong1,ROWS($1:56)),))</f>
        <v>42388</v>
      </c>
      <c r="B69" s="165">
        <f ca="1">IF(ROWS($1:56)&gt;COUNT(Dong1),"",OFFSET(TH!E$1,SMALL(Dong1,ROWS($1:56)),))</f>
        <v>42388</v>
      </c>
      <c r="C69" s="166" t="str">
        <f ca="1">IF(ROWS($1:56)&gt;COUNT(Dong1),"",IF(OFFSET(TH!N$1,SMALL(Dong1,ROWS($1:56)),)="1111",OFFSET(TH!D$1,SMALL(Dong1,ROWS($1:56)),),""))</f>
        <v/>
      </c>
      <c r="D69" s="167" t="str">
        <f ca="1">IF(ROWS($1:56)&gt;COUNT(Dong1),"",IF(OFFSET(TH!O$1,SMALL(Dong1,ROWS($1:56)),)="1111",OFFSET(TH!D$1,SMALL(Dong1,ROWS($1:56)),),""))</f>
        <v>C30</v>
      </c>
      <c r="E69" s="382" t="str">
        <f ca="1">IF(ROWS($1:56)&gt;COUNT(Dong1),"",OFFSET(TH!F$1,SMALL(Dong1,ROWS($1:56)),))</f>
        <v>Xăng</v>
      </c>
      <c r="F69" s="169" t="str">
        <f ca="1">IF(ROWS($1:56)&gt;COUNT(Dong1),"",IF(OFFSET(TH!O$1,SMALL(Dong1,ROWS($1:56)),)="1111",OFFSET(TH!N$1,SMALL(Dong1,ROWS($1:56)),),OFFSET(TH!O$1,SMALL(Dong1,ROWS($1:56)),)))</f>
        <v>642</v>
      </c>
      <c r="G69" s="170">
        <f ca="1">IF(ROWS($1:56)&gt;COUNT(Dong1),"",IF(OFFSET(TH!N$1,SMALL(Dong1,ROWS($1:56)),)="1111",OFFSET(TH!M$1,SMALL(Dong1,ROWS($1:56)),),0))</f>
        <v>0</v>
      </c>
      <c r="H69" s="168">
        <f ca="1">IF(ROWS($1:56)&gt;COUNT(Dong1),"",IF(OFFSET(TH!O$1,SMALL(Dong1,ROWS($1:56)),)="1111",OFFSET(TH!M$1,SMALL(Dong1,ROWS($1:56)),),0))</f>
        <v>29145</v>
      </c>
      <c r="I69" s="166">
        <f t="shared" ca="1" si="0"/>
        <v>5278218239</v>
      </c>
      <c r="J69" s="171"/>
    </row>
    <row r="70" spans="1:10" ht="19.5" customHeight="1">
      <c r="A70" s="165">
        <f ca="1">IF(ROWS($1:57)&gt;COUNT(Dong1),"",OFFSET(TH!C$1,SMALL(Dong1,ROWS($1:57)),))</f>
        <v>42388</v>
      </c>
      <c r="B70" s="165">
        <f ca="1">IF(ROWS($1:57)&gt;COUNT(Dong1),"",OFFSET(TH!E$1,SMALL(Dong1,ROWS($1:57)),))</f>
        <v>42388</v>
      </c>
      <c r="C70" s="166" t="str">
        <f ca="1">IF(ROWS($1:57)&gt;COUNT(Dong1),"",IF(OFFSET(TH!N$1,SMALL(Dong1,ROWS($1:57)),)="1111",OFFSET(TH!D$1,SMALL(Dong1,ROWS($1:57)),),""))</f>
        <v/>
      </c>
      <c r="D70" s="167" t="str">
        <f ca="1">IF(ROWS($1:57)&gt;COUNT(Dong1),"",IF(OFFSET(TH!O$1,SMALL(Dong1,ROWS($1:57)),)="1111",OFFSET(TH!D$1,SMALL(Dong1,ROWS($1:57)),),""))</f>
        <v>C30</v>
      </c>
      <c r="E70" s="382" t="str">
        <f ca="1">IF(ROWS($1:57)&gt;COUNT(Dong1),"",OFFSET(TH!F$1,SMALL(Dong1,ROWS($1:57)),))</f>
        <v>VAT Xăng</v>
      </c>
      <c r="F70" s="169" t="str">
        <f ca="1">IF(ROWS($1:57)&gt;COUNT(Dong1),"",IF(OFFSET(TH!O$1,SMALL(Dong1,ROWS($1:57)),)="1111",OFFSET(TH!N$1,SMALL(Dong1,ROWS($1:57)),),OFFSET(TH!O$1,SMALL(Dong1,ROWS($1:57)),)))</f>
        <v>1331</v>
      </c>
      <c r="G70" s="170">
        <f ca="1">IF(ROWS($1:57)&gt;COUNT(Dong1),"",IF(OFFSET(TH!N$1,SMALL(Dong1,ROWS($1:57)),)="1111",OFFSET(TH!M$1,SMALL(Dong1,ROWS($1:57)),),0))</f>
        <v>0</v>
      </c>
      <c r="H70" s="168">
        <f ca="1">IF(ROWS($1:57)&gt;COUNT(Dong1),"",IF(OFFSET(TH!O$1,SMALL(Dong1,ROWS($1:57)),)="1111",OFFSET(TH!M$1,SMALL(Dong1,ROWS($1:57)),),0))</f>
        <v>2915</v>
      </c>
      <c r="I70" s="166">
        <f t="shared" ca="1" si="0"/>
        <v>5278215324</v>
      </c>
      <c r="J70" s="171"/>
    </row>
    <row r="71" spans="1:10" ht="19.5" customHeight="1">
      <c r="A71" s="165">
        <f ca="1">IF(ROWS($1:58)&gt;COUNT(Dong1),"",OFFSET(TH!C$1,SMALL(Dong1,ROWS($1:58)),))</f>
        <v>42389</v>
      </c>
      <c r="B71" s="165">
        <f ca="1">IF(ROWS($1:58)&gt;COUNT(Dong1),"",OFFSET(TH!E$1,SMALL(Dong1,ROWS($1:58)),))</f>
        <v>42389</v>
      </c>
      <c r="C71" s="166" t="str">
        <f ca="1">IF(ROWS($1:58)&gt;COUNT(Dong1),"",IF(OFFSET(TH!N$1,SMALL(Dong1,ROWS($1:58)),)="1111",OFFSET(TH!D$1,SMALL(Dong1,ROWS($1:58)),),""))</f>
        <v/>
      </c>
      <c r="D71" s="167" t="str">
        <f ca="1">IF(ROWS($1:58)&gt;COUNT(Dong1),"",IF(OFFSET(TH!O$1,SMALL(Dong1,ROWS($1:58)),)="1111",OFFSET(TH!D$1,SMALL(Dong1,ROWS($1:58)),),""))</f>
        <v>C31</v>
      </c>
      <c r="E71" s="382" t="str">
        <f ca="1">IF(ROWS($1:58)&gt;COUNT(Dong1),"",OFFSET(TH!F$1,SMALL(Dong1,ROWS($1:58)),))</f>
        <v>Xăng</v>
      </c>
      <c r="F71" s="169" t="str">
        <f ca="1">IF(ROWS($1:58)&gt;COUNT(Dong1),"",IF(OFFSET(TH!O$1,SMALL(Dong1,ROWS($1:58)),)="1111",OFFSET(TH!N$1,SMALL(Dong1,ROWS($1:58)),),OFFSET(TH!O$1,SMALL(Dong1,ROWS($1:58)),)))</f>
        <v>642</v>
      </c>
      <c r="G71" s="170">
        <f ca="1">IF(ROWS($1:58)&gt;COUNT(Dong1),"",IF(OFFSET(TH!N$1,SMALL(Dong1,ROWS($1:58)),)="1111",OFFSET(TH!M$1,SMALL(Dong1,ROWS($1:58)),),0))</f>
        <v>0</v>
      </c>
      <c r="H71" s="168">
        <f ca="1">IF(ROWS($1:58)&gt;COUNT(Dong1),"",IF(OFFSET(TH!O$1,SMALL(Dong1,ROWS($1:58)),)="1111",OFFSET(TH!M$1,SMALL(Dong1,ROWS($1:58)),),0))</f>
        <v>689618</v>
      </c>
      <c r="I71" s="166">
        <f t="shared" ca="1" si="0"/>
        <v>5277525706</v>
      </c>
      <c r="J71" s="171"/>
    </row>
    <row r="72" spans="1:10" ht="19.5" customHeight="1">
      <c r="A72" s="165">
        <f ca="1">IF(ROWS($1:59)&gt;COUNT(Dong1),"",OFFSET(TH!C$1,SMALL(Dong1,ROWS($1:59)),))</f>
        <v>42389</v>
      </c>
      <c r="B72" s="165">
        <f ca="1">IF(ROWS($1:59)&gt;COUNT(Dong1),"",OFFSET(TH!E$1,SMALL(Dong1,ROWS($1:59)),))</f>
        <v>42389</v>
      </c>
      <c r="C72" s="166" t="str">
        <f ca="1">IF(ROWS($1:59)&gt;COUNT(Dong1),"",IF(OFFSET(TH!N$1,SMALL(Dong1,ROWS($1:59)),)="1111",OFFSET(TH!D$1,SMALL(Dong1,ROWS($1:59)),),""))</f>
        <v/>
      </c>
      <c r="D72" s="167" t="str">
        <f ca="1">IF(ROWS($1:59)&gt;COUNT(Dong1),"",IF(OFFSET(TH!O$1,SMALL(Dong1,ROWS($1:59)),)="1111",OFFSET(TH!D$1,SMALL(Dong1,ROWS($1:59)),),""))</f>
        <v>C31</v>
      </c>
      <c r="E72" s="382" t="str">
        <f ca="1">IF(ROWS($1:59)&gt;COUNT(Dong1),"",OFFSET(TH!F$1,SMALL(Dong1,ROWS($1:59)),))</f>
        <v>VAT Xăng</v>
      </c>
      <c r="F72" s="169" t="str">
        <f ca="1">IF(ROWS($1:59)&gt;COUNT(Dong1),"",IF(OFFSET(TH!O$1,SMALL(Dong1,ROWS($1:59)),)="1111",OFFSET(TH!N$1,SMALL(Dong1,ROWS($1:59)),),OFFSET(TH!O$1,SMALL(Dong1,ROWS($1:59)),)))</f>
        <v>1331</v>
      </c>
      <c r="G72" s="170">
        <f ca="1">IF(ROWS($1:59)&gt;COUNT(Dong1),"",IF(OFFSET(TH!N$1,SMALL(Dong1,ROWS($1:59)),)="1111",OFFSET(TH!M$1,SMALL(Dong1,ROWS($1:59)),),0))</f>
        <v>0</v>
      </c>
      <c r="H72" s="168">
        <f ca="1">IF(ROWS($1:59)&gt;COUNT(Dong1),"",IF(OFFSET(TH!O$1,SMALL(Dong1,ROWS($1:59)),)="1111",OFFSET(TH!M$1,SMALL(Dong1,ROWS($1:59)),),0))</f>
        <v>68962</v>
      </c>
      <c r="I72" s="166">
        <f t="shared" ca="1" si="0"/>
        <v>5277456744</v>
      </c>
      <c r="J72" s="171"/>
    </row>
    <row r="73" spans="1:10" ht="19.5" customHeight="1">
      <c r="A73" s="165">
        <f ca="1">IF(ROWS($1:60)&gt;COUNT(Dong1),"",OFFSET(TH!C$1,SMALL(Dong1,ROWS($1:60)),))</f>
        <v>42390</v>
      </c>
      <c r="B73" s="165">
        <f ca="1">IF(ROWS($1:60)&gt;COUNT(Dong1),"",OFFSET(TH!E$1,SMALL(Dong1,ROWS($1:60)),))</f>
        <v>42390</v>
      </c>
      <c r="C73" s="166" t="str">
        <f ca="1">IF(ROWS($1:60)&gt;COUNT(Dong1),"",IF(OFFSET(TH!N$1,SMALL(Dong1,ROWS($1:60)),)="1111",OFFSET(TH!D$1,SMALL(Dong1,ROWS($1:60)),),""))</f>
        <v/>
      </c>
      <c r="D73" s="167" t="str">
        <f ca="1">IF(ROWS($1:60)&gt;COUNT(Dong1),"",IF(OFFSET(TH!O$1,SMALL(Dong1,ROWS($1:60)),)="1111",OFFSET(TH!D$1,SMALL(Dong1,ROWS($1:60)),),""))</f>
        <v>C32</v>
      </c>
      <c r="E73" s="382" t="str">
        <f ca="1">IF(ROWS($1:60)&gt;COUNT(Dong1),"",OFFSET(TH!F$1,SMALL(Dong1,ROWS($1:60)),))</f>
        <v>Dầu DO</v>
      </c>
      <c r="F73" s="169" t="str">
        <f ca="1">IF(ROWS($1:60)&gt;COUNT(Dong1),"",IF(OFFSET(TH!O$1,SMALL(Dong1,ROWS($1:60)),)="1111",OFFSET(TH!N$1,SMALL(Dong1,ROWS($1:60)),),OFFSET(TH!O$1,SMALL(Dong1,ROWS($1:60)),)))</f>
        <v>642</v>
      </c>
      <c r="G73" s="170">
        <f ca="1">IF(ROWS($1:60)&gt;COUNT(Dong1),"",IF(OFFSET(TH!N$1,SMALL(Dong1,ROWS($1:60)),)="1111",OFFSET(TH!M$1,SMALL(Dong1,ROWS($1:60)),),0))</f>
        <v>0</v>
      </c>
      <c r="H73" s="168">
        <f ca="1">IF(ROWS($1:60)&gt;COUNT(Dong1),"",IF(OFFSET(TH!O$1,SMALL(Dong1,ROWS($1:60)),)="1111",OFFSET(TH!M$1,SMALL(Dong1,ROWS($1:60)),),0))</f>
        <v>380182</v>
      </c>
      <c r="I73" s="166">
        <f t="shared" ca="1" si="0"/>
        <v>5277076562</v>
      </c>
      <c r="J73" s="171"/>
    </row>
    <row r="74" spans="1:10" ht="19.5" customHeight="1">
      <c r="A74" s="165">
        <f ca="1">IF(ROWS($1:61)&gt;COUNT(Dong1),"",OFFSET(TH!C$1,SMALL(Dong1,ROWS($1:61)),))</f>
        <v>42390</v>
      </c>
      <c r="B74" s="165">
        <f ca="1">IF(ROWS($1:61)&gt;COUNT(Dong1),"",OFFSET(TH!E$1,SMALL(Dong1,ROWS($1:61)),))</f>
        <v>42390</v>
      </c>
      <c r="C74" s="166" t="str">
        <f ca="1">IF(ROWS($1:61)&gt;COUNT(Dong1),"",IF(OFFSET(TH!N$1,SMALL(Dong1,ROWS($1:61)),)="1111",OFFSET(TH!D$1,SMALL(Dong1,ROWS($1:61)),),""))</f>
        <v/>
      </c>
      <c r="D74" s="167" t="str">
        <f ca="1">IF(ROWS($1:61)&gt;COUNT(Dong1),"",IF(OFFSET(TH!O$1,SMALL(Dong1,ROWS($1:61)),)="1111",OFFSET(TH!D$1,SMALL(Dong1,ROWS($1:61)),),""))</f>
        <v>C32</v>
      </c>
      <c r="E74" s="382" t="str">
        <f ca="1">IF(ROWS($1:61)&gt;COUNT(Dong1),"",OFFSET(TH!F$1,SMALL(Dong1,ROWS($1:61)),))</f>
        <v>VAT Dầu DO</v>
      </c>
      <c r="F74" s="169" t="str">
        <f ca="1">IF(ROWS($1:61)&gt;COUNT(Dong1),"",IF(OFFSET(TH!O$1,SMALL(Dong1,ROWS($1:61)),)="1111",OFFSET(TH!N$1,SMALL(Dong1,ROWS($1:61)),),OFFSET(TH!O$1,SMALL(Dong1,ROWS($1:61)),)))</f>
        <v>1331</v>
      </c>
      <c r="G74" s="170">
        <f ca="1">IF(ROWS($1:61)&gt;COUNT(Dong1),"",IF(OFFSET(TH!N$1,SMALL(Dong1,ROWS($1:61)),)="1111",OFFSET(TH!M$1,SMALL(Dong1,ROWS($1:61)),),0))</f>
        <v>0</v>
      </c>
      <c r="H74" s="168">
        <f ca="1">IF(ROWS($1:61)&gt;COUNT(Dong1),"",IF(OFFSET(TH!O$1,SMALL(Dong1,ROWS($1:61)),)="1111",OFFSET(TH!M$1,SMALL(Dong1,ROWS($1:61)),),0))</f>
        <v>38018</v>
      </c>
      <c r="I74" s="166">
        <f t="shared" ca="1" si="0"/>
        <v>5277038544</v>
      </c>
      <c r="J74" s="171"/>
    </row>
    <row r="75" spans="1:10" ht="19.5" customHeight="1">
      <c r="A75" s="165">
        <f ca="1">IF(ROWS($1:62)&gt;COUNT(Dong1),"",OFFSET(TH!C$1,SMALL(Dong1,ROWS($1:62)),))</f>
        <v>42390</v>
      </c>
      <c r="B75" s="165">
        <f ca="1">IF(ROWS($1:62)&gt;COUNT(Dong1),"",OFFSET(TH!E$1,SMALL(Dong1,ROWS($1:62)),))</f>
        <v>42390</v>
      </c>
      <c r="C75" s="166" t="str">
        <f ca="1">IF(ROWS($1:62)&gt;COUNT(Dong1),"",IF(OFFSET(TH!N$1,SMALL(Dong1,ROWS($1:62)),)="1111",OFFSET(TH!D$1,SMALL(Dong1,ROWS($1:62)),),""))</f>
        <v/>
      </c>
      <c r="D75" s="167" t="str">
        <f ca="1">IF(ROWS($1:62)&gt;COUNT(Dong1),"",IF(OFFSET(TH!O$1,SMALL(Dong1,ROWS($1:62)),)="1111",OFFSET(TH!D$1,SMALL(Dong1,ROWS($1:62)),),""))</f>
        <v>C33</v>
      </c>
      <c r="E75" s="382" t="str">
        <f ca="1">IF(ROWS($1:62)&gt;COUNT(Dong1),"",OFFSET(TH!F$1,SMALL(Dong1,ROWS($1:62)),))</f>
        <v>Tạm ứng mua NL</v>
      </c>
      <c r="F75" s="169" t="str">
        <f ca="1">IF(ROWS($1:62)&gt;COUNT(Dong1),"",IF(OFFSET(TH!O$1,SMALL(Dong1,ROWS($1:62)),)="1111",OFFSET(TH!N$1,SMALL(Dong1,ROWS($1:62)),),OFFSET(TH!O$1,SMALL(Dong1,ROWS($1:62)),)))</f>
        <v>141</v>
      </c>
      <c r="G75" s="170">
        <f ca="1">IF(ROWS($1:62)&gt;COUNT(Dong1),"",IF(OFFSET(TH!N$1,SMALL(Dong1,ROWS($1:62)),)="1111",OFFSET(TH!M$1,SMALL(Dong1,ROWS($1:62)),),0))</f>
        <v>0</v>
      </c>
      <c r="H75" s="168">
        <f ca="1">IF(ROWS($1:62)&gt;COUNT(Dong1),"",IF(OFFSET(TH!O$1,SMALL(Dong1,ROWS($1:62)),)="1111",OFFSET(TH!M$1,SMALL(Dong1,ROWS($1:62)),),0))</f>
        <v>500000000</v>
      </c>
      <c r="I75" s="166">
        <f t="shared" ca="1" si="0"/>
        <v>4777038544</v>
      </c>
      <c r="J75" s="171"/>
    </row>
    <row r="76" spans="1:10" ht="19.5" customHeight="1">
      <c r="A76" s="165">
        <f ca="1">IF(ROWS($1:63)&gt;COUNT(Dong1),"",OFFSET(TH!C$1,SMALL(Dong1,ROWS($1:63)),))</f>
        <v>42391</v>
      </c>
      <c r="B76" s="165">
        <f ca="1">IF(ROWS($1:63)&gt;COUNT(Dong1),"",OFFSET(TH!E$1,SMALL(Dong1,ROWS($1:63)),))</f>
        <v>42391</v>
      </c>
      <c r="C76" s="166" t="str">
        <f ca="1">IF(ROWS($1:63)&gt;COUNT(Dong1),"",IF(OFFSET(TH!N$1,SMALL(Dong1,ROWS($1:63)),)="1111",OFFSET(TH!D$1,SMALL(Dong1,ROWS($1:63)),),""))</f>
        <v/>
      </c>
      <c r="D76" s="167" t="str">
        <f ca="1">IF(ROWS($1:63)&gt;COUNT(Dong1),"",IF(OFFSET(TH!O$1,SMALL(Dong1,ROWS($1:63)),)="1111",OFFSET(TH!D$1,SMALL(Dong1,ROWS($1:63)),),""))</f>
        <v>C34</v>
      </c>
      <c r="E76" s="382" t="str">
        <f ca="1">IF(ROWS($1:63)&gt;COUNT(Dong1),"",OFFSET(TH!F$1,SMALL(Dong1,ROWS($1:63)),))</f>
        <v>Q4 - Nộp tiền mặt vào TK</v>
      </c>
      <c r="F76" s="169" t="str">
        <f ca="1">IF(ROWS($1:63)&gt;COUNT(Dong1),"",IF(OFFSET(TH!O$1,SMALL(Dong1,ROWS($1:63)),)="1111",OFFSET(TH!N$1,SMALL(Dong1,ROWS($1:63)),),OFFSET(TH!O$1,SMALL(Dong1,ROWS($1:63)),)))</f>
        <v>1121</v>
      </c>
      <c r="G76" s="170">
        <f ca="1">IF(ROWS($1:63)&gt;COUNT(Dong1),"",IF(OFFSET(TH!N$1,SMALL(Dong1,ROWS($1:63)),)="1111",OFFSET(TH!M$1,SMALL(Dong1,ROWS($1:63)),),0))</f>
        <v>0</v>
      </c>
      <c r="H76" s="168">
        <f ca="1">IF(ROWS($1:63)&gt;COUNT(Dong1),"",IF(OFFSET(TH!O$1,SMALL(Dong1,ROWS($1:63)),)="1111",OFFSET(TH!M$1,SMALL(Dong1,ROWS($1:63)),),0))</f>
        <v>20000000</v>
      </c>
      <c r="I76" s="166">
        <f t="shared" ca="1" si="0"/>
        <v>4757038544</v>
      </c>
      <c r="J76" s="171"/>
    </row>
    <row r="77" spans="1:10" ht="19.5" customHeight="1">
      <c r="A77" s="165">
        <f ca="1">IF(ROWS($1:64)&gt;COUNT(Dong1),"",OFFSET(TH!C$1,SMALL(Dong1,ROWS($1:64)),))</f>
        <v>42392</v>
      </c>
      <c r="B77" s="165">
        <f ca="1">IF(ROWS($1:64)&gt;COUNT(Dong1),"",OFFSET(TH!E$1,SMALL(Dong1,ROWS($1:64)),))</f>
        <v>42392</v>
      </c>
      <c r="C77" s="166" t="str">
        <f ca="1">IF(ROWS($1:64)&gt;COUNT(Dong1),"",IF(OFFSET(TH!N$1,SMALL(Dong1,ROWS($1:64)),)="1111",OFFSET(TH!D$1,SMALL(Dong1,ROWS($1:64)),),""))</f>
        <v/>
      </c>
      <c r="D77" s="167" t="str">
        <f ca="1">IF(ROWS($1:64)&gt;COUNT(Dong1),"",IF(OFFSET(TH!O$1,SMALL(Dong1,ROWS($1:64)),)="1111",OFFSET(TH!D$1,SMALL(Dong1,ROWS($1:64)),),""))</f>
        <v>C35</v>
      </c>
      <c r="E77" s="382" t="str">
        <f ca="1">IF(ROWS($1:64)&gt;COUNT(Dong1),"",OFFSET(TH!F$1,SMALL(Dong1,ROWS($1:64)),))</f>
        <v>Tạm ứng mua NL</v>
      </c>
      <c r="F77" s="169" t="str">
        <f ca="1">IF(ROWS($1:64)&gt;COUNT(Dong1),"",IF(OFFSET(TH!O$1,SMALL(Dong1,ROWS($1:64)),)="1111",OFFSET(TH!N$1,SMALL(Dong1,ROWS($1:64)),),OFFSET(TH!O$1,SMALL(Dong1,ROWS($1:64)),)))</f>
        <v>141</v>
      </c>
      <c r="G77" s="170">
        <f ca="1">IF(ROWS($1:64)&gt;COUNT(Dong1),"",IF(OFFSET(TH!N$1,SMALL(Dong1,ROWS($1:64)),)="1111",OFFSET(TH!M$1,SMALL(Dong1,ROWS($1:64)),),0))</f>
        <v>0</v>
      </c>
      <c r="H77" s="168">
        <f ca="1">IF(ROWS($1:64)&gt;COUNT(Dong1),"",IF(OFFSET(TH!O$1,SMALL(Dong1,ROWS($1:64)),)="1111",OFFSET(TH!M$1,SMALL(Dong1,ROWS($1:64)),),0))</f>
        <v>500000000</v>
      </c>
      <c r="I77" s="166">
        <f t="shared" ca="1" si="0"/>
        <v>4257038544</v>
      </c>
      <c r="J77" s="171"/>
    </row>
    <row r="78" spans="1:10" ht="19.5" customHeight="1">
      <c r="A78" s="165">
        <f ca="1">IF(ROWS($1:65)&gt;COUNT(Dong1),"",OFFSET(TH!C$1,SMALL(Dong1,ROWS($1:65)),))</f>
        <v>42393</v>
      </c>
      <c r="B78" s="165">
        <f ca="1">IF(ROWS($1:65)&gt;COUNT(Dong1),"",OFFSET(TH!E$1,SMALL(Dong1,ROWS($1:65)),))</f>
        <v>42393</v>
      </c>
      <c r="C78" s="166" t="str">
        <f ca="1">IF(ROWS($1:65)&gt;COUNT(Dong1),"",IF(OFFSET(TH!N$1,SMALL(Dong1,ROWS($1:65)),)="1111",OFFSET(TH!D$1,SMALL(Dong1,ROWS($1:65)),),""))</f>
        <v/>
      </c>
      <c r="D78" s="167" t="str">
        <f ca="1">IF(ROWS($1:65)&gt;COUNT(Dong1),"",IF(OFFSET(TH!O$1,SMALL(Dong1,ROWS($1:65)),)="1111",OFFSET(TH!D$1,SMALL(Dong1,ROWS($1:65)),),""))</f>
        <v>C36</v>
      </c>
      <c r="E78" s="382" t="str">
        <f ca="1">IF(ROWS($1:65)&gt;COUNT(Dong1),"",OFFSET(TH!F$1,SMALL(Dong1,ROWS($1:65)),))</f>
        <v>Dầu DO, Xăng</v>
      </c>
      <c r="F78" s="169" t="str">
        <f ca="1">IF(ROWS($1:65)&gt;COUNT(Dong1),"",IF(OFFSET(TH!O$1,SMALL(Dong1,ROWS($1:65)),)="1111",OFFSET(TH!N$1,SMALL(Dong1,ROWS($1:65)),),OFFSET(TH!O$1,SMALL(Dong1,ROWS($1:65)),)))</f>
        <v>642</v>
      </c>
      <c r="G78" s="170">
        <f ca="1">IF(ROWS($1:65)&gt;COUNT(Dong1),"",IF(OFFSET(TH!N$1,SMALL(Dong1,ROWS($1:65)),)="1111",OFFSET(TH!M$1,SMALL(Dong1,ROWS($1:65)),),0))</f>
        <v>0</v>
      </c>
      <c r="H78" s="168">
        <f ca="1">IF(ROWS($1:65)&gt;COUNT(Dong1),"",IF(OFFSET(TH!O$1,SMALL(Dong1,ROWS($1:65)),)="1111",OFFSET(TH!M$1,SMALL(Dong1,ROWS($1:65)),),0))</f>
        <v>1137764</v>
      </c>
      <c r="I78" s="166">
        <f t="shared" ca="1" si="0"/>
        <v>4255900780</v>
      </c>
      <c r="J78" s="171"/>
    </row>
    <row r="79" spans="1:10" ht="19.5" customHeight="1">
      <c r="A79" s="165">
        <f ca="1">IF(ROWS($1:66)&gt;COUNT(Dong1),"",OFFSET(TH!C$1,SMALL(Dong1,ROWS($1:66)),))</f>
        <v>42393</v>
      </c>
      <c r="B79" s="165">
        <f ca="1">IF(ROWS($1:66)&gt;COUNT(Dong1),"",OFFSET(TH!E$1,SMALL(Dong1,ROWS($1:66)),))</f>
        <v>42393</v>
      </c>
      <c r="C79" s="166" t="str">
        <f ca="1">IF(ROWS($1:66)&gt;COUNT(Dong1),"",IF(OFFSET(TH!N$1,SMALL(Dong1,ROWS($1:66)),)="1111",OFFSET(TH!D$1,SMALL(Dong1,ROWS($1:66)),),""))</f>
        <v/>
      </c>
      <c r="D79" s="167" t="str">
        <f ca="1">IF(ROWS($1:66)&gt;COUNT(Dong1),"",IF(OFFSET(TH!O$1,SMALL(Dong1,ROWS($1:66)),)="1111",OFFSET(TH!D$1,SMALL(Dong1,ROWS($1:66)),),""))</f>
        <v>C36</v>
      </c>
      <c r="E79" s="382" t="str">
        <f ca="1">IF(ROWS($1:66)&gt;COUNT(Dong1),"",OFFSET(TH!F$1,SMALL(Dong1,ROWS($1:66)),))</f>
        <v>VAT Dầu DO, Xăng</v>
      </c>
      <c r="F79" s="169" t="str">
        <f ca="1">IF(ROWS($1:66)&gt;COUNT(Dong1),"",IF(OFFSET(TH!O$1,SMALL(Dong1,ROWS($1:66)),)="1111",OFFSET(TH!N$1,SMALL(Dong1,ROWS($1:66)),),OFFSET(TH!O$1,SMALL(Dong1,ROWS($1:66)),)))</f>
        <v>1331</v>
      </c>
      <c r="G79" s="170">
        <f ca="1">IF(ROWS($1:66)&gt;COUNT(Dong1),"",IF(OFFSET(TH!N$1,SMALL(Dong1,ROWS($1:66)),)="1111",OFFSET(TH!M$1,SMALL(Dong1,ROWS($1:66)),),0))</f>
        <v>0</v>
      </c>
      <c r="H79" s="168">
        <f ca="1">IF(ROWS($1:66)&gt;COUNT(Dong1),"",IF(OFFSET(TH!O$1,SMALL(Dong1,ROWS($1:66)),)="1111",OFFSET(TH!M$1,SMALL(Dong1,ROWS($1:66)),),0))</f>
        <v>113776</v>
      </c>
      <c r="I79" s="166">
        <f t="shared" ref="I79:I100" ca="1" si="1">IF(E79&lt;&gt;"",I78+G79-H79,0)</f>
        <v>4255787004</v>
      </c>
      <c r="J79" s="171"/>
    </row>
    <row r="80" spans="1:10" ht="19.5" customHeight="1">
      <c r="A80" s="165">
        <f ca="1">IF(ROWS($1:67)&gt;COUNT(Dong1),"",OFFSET(TH!C$1,SMALL(Dong1,ROWS($1:67)),))</f>
        <v>42394</v>
      </c>
      <c r="B80" s="165">
        <f ca="1">IF(ROWS($1:67)&gt;COUNT(Dong1),"",OFFSET(TH!E$1,SMALL(Dong1,ROWS($1:67)),))</f>
        <v>42394</v>
      </c>
      <c r="C80" s="166" t="str">
        <f ca="1">IF(ROWS($1:67)&gt;COUNT(Dong1),"",IF(OFFSET(TH!N$1,SMALL(Dong1,ROWS($1:67)),)="1111",OFFSET(TH!D$1,SMALL(Dong1,ROWS($1:67)),),""))</f>
        <v/>
      </c>
      <c r="D80" s="167" t="str">
        <f ca="1">IF(ROWS($1:67)&gt;COUNT(Dong1),"",IF(OFFSET(TH!O$1,SMALL(Dong1,ROWS($1:67)),)="1111",OFFSET(TH!D$1,SMALL(Dong1,ROWS($1:67)),),""))</f>
        <v>C37</v>
      </c>
      <c r="E80" s="382" t="str">
        <f ca="1">IF(ROWS($1:67)&gt;COUNT(Dong1),"",OFFSET(TH!F$1,SMALL(Dong1,ROWS($1:67)),))</f>
        <v>Q11 - Nộp tiền mặt vào TK</v>
      </c>
      <c r="F80" s="169" t="str">
        <f ca="1">IF(ROWS($1:67)&gt;COUNT(Dong1),"",IF(OFFSET(TH!O$1,SMALL(Dong1,ROWS($1:67)),)="1111",OFFSET(TH!N$1,SMALL(Dong1,ROWS($1:67)),),OFFSET(TH!O$1,SMALL(Dong1,ROWS($1:67)),)))</f>
        <v>1121</v>
      </c>
      <c r="G80" s="170">
        <f ca="1">IF(ROWS($1:67)&gt;COUNT(Dong1),"",IF(OFFSET(TH!N$1,SMALL(Dong1,ROWS($1:67)),)="1111",OFFSET(TH!M$1,SMALL(Dong1,ROWS($1:67)),),0))</f>
        <v>0</v>
      </c>
      <c r="H80" s="168">
        <f ca="1">IF(ROWS($1:67)&gt;COUNT(Dong1),"",IF(OFFSET(TH!O$1,SMALL(Dong1,ROWS($1:67)),)="1111",OFFSET(TH!M$1,SMALL(Dong1,ROWS($1:67)),),0))</f>
        <v>2168920000</v>
      </c>
      <c r="I80" s="166">
        <f t="shared" ca="1" si="1"/>
        <v>2086867004</v>
      </c>
      <c r="J80" s="171"/>
    </row>
    <row r="81" spans="1:10" ht="19.5" customHeight="1">
      <c r="A81" s="165">
        <f ca="1">IF(ROWS($1:68)&gt;COUNT(Dong1),"",OFFSET(TH!C$1,SMALL(Dong1,ROWS($1:68)),))</f>
        <v>42394</v>
      </c>
      <c r="B81" s="165">
        <f ca="1">IF(ROWS($1:68)&gt;COUNT(Dong1),"",OFFSET(TH!E$1,SMALL(Dong1,ROWS($1:68)),))</f>
        <v>42394</v>
      </c>
      <c r="C81" s="166" t="str">
        <f ca="1">IF(ROWS($1:68)&gt;COUNT(Dong1),"",IF(OFFSET(TH!N$1,SMALL(Dong1,ROWS($1:68)),)="1111",OFFSET(TH!D$1,SMALL(Dong1,ROWS($1:68)),),""))</f>
        <v>T03</v>
      </c>
      <c r="D81" s="167" t="str">
        <f ca="1">IF(ROWS($1:68)&gt;COUNT(Dong1),"",IF(OFFSET(TH!O$1,SMALL(Dong1,ROWS($1:68)),)="1111",OFFSET(TH!D$1,SMALL(Dong1,ROWS($1:68)),),""))</f>
        <v/>
      </c>
      <c r="E81" s="382" t="str">
        <f ca="1">IF(ROWS($1:68)&gt;COUNT(Dong1),"",OFFSET(TH!F$1,SMALL(Dong1,ROWS($1:68)),))</f>
        <v>Q11 - Rút tiền gửi NH nhập quỹ TM</v>
      </c>
      <c r="F81" s="169" t="str">
        <f ca="1">IF(ROWS($1:68)&gt;COUNT(Dong1),"",IF(OFFSET(TH!O$1,SMALL(Dong1,ROWS($1:68)),)="1111",OFFSET(TH!N$1,SMALL(Dong1,ROWS($1:68)),),OFFSET(TH!O$1,SMALL(Dong1,ROWS($1:68)),)))</f>
        <v>1121</v>
      </c>
      <c r="G81" s="170">
        <f ca="1">IF(ROWS($1:68)&gt;COUNT(Dong1),"",IF(OFFSET(TH!N$1,SMALL(Dong1,ROWS($1:68)),)="1111",OFFSET(TH!M$1,SMALL(Dong1,ROWS($1:68)),),0))</f>
        <v>2168920000</v>
      </c>
      <c r="H81" s="168">
        <f ca="1">IF(ROWS($1:68)&gt;COUNT(Dong1),"",IF(OFFSET(TH!O$1,SMALL(Dong1,ROWS($1:68)),)="1111",OFFSET(TH!M$1,SMALL(Dong1,ROWS($1:68)),),0))</f>
        <v>0</v>
      </c>
      <c r="I81" s="166">
        <f t="shared" ca="1" si="1"/>
        <v>4255787004</v>
      </c>
      <c r="J81" s="171"/>
    </row>
    <row r="82" spans="1:10" ht="19.5" customHeight="1">
      <c r="A82" s="165">
        <f ca="1">IF(ROWS($1:69)&gt;COUNT(Dong1),"",OFFSET(TH!C$1,SMALL(Dong1,ROWS($1:69)),))</f>
        <v>42394</v>
      </c>
      <c r="B82" s="165">
        <f ca="1">IF(ROWS($1:69)&gt;COUNT(Dong1),"",OFFSET(TH!E$1,SMALL(Dong1,ROWS($1:69)),))</f>
        <v>42394</v>
      </c>
      <c r="C82" s="166" t="str">
        <f ca="1">IF(ROWS($1:69)&gt;COUNT(Dong1),"",IF(OFFSET(TH!N$1,SMALL(Dong1,ROWS($1:69)),)="1111",OFFSET(TH!D$1,SMALL(Dong1,ROWS($1:69)),),""))</f>
        <v/>
      </c>
      <c r="D82" s="167" t="str">
        <f ca="1">IF(ROWS($1:69)&gt;COUNT(Dong1),"",IF(OFFSET(TH!O$1,SMALL(Dong1,ROWS($1:69)),)="1111",OFFSET(TH!D$1,SMALL(Dong1,ROWS($1:69)),),""))</f>
        <v>C38</v>
      </c>
      <c r="E82" s="382" t="str">
        <f ca="1">IF(ROWS($1:69)&gt;COUNT(Dong1),"",OFFSET(TH!F$1,SMALL(Dong1,ROWS($1:69)),))</f>
        <v>Phí dịch vụ bảo vệ T1/2016</v>
      </c>
      <c r="F82" s="169" t="str">
        <f ca="1">IF(ROWS($1:69)&gt;COUNT(Dong1),"",IF(OFFSET(TH!O$1,SMALL(Dong1,ROWS($1:69)),)="1111",OFFSET(TH!N$1,SMALL(Dong1,ROWS($1:69)),),OFFSET(TH!O$1,SMALL(Dong1,ROWS($1:69)),)))</f>
        <v>642</v>
      </c>
      <c r="G82" s="170">
        <f ca="1">IF(ROWS($1:69)&gt;COUNT(Dong1),"",IF(OFFSET(TH!N$1,SMALL(Dong1,ROWS($1:69)),)="1111",OFFSET(TH!M$1,SMALL(Dong1,ROWS($1:69)),),0))</f>
        <v>0</v>
      </c>
      <c r="H82" s="168">
        <f ca="1">IF(ROWS($1:69)&gt;COUNT(Dong1),"",IF(OFFSET(TH!O$1,SMALL(Dong1,ROWS($1:69)),)="1111",OFFSET(TH!M$1,SMALL(Dong1,ROWS($1:69)),),0))</f>
        <v>15000000</v>
      </c>
      <c r="I82" s="166">
        <f t="shared" ca="1" si="1"/>
        <v>4240787004</v>
      </c>
      <c r="J82" s="171"/>
    </row>
    <row r="83" spans="1:10" ht="19.5" customHeight="1">
      <c r="A83" s="165">
        <f ca="1">IF(ROWS($1:70)&gt;COUNT(Dong1),"",OFFSET(TH!C$1,SMALL(Dong1,ROWS($1:70)),))</f>
        <v>42394</v>
      </c>
      <c r="B83" s="165">
        <f ca="1">IF(ROWS($1:70)&gt;COUNT(Dong1),"",OFFSET(TH!E$1,SMALL(Dong1,ROWS($1:70)),))</f>
        <v>42394</v>
      </c>
      <c r="C83" s="166" t="str">
        <f ca="1">IF(ROWS($1:70)&gt;COUNT(Dong1),"",IF(OFFSET(TH!N$1,SMALL(Dong1,ROWS($1:70)),)="1111",OFFSET(TH!D$1,SMALL(Dong1,ROWS($1:70)),),""))</f>
        <v/>
      </c>
      <c r="D83" s="167" t="str">
        <f ca="1">IF(ROWS($1:70)&gt;COUNT(Dong1),"",IF(OFFSET(TH!O$1,SMALL(Dong1,ROWS($1:70)),)="1111",OFFSET(TH!D$1,SMALL(Dong1,ROWS($1:70)),),""))</f>
        <v>C38</v>
      </c>
      <c r="E83" s="382" t="str">
        <f ca="1">IF(ROWS($1:70)&gt;COUNT(Dong1),"",OFFSET(TH!F$1,SMALL(Dong1,ROWS($1:70)),))</f>
        <v>VAT Phí dịch vụ bảo vệ T1/2016</v>
      </c>
      <c r="F83" s="169" t="str">
        <f ca="1">IF(ROWS($1:70)&gt;COUNT(Dong1),"",IF(OFFSET(TH!O$1,SMALL(Dong1,ROWS($1:70)),)="1111",OFFSET(TH!N$1,SMALL(Dong1,ROWS($1:70)),),OFFSET(TH!O$1,SMALL(Dong1,ROWS($1:70)),)))</f>
        <v>1331</v>
      </c>
      <c r="G83" s="170">
        <f ca="1">IF(ROWS($1:70)&gt;COUNT(Dong1),"",IF(OFFSET(TH!N$1,SMALL(Dong1,ROWS($1:70)),)="1111",OFFSET(TH!M$1,SMALL(Dong1,ROWS($1:70)),),0))</f>
        <v>0</v>
      </c>
      <c r="H83" s="168">
        <f ca="1">IF(ROWS($1:70)&gt;COUNT(Dong1),"",IF(OFFSET(TH!O$1,SMALL(Dong1,ROWS($1:70)),)="1111",OFFSET(TH!M$1,SMALL(Dong1,ROWS($1:70)),),0))</f>
        <v>1500000</v>
      </c>
      <c r="I83" s="166">
        <f t="shared" ca="1" si="1"/>
        <v>4239287004</v>
      </c>
      <c r="J83" s="171"/>
    </row>
    <row r="84" spans="1:10" ht="19.5" customHeight="1">
      <c r="A84" s="165">
        <f ca="1">IF(ROWS($1:71)&gt;COUNT(Dong1),"",OFFSET(TH!C$1,SMALL(Dong1,ROWS($1:71)),))</f>
        <v>42395</v>
      </c>
      <c r="B84" s="165">
        <f ca="1">IF(ROWS($1:71)&gt;COUNT(Dong1),"",OFFSET(TH!E$1,SMALL(Dong1,ROWS($1:71)),))</f>
        <v>42395</v>
      </c>
      <c r="C84" s="166" t="str">
        <f ca="1">IF(ROWS($1:71)&gt;COUNT(Dong1),"",IF(OFFSET(TH!N$1,SMALL(Dong1,ROWS($1:71)),)="1111",OFFSET(TH!D$1,SMALL(Dong1,ROWS($1:71)),),""))</f>
        <v/>
      </c>
      <c r="D84" s="167" t="str">
        <f ca="1">IF(ROWS($1:71)&gt;COUNT(Dong1),"",IF(OFFSET(TH!O$1,SMALL(Dong1,ROWS($1:71)),)="1111",OFFSET(TH!D$1,SMALL(Dong1,ROWS($1:71)),),""))</f>
        <v>C39</v>
      </c>
      <c r="E84" s="382" t="str">
        <f ca="1">IF(ROWS($1:71)&gt;COUNT(Dong1),"",OFFSET(TH!F$1,SMALL(Dong1,ROWS($1:71)),))</f>
        <v>Q11 - Nộp tiền mặt vào TK</v>
      </c>
      <c r="F84" s="169" t="str">
        <f ca="1">IF(ROWS($1:71)&gt;COUNT(Dong1),"",IF(OFFSET(TH!O$1,SMALL(Dong1,ROWS($1:71)),)="1111",OFFSET(TH!N$1,SMALL(Dong1,ROWS($1:71)),),OFFSET(TH!O$1,SMALL(Dong1,ROWS($1:71)),)))</f>
        <v>1121</v>
      </c>
      <c r="G84" s="170">
        <f ca="1">IF(ROWS($1:71)&gt;COUNT(Dong1),"",IF(OFFSET(TH!N$1,SMALL(Dong1,ROWS($1:71)),)="1111",OFFSET(TH!M$1,SMALL(Dong1,ROWS($1:71)),),0))</f>
        <v>0</v>
      </c>
      <c r="H84" s="168">
        <f ca="1">IF(ROWS($1:71)&gt;COUNT(Dong1),"",IF(OFFSET(TH!O$1,SMALL(Dong1,ROWS($1:71)),)="1111",OFFSET(TH!M$1,SMALL(Dong1,ROWS($1:71)),),0))</f>
        <v>45000000</v>
      </c>
      <c r="I84" s="166">
        <f t="shared" ca="1" si="1"/>
        <v>4194287004</v>
      </c>
      <c r="J84" s="171"/>
    </row>
    <row r="85" spans="1:10" ht="19.5" customHeight="1">
      <c r="A85" s="165">
        <f ca="1">IF(ROWS($1:72)&gt;COUNT(Dong1),"",OFFSET(TH!C$1,SMALL(Dong1,ROWS($1:72)),))</f>
        <v>42396</v>
      </c>
      <c r="B85" s="165">
        <f ca="1">IF(ROWS($1:72)&gt;COUNT(Dong1),"",OFFSET(TH!E$1,SMALL(Dong1,ROWS($1:72)),))</f>
        <v>42396</v>
      </c>
      <c r="C85" s="166" t="str">
        <f ca="1">IF(ROWS($1:72)&gt;COUNT(Dong1),"",IF(OFFSET(TH!N$1,SMALL(Dong1,ROWS($1:72)),)="1111",OFFSET(TH!D$1,SMALL(Dong1,ROWS($1:72)),),""))</f>
        <v>T04</v>
      </c>
      <c r="D85" s="167" t="str">
        <f ca="1">IF(ROWS($1:72)&gt;COUNT(Dong1),"",IF(OFFSET(TH!O$1,SMALL(Dong1,ROWS($1:72)),)="1111",OFFSET(TH!D$1,SMALL(Dong1,ROWS($1:72)),),""))</f>
        <v/>
      </c>
      <c r="E85" s="382" t="str">
        <f ca="1">IF(ROWS($1:72)&gt;COUNT(Dong1),"",OFFSET(TH!F$1,SMALL(Dong1,ROWS($1:72)),))</f>
        <v>Q11 - Rút tiền gửi NH nhập quỹ TM</v>
      </c>
      <c r="F85" s="169" t="str">
        <f ca="1">IF(ROWS($1:72)&gt;COUNT(Dong1),"",IF(OFFSET(TH!O$1,SMALL(Dong1,ROWS($1:72)),)="1111",OFFSET(TH!N$1,SMALL(Dong1,ROWS($1:72)),),OFFSET(TH!O$1,SMALL(Dong1,ROWS($1:72)),)))</f>
        <v>1121</v>
      </c>
      <c r="G85" s="170">
        <f ca="1">IF(ROWS($1:72)&gt;COUNT(Dong1),"",IF(OFFSET(TH!N$1,SMALL(Dong1,ROWS($1:72)),)="1111",OFFSET(TH!M$1,SMALL(Dong1,ROWS($1:72)),),0))</f>
        <v>850000000</v>
      </c>
      <c r="H85" s="168">
        <f ca="1">IF(ROWS($1:72)&gt;COUNT(Dong1),"",IF(OFFSET(TH!O$1,SMALL(Dong1,ROWS($1:72)),)="1111",OFFSET(TH!M$1,SMALL(Dong1,ROWS($1:72)),),0))</f>
        <v>0</v>
      </c>
      <c r="I85" s="166">
        <f t="shared" ca="1" si="1"/>
        <v>5044287004</v>
      </c>
      <c r="J85" s="171"/>
    </row>
    <row r="86" spans="1:10" ht="19.5" customHeight="1">
      <c r="A86" s="165">
        <f ca="1">IF(ROWS($1:73)&gt;COUNT(Dong1),"",OFFSET(TH!C$1,SMALL(Dong1,ROWS($1:73)),))</f>
        <v>42396</v>
      </c>
      <c r="B86" s="165">
        <f ca="1">IF(ROWS($1:73)&gt;COUNT(Dong1),"",OFFSET(TH!E$1,SMALL(Dong1,ROWS($1:73)),))</f>
        <v>42396</v>
      </c>
      <c r="C86" s="166" t="str">
        <f ca="1">IF(ROWS($1:73)&gt;COUNT(Dong1),"",IF(OFFSET(TH!N$1,SMALL(Dong1,ROWS($1:73)),)="1111",OFFSET(TH!D$1,SMALL(Dong1,ROWS($1:73)),),""))</f>
        <v/>
      </c>
      <c r="D86" s="167" t="str">
        <f ca="1">IF(ROWS($1:73)&gt;COUNT(Dong1),"",IF(OFFSET(TH!O$1,SMALL(Dong1,ROWS($1:73)),)="1111",OFFSET(TH!D$1,SMALL(Dong1,ROWS($1:73)),),""))</f>
        <v>C40</v>
      </c>
      <c r="E86" s="382" t="str">
        <f ca="1">IF(ROWS($1:73)&gt;COUNT(Dong1),"",OFFSET(TH!F$1,SMALL(Dong1,ROWS($1:73)),))</f>
        <v>Tạm ứng mua NL</v>
      </c>
      <c r="F86" s="169" t="str">
        <f ca="1">IF(ROWS($1:73)&gt;COUNT(Dong1),"",IF(OFFSET(TH!O$1,SMALL(Dong1,ROWS($1:73)),)="1111",OFFSET(TH!N$1,SMALL(Dong1,ROWS($1:73)),),OFFSET(TH!O$1,SMALL(Dong1,ROWS($1:73)),)))</f>
        <v>141</v>
      </c>
      <c r="G86" s="170">
        <f ca="1">IF(ROWS($1:73)&gt;COUNT(Dong1),"",IF(OFFSET(TH!N$1,SMALL(Dong1,ROWS($1:73)),)="1111",OFFSET(TH!M$1,SMALL(Dong1,ROWS($1:73)),),0))</f>
        <v>0</v>
      </c>
      <c r="H86" s="168">
        <f ca="1">IF(ROWS($1:73)&gt;COUNT(Dong1),"",IF(OFFSET(TH!O$1,SMALL(Dong1,ROWS($1:73)),)="1111",OFFSET(TH!M$1,SMALL(Dong1,ROWS($1:73)),),0))</f>
        <v>500000000</v>
      </c>
      <c r="I86" s="166">
        <f t="shared" ca="1" si="1"/>
        <v>4544287004</v>
      </c>
      <c r="J86" s="171"/>
    </row>
    <row r="87" spans="1:10" ht="19.5" customHeight="1">
      <c r="A87" s="165">
        <f ca="1">IF(ROWS($1:74)&gt;COUNT(Dong1),"",OFFSET(TH!C$1,SMALL(Dong1,ROWS($1:74)),))</f>
        <v>42398</v>
      </c>
      <c r="B87" s="165">
        <f ca="1">IF(ROWS($1:74)&gt;COUNT(Dong1),"",OFFSET(TH!E$1,SMALL(Dong1,ROWS($1:74)),))</f>
        <v>42398</v>
      </c>
      <c r="C87" s="166" t="str">
        <f ca="1">IF(ROWS($1:74)&gt;COUNT(Dong1),"",IF(OFFSET(TH!N$1,SMALL(Dong1,ROWS($1:74)),)="1111",OFFSET(TH!D$1,SMALL(Dong1,ROWS($1:74)),),""))</f>
        <v/>
      </c>
      <c r="D87" s="167" t="str">
        <f ca="1">IF(ROWS($1:74)&gt;COUNT(Dong1),"",IF(OFFSET(TH!O$1,SMALL(Dong1,ROWS($1:74)),)="1111",OFFSET(TH!D$1,SMALL(Dong1,ROWS($1:74)),),""))</f>
        <v>C41</v>
      </c>
      <c r="E87" s="382" t="str">
        <f ca="1">IF(ROWS($1:74)&gt;COUNT(Dong1),"",OFFSET(TH!F$1,SMALL(Dong1,ROWS($1:74)),))</f>
        <v>Q4 - Nộp tiền mặt vào TK</v>
      </c>
      <c r="F87" s="169" t="str">
        <f ca="1">IF(ROWS($1:74)&gt;COUNT(Dong1),"",IF(OFFSET(TH!O$1,SMALL(Dong1,ROWS($1:74)),)="1111",OFFSET(TH!N$1,SMALL(Dong1,ROWS($1:74)),),OFFSET(TH!O$1,SMALL(Dong1,ROWS($1:74)),)))</f>
        <v>1121</v>
      </c>
      <c r="G87" s="170">
        <f ca="1">IF(ROWS($1:74)&gt;COUNT(Dong1),"",IF(OFFSET(TH!N$1,SMALL(Dong1,ROWS($1:74)),)="1111",OFFSET(TH!M$1,SMALL(Dong1,ROWS($1:74)),),0))</f>
        <v>0</v>
      </c>
      <c r="H87" s="168">
        <f ca="1">IF(ROWS($1:74)&gt;COUNT(Dong1),"",IF(OFFSET(TH!O$1,SMALL(Dong1,ROWS($1:74)),)="1111",OFFSET(TH!M$1,SMALL(Dong1,ROWS($1:74)),),0))</f>
        <v>2000000</v>
      </c>
      <c r="I87" s="166">
        <f t="shared" ca="1" si="1"/>
        <v>4542287004</v>
      </c>
      <c r="J87" s="171"/>
    </row>
    <row r="88" spans="1:10" ht="19.5" customHeight="1">
      <c r="A88" s="165">
        <f ca="1">IF(ROWS($1:75)&gt;COUNT(Dong1),"",OFFSET(TH!C$1,SMALL(Dong1,ROWS($1:75)),))</f>
        <v>42398</v>
      </c>
      <c r="B88" s="165">
        <f ca="1">IF(ROWS($1:75)&gt;COUNT(Dong1),"",OFFSET(TH!E$1,SMALL(Dong1,ROWS($1:75)),))</f>
        <v>42398</v>
      </c>
      <c r="C88" s="166" t="str">
        <f ca="1">IF(ROWS($1:75)&gt;COUNT(Dong1),"",IF(OFFSET(TH!N$1,SMALL(Dong1,ROWS($1:75)),)="1111",OFFSET(TH!D$1,SMALL(Dong1,ROWS($1:75)),),""))</f>
        <v>T05</v>
      </c>
      <c r="D88" s="167" t="str">
        <f ca="1">IF(ROWS($1:75)&gt;COUNT(Dong1),"",IF(OFFSET(TH!O$1,SMALL(Dong1,ROWS($1:75)),)="1111",OFFSET(TH!D$1,SMALL(Dong1,ROWS($1:75)),),""))</f>
        <v/>
      </c>
      <c r="E88" s="382" t="str">
        <f ca="1">IF(ROWS($1:75)&gt;COUNT(Dong1),"",OFFSET(TH!F$1,SMALL(Dong1,ROWS($1:75)),))</f>
        <v>Q11 - Rút tiền gửi NH nhập quỹ TM</v>
      </c>
      <c r="F88" s="169" t="str">
        <f ca="1">IF(ROWS($1:75)&gt;COUNT(Dong1),"",IF(OFFSET(TH!O$1,SMALL(Dong1,ROWS($1:75)),)="1111",OFFSET(TH!N$1,SMALL(Dong1,ROWS($1:75)),),OFFSET(TH!O$1,SMALL(Dong1,ROWS($1:75)),)))</f>
        <v>1121</v>
      </c>
      <c r="G88" s="170">
        <f ca="1">IF(ROWS($1:75)&gt;COUNT(Dong1),"",IF(OFFSET(TH!N$1,SMALL(Dong1,ROWS($1:75)),)="1111",OFFSET(TH!M$1,SMALL(Dong1,ROWS($1:75)),),0))</f>
        <v>370000000</v>
      </c>
      <c r="H88" s="168">
        <f ca="1">IF(ROWS($1:75)&gt;COUNT(Dong1),"",IF(OFFSET(TH!O$1,SMALL(Dong1,ROWS($1:75)),)="1111",OFFSET(TH!M$1,SMALL(Dong1,ROWS($1:75)),),0))</f>
        <v>0</v>
      </c>
      <c r="I88" s="166">
        <f t="shared" ca="1" si="1"/>
        <v>4912287004</v>
      </c>
      <c r="J88" s="171"/>
    </row>
    <row r="89" spans="1:10" ht="19.5" customHeight="1">
      <c r="A89" s="165">
        <f ca="1">IF(ROWS($1:76)&gt;COUNT(Dong1),"",OFFSET(TH!C$1,SMALL(Dong1,ROWS($1:76)),))</f>
        <v>42398</v>
      </c>
      <c r="B89" s="165">
        <f ca="1">IF(ROWS($1:76)&gt;COUNT(Dong1),"",OFFSET(TH!E$1,SMALL(Dong1,ROWS($1:76)),))</f>
        <v>42398</v>
      </c>
      <c r="C89" s="166" t="str">
        <f ca="1">IF(ROWS($1:76)&gt;COUNT(Dong1),"",IF(OFFSET(TH!N$1,SMALL(Dong1,ROWS($1:76)),)="1111",OFFSET(TH!D$1,SMALL(Dong1,ROWS($1:76)),),""))</f>
        <v>T06</v>
      </c>
      <c r="D89" s="167" t="str">
        <f ca="1">IF(ROWS($1:76)&gt;COUNT(Dong1),"",IF(OFFSET(TH!O$1,SMALL(Dong1,ROWS($1:76)),)="1111",OFFSET(TH!D$1,SMALL(Dong1,ROWS($1:76)),),""))</f>
        <v/>
      </c>
      <c r="E89" s="382" t="str">
        <f ca="1">IF(ROWS($1:76)&gt;COUNT(Dong1),"",OFFSET(TH!F$1,SMALL(Dong1,ROWS($1:76)),))</f>
        <v>Q4 - Rút tiền gửi NH nhập quỹ TM</v>
      </c>
      <c r="F89" s="169" t="str">
        <f ca="1">IF(ROWS($1:76)&gt;COUNT(Dong1),"",IF(OFFSET(TH!O$1,SMALL(Dong1,ROWS($1:76)),)="1111",OFFSET(TH!N$1,SMALL(Dong1,ROWS($1:76)),),OFFSET(TH!O$1,SMALL(Dong1,ROWS($1:76)),)))</f>
        <v>1121</v>
      </c>
      <c r="G89" s="170">
        <f ca="1">IF(ROWS($1:76)&gt;COUNT(Dong1),"",IF(OFFSET(TH!N$1,SMALL(Dong1,ROWS($1:76)),)="1111",OFFSET(TH!M$1,SMALL(Dong1,ROWS($1:76)),),0))</f>
        <v>1170000000</v>
      </c>
      <c r="H89" s="168">
        <f ca="1">IF(ROWS($1:76)&gt;COUNT(Dong1),"",IF(OFFSET(TH!O$1,SMALL(Dong1,ROWS($1:76)),)="1111",OFFSET(TH!M$1,SMALL(Dong1,ROWS($1:76)),),0))</f>
        <v>0</v>
      </c>
      <c r="I89" s="166">
        <f t="shared" ca="1" si="1"/>
        <v>6082287004</v>
      </c>
      <c r="J89" s="171"/>
    </row>
    <row r="90" spans="1:10" ht="19.5" customHeight="1">
      <c r="A90" s="165">
        <f ca="1">IF(ROWS($1:77)&gt;COUNT(Dong1),"",OFFSET(TH!C$1,SMALL(Dong1,ROWS($1:77)),))</f>
        <v>42398</v>
      </c>
      <c r="B90" s="165">
        <f ca="1">IF(ROWS($1:77)&gt;COUNT(Dong1),"",OFFSET(TH!E$1,SMALL(Dong1,ROWS($1:77)),))</f>
        <v>42398</v>
      </c>
      <c r="C90" s="166" t="str">
        <f ca="1">IF(ROWS($1:77)&gt;COUNT(Dong1),"",IF(OFFSET(TH!N$1,SMALL(Dong1,ROWS($1:77)),)="1111",OFFSET(TH!D$1,SMALL(Dong1,ROWS($1:77)),),""))</f>
        <v/>
      </c>
      <c r="D90" s="167" t="str">
        <f ca="1">IF(ROWS($1:77)&gt;COUNT(Dong1),"",IF(OFFSET(TH!O$1,SMALL(Dong1,ROWS($1:77)),)="1111",OFFSET(TH!D$1,SMALL(Dong1,ROWS($1:77)),),""))</f>
        <v>C42</v>
      </c>
      <c r="E90" s="382" t="str">
        <f ca="1">IF(ROWS($1:77)&gt;COUNT(Dong1),"",OFFSET(TH!F$1,SMALL(Dong1,ROWS($1:77)),))</f>
        <v>Xăng</v>
      </c>
      <c r="F90" s="169" t="str">
        <f ca="1">IF(ROWS($1:77)&gt;COUNT(Dong1),"",IF(OFFSET(TH!O$1,SMALL(Dong1,ROWS($1:77)),)="1111",OFFSET(TH!N$1,SMALL(Dong1,ROWS($1:77)),),OFFSET(TH!O$1,SMALL(Dong1,ROWS($1:77)),)))</f>
        <v>642</v>
      </c>
      <c r="G90" s="170">
        <f ca="1">IF(ROWS($1:77)&gt;COUNT(Dong1),"",IF(OFFSET(TH!N$1,SMALL(Dong1,ROWS($1:77)),)="1111",OFFSET(TH!M$1,SMALL(Dong1,ROWS($1:77)),),0))</f>
        <v>0</v>
      </c>
      <c r="H90" s="168">
        <f ca="1">IF(ROWS($1:77)&gt;COUNT(Dong1),"",IF(OFFSET(TH!O$1,SMALL(Dong1,ROWS($1:77)),)="1111",OFFSET(TH!M$1,SMALL(Dong1,ROWS($1:77)),),0))</f>
        <v>660273</v>
      </c>
      <c r="I90" s="166">
        <f t="shared" ca="1" si="1"/>
        <v>6081626731</v>
      </c>
      <c r="J90" s="171"/>
    </row>
    <row r="91" spans="1:10" ht="19.5" customHeight="1">
      <c r="A91" s="165">
        <f ca="1">IF(ROWS($1:78)&gt;COUNT(Dong1),"",OFFSET(TH!C$1,SMALL(Dong1,ROWS($1:78)),))</f>
        <v>42398</v>
      </c>
      <c r="B91" s="165">
        <f ca="1">IF(ROWS($1:78)&gt;COUNT(Dong1),"",OFFSET(TH!E$1,SMALL(Dong1,ROWS($1:78)),))</f>
        <v>42398</v>
      </c>
      <c r="C91" s="166" t="str">
        <f ca="1">IF(ROWS($1:78)&gt;COUNT(Dong1),"",IF(OFFSET(TH!N$1,SMALL(Dong1,ROWS($1:78)),)="1111",OFFSET(TH!D$1,SMALL(Dong1,ROWS($1:78)),),""))</f>
        <v/>
      </c>
      <c r="D91" s="167" t="str">
        <f ca="1">IF(ROWS($1:78)&gt;COUNT(Dong1),"",IF(OFFSET(TH!O$1,SMALL(Dong1,ROWS($1:78)),)="1111",OFFSET(TH!D$1,SMALL(Dong1,ROWS($1:78)),),""))</f>
        <v>C42</v>
      </c>
      <c r="E91" s="382" t="str">
        <f ca="1">IF(ROWS($1:78)&gt;COUNT(Dong1),"",OFFSET(TH!F$1,SMALL(Dong1,ROWS($1:78)),))</f>
        <v>VAT Xăng</v>
      </c>
      <c r="F91" s="169" t="str">
        <f ca="1">IF(ROWS($1:78)&gt;COUNT(Dong1),"",IF(OFFSET(TH!O$1,SMALL(Dong1,ROWS($1:78)),)="1111",OFFSET(TH!N$1,SMALL(Dong1,ROWS($1:78)),),OFFSET(TH!O$1,SMALL(Dong1,ROWS($1:78)),)))</f>
        <v>1331</v>
      </c>
      <c r="G91" s="170">
        <f ca="1">IF(ROWS($1:78)&gt;COUNT(Dong1),"",IF(OFFSET(TH!N$1,SMALL(Dong1,ROWS($1:78)),)="1111",OFFSET(TH!M$1,SMALL(Dong1,ROWS($1:78)),),0))</f>
        <v>0</v>
      </c>
      <c r="H91" s="168">
        <f ca="1">IF(ROWS($1:78)&gt;COUNT(Dong1),"",IF(OFFSET(TH!O$1,SMALL(Dong1,ROWS($1:78)),)="1111",OFFSET(TH!M$1,SMALL(Dong1,ROWS($1:78)),),0))</f>
        <v>66027</v>
      </c>
      <c r="I91" s="166">
        <f t="shared" ca="1" si="1"/>
        <v>6081560704</v>
      </c>
      <c r="J91" s="171"/>
    </row>
    <row r="92" spans="1:10" ht="19.5" customHeight="1">
      <c r="A92" s="165">
        <f ca="1">IF(ROWS($1:79)&gt;COUNT(Dong1),"",OFFSET(TH!C$1,SMALL(Dong1,ROWS($1:79)),))</f>
        <v>42399</v>
      </c>
      <c r="B92" s="165">
        <f ca="1">IF(ROWS($1:79)&gt;COUNT(Dong1),"",OFFSET(TH!E$1,SMALL(Dong1,ROWS($1:79)),))</f>
        <v>42399</v>
      </c>
      <c r="C92" s="166" t="str">
        <f ca="1">IF(ROWS($1:79)&gt;COUNT(Dong1),"",IF(OFFSET(TH!N$1,SMALL(Dong1,ROWS($1:79)),)="1111",OFFSET(TH!D$1,SMALL(Dong1,ROWS($1:79)),),""))</f>
        <v/>
      </c>
      <c r="D92" s="167" t="str">
        <f ca="1">IF(ROWS($1:79)&gt;COUNT(Dong1),"",IF(OFFSET(TH!O$1,SMALL(Dong1,ROWS($1:79)),)="1111",OFFSET(TH!D$1,SMALL(Dong1,ROWS($1:79)),),""))</f>
        <v>C43</v>
      </c>
      <c r="E92" s="382" t="str">
        <f ca="1">IF(ROWS($1:79)&gt;COUNT(Dong1),"",OFFSET(TH!F$1,SMALL(Dong1,ROWS($1:79)),))</f>
        <v>Xăng</v>
      </c>
      <c r="F92" s="169" t="str">
        <f ca="1">IF(ROWS($1:79)&gt;COUNT(Dong1),"",IF(OFFSET(TH!O$1,SMALL(Dong1,ROWS($1:79)),)="1111",OFFSET(TH!N$1,SMALL(Dong1,ROWS($1:79)),),OFFSET(TH!O$1,SMALL(Dong1,ROWS($1:79)),)))</f>
        <v>642</v>
      </c>
      <c r="G92" s="170">
        <f ca="1">IF(ROWS($1:79)&gt;COUNT(Dong1),"",IF(OFFSET(TH!N$1,SMALL(Dong1,ROWS($1:79)),)="1111",OFFSET(TH!M$1,SMALL(Dong1,ROWS($1:79)),),0))</f>
        <v>0</v>
      </c>
      <c r="H92" s="168">
        <f ca="1">IF(ROWS($1:79)&gt;COUNT(Dong1),"",IF(OFFSET(TH!O$1,SMALL(Dong1,ROWS($1:79)),)="1111",OFFSET(TH!M$1,SMALL(Dong1,ROWS($1:79)),),0))</f>
        <v>674945</v>
      </c>
      <c r="I92" s="166">
        <f t="shared" ca="1" si="1"/>
        <v>6080885759</v>
      </c>
      <c r="J92" s="171"/>
    </row>
    <row r="93" spans="1:10" ht="19.5" customHeight="1">
      <c r="A93" s="165">
        <f ca="1">IF(ROWS($1:80)&gt;COUNT(Dong1),"",OFFSET(TH!C$1,SMALL(Dong1,ROWS($1:80)),))</f>
        <v>42399</v>
      </c>
      <c r="B93" s="165">
        <f ca="1">IF(ROWS($1:80)&gt;COUNT(Dong1),"",OFFSET(TH!E$1,SMALL(Dong1,ROWS($1:80)),))</f>
        <v>42399</v>
      </c>
      <c r="C93" s="166" t="str">
        <f ca="1">IF(ROWS($1:80)&gt;COUNT(Dong1),"",IF(OFFSET(TH!N$1,SMALL(Dong1,ROWS($1:80)),)="1111",OFFSET(TH!D$1,SMALL(Dong1,ROWS($1:80)),),""))</f>
        <v/>
      </c>
      <c r="D93" s="167" t="str">
        <f ca="1">IF(ROWS($1:80)&gt;COUNT(Dong1),"",IF(OFFSET(TH!O$1,SMALL(Dong1,ROWS($1:80)),)="1111",OFFSET(TH!D$1,SMALL(Dong1,ROWS($1:80)),),""))</f>
        <v>C43</v>
      </c>
      <c r="E93" s="382" t="str">
        <f ca="1">IF(ROWS($1:80)&gt;COUNT(Dong1),"",OFFSET(TH!F$1,SMALL(Dong1,ROWS($1:80)),))</f>
        <v>VAT Xăng</v>
      </c>
      <c r="F93" s="169" t="str">
        <f ca="1">IF(ROWS($1:80)&gt;COUNT(Dong1),"",IF(OFFSET(TH!O$1,SMALL(Dong1,ROWS($1:80)),)="1111",OFFSET(TH!N$1,SMALL(Dong1,ROWS($1:80)),),OFFSET(TH!O$1,SMALL(Dong1,ROWS($1:80)),)))</f>
        <v>1331</v>
      </c>
      <c r="G93" s="170">
        <f ca="1">IF(ROWS($1:80)&gt;COUNT(Dong1),"",IF(OFFSET(TH!N$1,SMALL(Dong1,ROWS($1:80)),)="1111",OFFSET(TH!M$1,SMALL(Dong1,ROWS($1:80)),),0))</f>
        <v>0</v>
      </c>
      <c r="H93" s="168">
        <f ca="1">IF(ROWS($1:80)&gt;COUNT(Dong1),"",IF(OFFSET(TH!O$1,SMALL(Dong1,ROWS($1:80)),)="1111",OFFSET(TH!M$1,SMALL(Dong1,ROWS($1:80)),),0))</f>
        <v>67495</v>
      </c>
      <c r="I93" s="166">
        <f t="shared" ca="1" si="1"/>
        <v>6080818264</v>
      </c>
      <c r="J93" s="171"/>
    </row>
    <row r="94" spans="1:10" ht="19.5" customHeight="1">
      <c r="A94" s="165">
        <f ca="1">IF(ROWS($1:81)&gt;COUNT(Dong1),"",OFFSET(TH!C$1,SMALL(Dong1,ROWS($1:81)),))</f>
        <v>42400</v>
      </c>
      <c r="B94" s="165">
        <f ca="1">IF(ROWS($1:81)&gt;COUNT(Dong1),"",OFFSET(TH!E$1,SMALL(Dong1,ROWS($1:81)),))</f>
        <v>42400</v>
      </c>
      <c r="C94" s="166" t="str">
        <f ca="1">IF(ROWS($1:81)&gt;COUNT(Dong1),"",IF(OFFSET(TH!N$1,SMALL(Dong1,ROWS($1:81)),)="1111",OFFSET(TH!D$1,SMALL(Dong1,ROWS($1:81)),),""))</f>
        <v/>
      </c>
      <c r="D94" s="167" t="str">
        <f ca="1">IF(ROWS($1:81)&gt;COUNT(Dong1),"",IF(OFFSET(TH!O$1,SMALL(Dong1,ROWS($1:81)),)="1111",OFFSET(TH!D$1,SMALL(Dong1,ROWS($1:81)),),""))</f>
        <v>C44</v>
      </c>
      <c r="E94" s="382" t="str">
        <f ca="1">IF(ROWS($1:81)&gt;COUNT(Dong1),"",OFFSET(TH!F$1,SMALL(Dong1,ROWS($1:81)),))</f>
        <v>Dầu DO, Xăng</v>
      </c>
      <c r="F94" s="169" t="str">
        <f ca="1">IF(ROWS($1:81)&gt;COUNT(Dong1),"",IF(OFFSET(TH!O$1,SMALL(Dong1,ROWS($1:81)),)="1111",OFFSET(TH!N$1,SMALL(Dong1,ROWS($1:81)),),OFFSET(TH!O$1,SMALL(Dong1,ROWS($1:81)),)))</f>
        <v>642</v>
      </c>
      <c r="G94" s="170">
        <f ca="1">IF(ROWS($1:81)&gt;COUNT(Dong1),"",IF(OFFSET(TH!N$1,SMALL(Dong1,ROWS($1:81)),)="1111",OFFSET(TH!M$1,SMALL(Dong1,ROWS($1:81)),),0))</f>
        <v>0</v>
      </c>
      <c r="H94" s="168">
        <f ca="1">IF(ROWS($1:81)&gt;COUNT(Dong1),"",IF(OFFSET(TH!O$1,SMALL(Dong1,ROWS($1:81)),)="1111",OFFSET(TH!M$1,SMALL(Dong1,ROWS($1:81)),),0))</f>
        <v>320291</v>
      </c>
      <c r="I94" s="166">
        <f t="shared" ca="1" si="1"/>
        <v>6080497973</v>
      </c>
      <c r="J94" s="171"/>
    </row>
    <row r="95" spans="1:10" ht="19.5" customHeight="1">
      <c r="A95" s="165">
        <f ca="1">IF(ROWS($1:82)&gt;COUNT(Dong1),"",OFFSET(TH!C$1,SMALL(Dong1,ROWS($1:82)),))</f>
        <v>42400</v>
      </c>
      <c r="B95" s="165">
        <f ca="1">IF(ROWS($1:82)&gt;COUNT(Dong1),"",OFFSET(TH!E$1,SMALL(Dong1,ROWS($1:82)),))</f>
        <v>42400</v>
      </c>
      <c r="C95" s="166" t="str">
        <f ca="1">IF(ROWS($1:82)&gt;COUNT(Dong1),"",IF(OFFSET(TH!N$1,SMALL(Dong1,ROWS($1:82)),)="1111",OFFSET(TH!D$1,SMALL(Dong1,ROWS($1:82)),),""))</f>
        <v/>
      </c>
      <c r="D95" s="167" t="str">
        <f ca="1">IF(ROWS($1:82)&gt;COUNT(Dong1),"",IF(OFFSET(TH!O$1,SMALL(Dong1,ROWS($1:82)),)="1111",OFFSET(TH!D$1,SMALL(Dong1,ROWS($1:82)),),""))</f>
        <v>C44</v>
      </c>
      <c r="E95" s="382" t="str">
        <f ca="1">IF(ROWS($1:82)&gt;COUNT(Dong1),"",OFFSET(TH!F$1,SMALL(Dong1,ROWS($1:82)),))</f>
        <v>VAT Dầu DO, Xăng</v>
      </c>
      <c r="F95" s="169" t="str">
        <f ca="1">IF(ROWS($1:82)&gt;COUNT(Dong1),"",IF(OFFSET(TH!O$1,SMALL(Dong1,ROWS($1:82)),)="1111",OFFSET(TH!N$1,SMALL(Dong1,ROWS($1:82)),),OFFSET(TH!O$1,SMALL(Dong1,ROWS($1:82)),)))</f>
        <v>1331</v>
      </c>
      <c r="G95" s="170">
        <f ca="1">IF(ROWS($1:82)&gt;COUNT(Dong1),"",IF(OFFSET(TH!N$1,SMALL(Dong1,ROWS($1:82)),)="1111",OFFSET(TH!M$1,SMALL(Dong1,ROWS($1:82)),),0))</f>
        <v>0</v>
      </c>
      <c r="H95" s="168">
        <f ca="1">IF(ROWS($1:82)&gt;COUNT(Dong1),"",IF(OFFSET(TH!O$1,SMALL(Dong1,ROWS($1:82)),)="1111",OFFSET(TH!M$1,SMALL(Dong1,ROWS($1:82)),),0))</f>
        <v>32029</v>
      </c>
      <c r="I95" s="166">
        <f t="shared" ca="1" si="1"/>
        <v>6080465944</v>
      </c>
      <c r="J95" s="171"/>
    </row>
    <row r="96" spans="1:10" ht="19.5" customHeight="1">
      <c r="A96" s="165">
        <f ca="1">IF(ROWS($1:83)&gt;COUNT(Dong1),"",OFFSET(TH!C$1,SMALL(Dong1,ROWS($1:83)),))</f>
        <v>42400</v>
      </c>
      <c r="B96" s="165">
        <f ca="1">IF(ROWS($1:83)&gt;COUNT(Dong1),"",OFFSET(TH!E$1,SMALL(Dong1,ROWS($1:83)),))</f>
        <v>42400</v>
      </c>
      <c r="C96" s="166" t="str">
        <f ca="1">IF(ROWS($1:83)&gt;COUNT(Dong1),"",IF(OFFSET(TH!N$1,SMALL(Dong1,ROWS($1:83)),)="1111",OFFSET(TH!D$1,SMALL(Dong1,ROWS($1:83)),),""))</f>
        <v/>
      </c>
      <c r="D96" s="167" t="str">
        <f ca="1">IF(ROWS($1:83)&gt;COUNT(Dong1),"",IF(OFFSET(TH!O$1,SMALL(Dong1,ROWS($1:83)),)="1111",OFFSET(TH!D$1,SMALL(Dong1,ROWS($1:83)),),""))</f>
        <v>C45</v>
      </c>
      <c r="E96" s="382" t="str">
        <f ca="1">IF(ROWS($1:83)&gt;COUNT(Dong1),"",OFFSET(TH!F$1,SMALL(Dong1,ROWS($1:83)),))</f>
        <v>Xăng</v>
      </c>
      <c r="F96" s="169" t="str">
        <f ca="1">IF(ROWS($1:83)&gt;COUNT(Dong1),"",IF(OFFSET(TH!O$1,SMALL(Dong1,ROWS($1:83)),)="1111",OFFSET(TH!N$1,SMALL(Dong1,ROWS($1:83)),),OFFSET(TH!O$1,SMALL(Dong1,ROWS($1:83)),)))</f>
        <v>642</v>
      </c>
      <c r="G96" s="170">
        <f ca="1">IF(ROWS($1:83)&gt;COUNT(Dong1),"",IF(OFFSET(TH!N$1,SMALL(Dong1,ROWS($1:83)),)="1111",OFFSET(TH!M$1,SMALL(Dong1,ROWS($1:83)),),0))</f>
        <v>0</v>
      </c>
      <c r="H96" s="168">
        <f ca="1">IF(ROWS($1:83)&gt;COUNT(Dong1),"",IF(OFFSET(TH!O$1,SMALL(Dong1,ROWS($1:83)),)="1111",OFFSET(TH!M$1,SMALL(Dong1,ROWS($1:83)),),0))</f>
        <v>44018</v>
      </c>
      <c r="I96" s="166">
        <f t="shared" ca="1" si="1"/>
        <v>6080421926</v>
      </c>
      <c r="J96" s="171"/>
    </row>
    <row r="97" spans="1:12" ht="19.5" customHeight="1">
      <c r="A97" s="165">
        <f ca="1">IF(ROWS($1:84)&gt;COUNT(Dong1),"",OFFSET(TH!C$1,SMALL(Dong1,ROWS($1:84)),))</f>
        <v>42400</v>
      </c>
      <c r="B97" s="165">
        <f ca="1">IF(ROWS($1:84)&gt;COUNT(Dong1),"",OFFSET(TH!E$1,SMALL(Dong1,ROWS($1:84)),))</f>
        <v>42400</v>
      </c>
      <c r="C97" s="166" t="str">
        <f ca="1">IF(ROWS($1:84)&gt;COUNT(Dong1),"",IF(OFFSET(TH!N$1,SMALL(Dong1,ROWS($1:84)),)="1111",OFFSET(TH!D$1,SMALL(Dong1,ROWS($1:84)),),""))</f>
        <v/>
      </c>
      <c r="D97" s="167" t="str">
        <f ca="1">IF(ROWS($1:84)&gt;COUNT(Dong1),"",IF(OFFSET(TH!O$1,SMALL(Dong1,ROWS($1:84)),)="1111",OFFSET(TH!D$1,SMALL(Dong1,ROWS($1:84)),),""))</f>
        <v>C45</v>
      </c>
      <c r="E97" s="382" t="str">
        <f ca="1">IF(ROWS($1:84)&gt;COUNT(Dong1),"",OFFSET(TH!F$1,SMALL(Dong1,ROWS($1:84)),))</f>
        <v>VAT Xăng</v>
      </c>
      <c r="F97" s="169" t="str">
        <f ca="1">IF(ROWS($1:84)&gt;COUNT(Dong1),"",IF(OFFSET(TH!O$1,SMALL(Dong1,ROWS($1:84)),)="1111",OFFSET(TH!N$1,SMALL(Dong1,ROWS($1:84)),),OFFSET(TH!O$1,SMALL(Dong1,ROWS($1:84)),)))</f>
        <v>1331</v>
      </c>
      <c r="G97" s="170">
        <f ca="1">IF(ROWS($1:84)&gt;COUNT(Dong1),"",IF(OFFSET(TH!N$1,SMALL(Dong1,ROWS($1:84)),)="1111",OFFSET(TH!M$1,SMALL(Dong1,ROWS($1:84)),),0))</f>
        <v>0</v>
      </c>
      <c r="H97" s="168">
        <f ca="1">IF(ROWS($1:84)&gt;COUNT(Dong1),"",IF(OFFSET(TH!O$1,SMALL(Dong1,ROWS($1:84)),)="1111",OFFSET(TH!M$1,SMALL(Dong1,ROWS($1:84)),),0))</f>
        <v>4402</v>
      </c>
      <c r="I97" s="166">
        <f t="shared" ca="1" si="1"/>
        <v>6080417524</v>
      </c>
      <c r="J97" s="171"/>
    </row>
    <row r="98" spans="1:12" ht="19.5" customHeight="1">
      <c r="A98" s="165">
        <f ca="1">IF(ROWS($1:85)&gt;COUNT(Dong1),"",OFFSET(TH!C$1,SMALL(Dong1,ROWS($1:85)),))</f>
        <v>42400</v>
      </c>
      <c r="B98" s="165">
        <f ca="1">IF(ROWS($1:85)&gt;COUNT(Dong1),"",OFFSET(TH!E$1,SMALL(Dong1,ROWS($1:85)),))</f>
        <v>42400</v>
      </c>
      <c r="C98" s="166" t="str">
        <f ca="1">IF(ROWS($1:85)&gt;COUNT(Dong1),"",IF(OFFSET(TH!N$1,SMALL(Dong1,ROWS($1:85)),)="1111",OFFSET(TH!D$1,SMALL(Dong1,ROWS($1:85)),),""))</f>
        <v/>
      </c>
      <c r="D98" s="167" t="str">
        <f ca="1">IF(ROWS($1:85)&gt;COUNT(Dong1),"",IF(OFFSET(TH!O$1,SMALL(Dong1,ROWS($1:85)),)="1111",OFFSET(TH!D$1,SMALL(Dong1,ROWS($1:85)),),""))</f>
        <v>C46</v>
      </c>
      <c r="E98" s="382" t="str">
        <f ca="1">IF(ROWS($1:85)&gt;COUNT(Dong1),"",OFFSET(TH!F$1,SMALL(Dong1,ROWS($1:85)),))</f>
        <v>Cước VT - CNTT T1/2016</v>
      </c>
      <c r="F98" s="169" t="str">
        <f ca="1">IF(ROWS($1:85)&gt;COUNT(Dong1),"",IF(OFFSET(TH!O$1,SMALL(Dong1,ROWS($1:85)),)="1111",OFFSET(TH!N$1,SMALL(Dong1,ROWS($1:85)),),OFFSET(TH!O$1,SMALL(Dong1,ROWS($1:85)),)))</f>
        <v>642</v>
      </c>
      <c r="G98" s="170">
        <f ca="1">IF(ROWS($1:85)&gt;COUNT(Dong1),"",IF(OFFSET(TH!N$1,SMALL(Dong1,ROWS($1:85)),)="1111",OFFSET(TH!M$1,SMALL(Dong1,ROWS($1:85)),),0))</f>
        <v>0</v>
      </c>
      <c r="H98" s="168">
        <f ca="1">IF(ROWS($1:85)&gt;COUNT(Dong1),"",IF(OFFSET(TH!O$1,SMALL(Dong1,ROWS($1:85)),)="1111",OFFSET(TH!M$1,SMALL(Dong1,ROWS($1:85)),),0))</f>
        <v>1970034</v>
      </c>
      <c r="I98" s="166">
        <f t="shared" ca="1" si="1"/>
        <v>6078447490</v>
      </c>
      <c r="J98" s="171"/>
    </row>
    <row r="99" spans="1:12" ht="19.5" customHeight="1">
      <c r="A99" s="165">
        <f ca="1">IF(ROWS($1:86)&gt;COUNT(Dong1),"",OFFSET(TH!C$1,SMALL(Dong1,ROWS($1:86)),))</f>
        <v>42400</v>
      </c>
      <c r="B99" s="165">
        <f ca="1">IF(ROWS($1:86)&gt;COUNT(Dong1),"",OFFSET(TH!E$1,SMALL(Dong1,ROWS($1:86)),))</f>
        <v>42400</v>
      </c>
      <c r="C99" s="166" t="str">
        <f ca="1">IF(ROWS($1:86)&gt;COUNT(Dong1),"",IF(OFFSET(TH!N$1,SMALL(Dong1,ROWS($1:86)),)="1111",OFFSET(TH!D$1,SMALL(Dong1,ROWS($1:86)),),""))</f>
        <v/>
      </c>
      <c r="D99" s="167" t="str">
        <f ca="1">IF(ROWS($1:86)&gt;COUNT(Dong1),"",IF(OFFSET(TH!O$1,SMALL(Dong1,ROWS($1:86)),)="1111",OFFSET(TH!D$1,SMALL(Dong1,ROWS($1:86)),),""))</f>
        <v>C46</v>
      </c>
      <c r="E99" s="382" t="str">
        <f ca="1">IF(ROWS($1:86)&gt;COUNT(Dong1),"",OFFSET(TH!F$1,SMALL(Dong1,ROWS($1:86)),))</f>
        <v>VAT Cước VT - CNTT T1/2016</v>
      </c>
      <c r="F99" s="169" t="str">
        <f ca="1">IF(ROWS($1:86)&gt;COUNT(Dong1),"",IF(OFFSET(TH!O$1,SMALL(Dong1,ROWS($1:86)),)="1111",OFFSET(TH!N$1,SMALL(Dong1,ROWS($1:86)),),OFFSET(TH!O$1,SMALL(Dong1,ROWS($1:86)),)))</f>
        <v>1331</v>
      </c>
      <c r="G99" s="170">
        <f ca="1">IF(ROWS($1:86)&gt;COUNT(Dong1),"",IF(OFFSET(TH!N$1,SMALL(Dong1,ROWS($1:86)),)="1111",OFFSET(TH!M$1,SMALL(Dong1,ROWS($1:86)),),0))</f>
        <v>0</v>
      </c>
      <c r="H99" s="168">
        <f ca="1">IF(ROWS($1:86)&gt;COUNT(Dong1),"",IF(OFFSET(TH!O$1,SMALL(Dong1,ROWS($1:86)),)="1111",OFFSET(TH!M$1,SMALL(Dong1,ROWS($1:86)),),0))</f>
        <v>197003</v>
      </c>
      <c r="I99" s="166">
        <f t="shared" ca="1" si="1"/>
        <v>6078250487</v>
      </c>
      <c r="J99" s="171"/>
    </row>
    <row r="100" spans="1:12" ht="19.5" customHeight="1">
      <c r="A100" s="165">
        <f ca="1">IF(ROWS($1:87)&gt;COUNT(Dong1),"",OFFSET(TH!C$1,SMALL(Dong1,ROWS($1:87)),))</f>
        <v>42400</v>
      </c>
      <c r="B100" s="165">
        <f ca="1">IF(ROWS($1:87)&gt;COUNT(Dong1),"",OFFSET(TH!E$1,SMALL(Dong1,ROWS($1:87)),))</f>
        <v>42400</v>
      </c>
      <c r="C100" s="166" t="str">
        <f ca="1">IF(ROWS($1:87)&gt;COUNT(Dong1),"",IF(OFFSET(TH!N$1,SMALL(Dong1,ROWS($1:87)),)="1111",OFFSET(TH!D$1,SMALL(Dong1,ROWS($1:87)),),""))</f>
        <v/>
      </c>
      <c r="D100" s="167" t="str">
        <f ca="1">IF(ROWS($1:87)&gt;COUNT(Dong1),"",IF(OFFSET(TH!O$1,SMALL(Dong1,ROWS($1:87)),)="1111",OFFSET(TH!D$1,SMALL(Dong1,ROWS($1:87)),),""))</f>
        <v>C47</v>
      </c>
      <c r="E100" s="382" t="str">
        <f ca="1">IF(ROWS($1:87)&gt;COUNT(Dong1),"",OFFSET(TH!F$1,SMALL(Dong1,ROWS($1:87)),))</f>
        <v>Phí CPN</v>
      </c>
      <c r="F100" s="169" t="str">
        <f ca="1">IF(ROWS($1:87)&gt;COUNT(Dong1),"",IF(OFFSET(TH!O$1,SMALL(Dong1,ROWS($1:87)),)="1111",OFFSET(TH!N$1,SMALL(Dong1,ROWS($1:87)),),OFFSET(TH!O$1,SMALL(Dong1,ROWS($1:87)),)))</f>
        <v>642</v>
      </c>
      <c r="G100" s="170">
        <f ca="1">IF(ROWS($1:87)&gt;COUNT(Dong1),"",IF(OFFSET(TH!N$1,SMALL(Dong1,ROWS($1:87)),)="1111",OFFSET(TH!M$1,SMALL(Dong1,ROWS($1:87)),),0))</f>
        <v>0</v>
      </c>
      <c r="H100" s="168">
        <f ca="1">IF(ROWS($1:87)&gt;COUNT(Dong1),"",IF(OFFSET(TH!O$1,SMALL(Dong1,ROWS($1:87)),)="1111",OFFSET(TH!M$1,SMALL(Dong1,ROWS($1:87)),),0))</f>
        <v>354533</v>
      </c>
      <c r="I100" s="166">
        <f t="shared" ca="1" si="1"/>
        <v>6077895954</v>
      </c>
      <c r="J100" s="171"/>
    </row>
    <row r="101" spans="1:12" ht="19.5" customHeight="1">
      <c r="A101" s="165">
        <f ca="1">IF(ROWS($1:88)&gt;COUNT(Dong1),"",OFFSET(TH!C$1,SMALL(Dong1,ROWS($1:88)),))</f>
        <v>42400</v>
      </c>
      <c r="B101" s="165">
        <f ca="1">IF(ROWS($1:88)&gt;COUNT(Dong1),"",OFFSET(TH!E$1,SMALL(Dong1,ROWS($1:88)),))</f>
        <v>42400</v>
      </c>
      <c r="C101" s="166" t="str">
        <f ca="1">IF(ROWS($1:88)&gt;COUNT(Dong1),"",IF(OFFSET(TH!N$1,SMALL(Dong1,ROWS($1:88)),)="1111",OFFSET(TH!D$1,SMALL(Dong1,ROWS($1:88)),),""))</f>
        <v/>
      </c>
      <c r="D101" s="167" t="str">
        <f ca="1">IF(ROWS($1:88)&gt;COUNT(Dong1),"",IF(OFFSET(TH!O$1,SMALL(Dong1,ROWS($1:88)),)="1111",OFFSET(TH!D$1,SMALL(Dong1,ROWS($1:88)),),""))</f>
        <v>C47</v>
      </c>
      <c r="E101" s="382" t="str">
        <f ca="1">IF(ROWS($1:88)&gt;COUNT(Dong1),"",OFFSET(TH!F$1,SMALL(Dong1,ROWS($1:88)),))</f>
        <v>VAT Phí CPN</v>
      </c>
      <c r="F101" s="169" t="str">
        <f ca="1">IF(ROWS($1:88)&gt;COUNT(Dong1),"",IF(OFFSET(TH!O$1,SMALL(Dong1,ROWS($1:88)),)="1111",OFFSET(TH!N$1,SMALL(Dong1,ROWS($1:88)),),OFFSET(TH!O$1,SMALL(Dong1,ROWS($1:88)),)))</f>
        <v>1331</v>
      </c>
      <c r="G101" s="170">
        <f ca="1">IF(ROWS($1:88)&gt;COUNT(Dong1),"",IF(OFFSET(TH!N$1,SMALL(Dong1,ROWS($1:88)),)="1111",OFFSET(TH!M$1,SMALL(Dong1,ROWS($1:88)),),0))</f>
        <v>0</v>
      </c>
      <c r="H101" s="168">
        <f ca="1">IF(ROWS($1:88)&gt;COUNT(Dong1),"",IF(OFFSET(TH!O$1,SMALL(Dong1,ROWS($1:88)),)="1111",OFFSET(TH!M$1,SMALL(Dong1,ROWS($1:88)),),0))</f>
        <v>35453</v>
      </c>
      <c r="I101" s="166">
        <f t="shared" ref="I101:I104" ca="1" si="2">IF(E101&lt;&gt;"",I100+G101-H101,0)</f>
        <v>6077860501</v>
      </c>
      <c r="J101" s="171"/>
    </row>
    <row r="102" spans="1:12" ht="19.5" customHeight="1">
      <c r="A102" s="165">
        <f ca="1">IF(ROWS($1:89)&gt;COUNT(Dong1),"",OFFSET(TH!C$1,SMALL(Dong1,ROWS($1:89)),))</f>
        <v>42400</v>
      </c>
      <c r="B102" s="165">
        <f ca="1">IF(ROWS($1:89)&gt;COUNT(Dong1),"",OFFSET(TH!E$1,SMALL(Dong1,ROWS($1:89)),))</f>
        <v>42400</v>
      </c>
      <c r="C102" s="166" t="str">
        <f ca="1">IF(ROWS($1:89)&gt;COUNT(Dong1),"",IF(OFFSET(TH!N$1,SMALL(Dong1,ROWS($1:89)),)="1111",OFFSET(TH!D$1,SMALL(Dong1,ROWS($1:89)),),""))</f>
        <v/>
      </c>
      <c r="D102" s="167" t="str">
        <f ca="1">IF(ROWS($1:89)&gt;COUNT(Dong1),"",IF(OFFSET(TH!O$1,SMALL(Dong1,ROWS($1:89)),)="1111",OFFSET(TH!D$1,SMALL(Dong1,ROWS($1:89)),),""))</f>
        <v>C48</v>
      </c>
      <c r="E102" s="382" t="str">
        <f ca="1">IF(ROWS($1:89)&gt;COUNT(Dong1),"",OFFSET(TH!F$1,SMALL(Dong1,ROWS($1:89)),))</f>
        <v>Tạm ứng mua NL</v>
      </c>
      <c r="F102" s="169" t="str">
        <f ca="1">IF(ROWS($1:89)&gt;COUNT(Dong1),"",IF(OFFSET(TH!O$1,SMALL(Dong1,ROWS($1:89)),)="1111",OFFSET(TH!N$1,SMALL(Dong1,ROWS($1:89)),),OFFSET(TH!O$1,SMALL(Dong1,ROWS($1:89)),)))</f>
        <v>141</v>
      </c>
      <c r="G102" s="170">
        <f ca="1">IF(ROWS($1:89)&gt;COUNT(Dong1),"",IF(OFFSET(TH!N$1,SMALL(Dong1,ROWS($1:89)),)="1111",OFFSET(TH!M$1,SMALL(Dong1,ROWS($1:89)),),0))</f>
        <v>0</v>
      </c>
      <c r="H102" s="168">
        <f ca="1">IF(ROWS($1:89)&gt;COUNT(Dong1),"",IF(OFFSET(TH!O$1,SMALL(Dong1,ROWS($1:89)),)="1111",OFFSET(TH!M$1,SMALL(Dong1,ROWS($1:89)),),0))</f>
        <v>440000000</v>
      </c>
      <c r="I102" s="166">
        <f t="shared" ca="1" si="2"/>
        <v>5637860501</v>
      </c>
      <c r="J102" s="171"/>
    </row>
    <row r="103" spans="1:12" ht="19.5" customHeight="1">
      <c r="A103" s="165">
        <f ca="1">IF(ROWS($1:90)&gt;COUNT(Dong1),"",OFFSET(TH!C$1,SMALL(Dong1,ROWS($1:90)),))</f>
        <v>42400</v>
      </c>
      <c r="B103" s="165">
        <f ca="1">IF(ROWS($1:90)&gt;COUNT(Dong1),"",OFFSET(TH!E$1,SMALL(Dong1,ROWS($1:90)),))</f>
        <v>42400</v>
      </c>
      <c r="C103" s="166" t="str">
        <f ca="1">IF(ROWS($1:90)&gt;COUNT(Dong1),"",IF(OFFSET(TH!N$1,SMALL(Dong1,ROWS($1:90)),)="1111",OFFSET(TH!D$1,SMALL(Dong1,ROWS($1:90)),),""))</f>
        <v/>
      </c>
      <c r="D103" s="167" t="str">
        <f ca="1">IF(ROWS($1:90)&gt;COUNT(Dong1),"",IF(OFFSET(TH!O$1,SMALL(Dong1,ROWS($1:90)),)="1111",OFFSET(TH!D$1,SMALL(Dong1,ROWS($1:90)),),""))</f>
        <v>C49</v>
      </c>
      <c r="E103" s="382" t="str">
        <f ca="1">IF(ROWS($1:90)&gt;COUNT(Dong1),"",OFFSET(TH!F$1,SMALL(Dong1,ROWS($1:90)),))</f>
        <v>Thanh toán lương T01/2016</v>
      </c>
      <c r="F103" s="169" t="str">
        <f ca="1">IF(ROWS($1:90)&gt;COUNT(Dong1),"",IF(OFFSET(TH!O$1,SMALL(Dong1,ROWS($1:90)),)="1111",OFFSET(TH!N$1,SMALL(Dong1,ROWS($1:90)),),OFFSET(TH!O$1,SMALL(Dong1,ROWS($1:90)),)))</f>
        <v>3341</v>
      </c>
      <c r="G103" s="170">
        <f ca="1">IF(ROWS($1:90)&gt;COUNT(Dong1),"",IF(OFFSET(TH!N$1,SMALL(Dong1,ROWS($1:90)),)="1111",OFFSET(TH!M$1,SMALL(Dong1,ROWS($1:90)),),0))</f>
        <v>0</v>
      </c>
      <c r="H103" s="168">
        <f ca="1">IF(ROWS($1:90)&gt;COUNT(Dong1),"",IF(OFFSET(TH!O$1,SMALL(Dong1,ROWS($1:90)),)="1111",OFFSET(TH!M$1,SMALL(Dong1,ROWS($1:90)),),0))</f>
        <v>140608780</v>
      </c>
      <c r="I103" s="166">
        <f t="shared" ca="1" si="2"/>
        <v>5497251721</v>
      </c>
      <c r="J103" s="171"/>
    </row>
    <row r="104" spans="1:12" ht="19.5" customHeight="1">
      <c r="A104" s="165" t="str">
        <f ca="1">IF(ROWS($1:91)&gt;COUNT(Dong1),"",OFFSET(TH!C$1,SMALL(Dong1,ROWS($1:91)),))</f>
        <v/>
      </c>
      <c r="B104" s="165" t="str">
        <f ca="1">IF(ROWS($1:91)&gt;COUNT(Dong1),"",OFFSET(TH!E$1,SMALL(Dong1,ROWS($1:91)),))</f>
        <v/>
      </c>
      <c r="C104" s="166" t="str">
        <f ca="1">IF(ROWS($1:91)&gt;COUNT(Dong1),"",IF(OFFSET(TH!N$1,SMALL(Dong1,ROWS($1:91)),)="1111",OFFSET(TH!D$1,SMALL(Dong1,ROWS($1:91)),),""))</f>
        <v/>
      </c>
      <c r="D104" s="167" t="str">
        <f ca="1">IF(ROWS($1:91)&gt;COUNT(Dong1),"",IF(OFFSET(TH!O$1,SMALL(Dong1,ROWS($1:91)),)="1111",OFFSET(TH!D$1,SMALL(Dong1,ROWS($1:91)),),""))</f>
        <v/>
      </c>
      <c r="E104" s="382" t="str">
        <f ca="1">IF(ROWS($1:91)&gt;COUNT(Dong1),"",OFFSET(TH!F$1,SMALL(Dong1,ROWS($1:91)),))</f>
        <v/>
      </c>
      <c r="F104" s="169" t="str">
        <f ca="1">IF(ROWS($1:91)&gt;COUNT(Dong1),"",IF(OFFSET(TH!O$1,SMALL(Dong1,ROWS($1:91)),)="1111",OFFSET(TH!N$1,SMALL(Dong1,ROWS($1:91)),),OFFSET(TH!O$1,SMALL(Dong1,ROWS($1:91)),)))</f>
        <v/>
      </c>
      <c r="G104" s="170" t="str">
        <f ca="1">IF(ROWS($1:91)&gt;COUNT(Dong1),"",IF(OFFSET(TH!N$1,SMALL(Dong1,ROWS($1:91)),)="1111",OFFSET(TH!M$1,SMALL(Dong1,ROWS($1:91)),),0))</f>
        <v/>
      </c>
      <c r="H104" s="168" t="str">
        <f ca="1">IF(ROWS($1:91)&gt;COUNT(Dong1),"",IF(OFFSET(TH!O$1,SMALL(Dong1,ROWS($1:91)),)="1111",OFFSET(TH!M$1,SMALL(Dong1,ROWS($1:91)),),0))</f>
        <v/>
      </c>
      <c r="I104" s="166">
        <f t="shared" ca="1" si="2"/>
        <v>0</v>
      </c>
      <c r="J104" s="171"/>
    </row>
    <row r="105" spans="1:12" ht="19.5" customHeight="1">
      <c r="A105" s="172"/>
      <c r="B105" s="171"/>
      <c r="C105" s="171"/>
      <c r="D105" s="171"/>
      <c r="E105" s="383"/>
      <c r="F105" s="173"/>
      <c r="G105" s="171"/>
      <c r="H105" s="171"/>
      <c r="I105" s="166"/>
      <c r="J105" s="171"/>
    </row>
    <row r="106" spans="1:12" s="161" customFormat="1" ht="19.5" customHeight="1">
      <c r="A106" s="174"/>
      <c r="B106" s="174"/>
      <c r="C106" s="174"/>
      <c r="D106" s="174"/>
      <c r="E106" s="174" t="s">
        <v>158</v>
      </c>
      <c r="F106" s="175" t="s">
        <v>21</v>
      </c>
      <c r="G106" s="174">
        <f ca="1">SUM(G14:G105)</f>
        <v>6858920000</v>
      </c>
      <c r="H106" s="174">
        <f ca="1">SUM(H14:H105)</f>
        <v>5066707374</v>
      </c>
      <c r="I106" s="175" t="s">
        <v>21</v>
      </c>
      <c r="J106" s="175" t="s">
        <v>21</v>
      </c>
    </row>
    <row r="107" spans="1:12" s="161" customFormat="1" ht="19.5" customHeight="1">
      <c r="A107" s="176"/>
      <c r="B107" s="176"/>
      <c r="C107" s="176"/>
      <c r="D107" s="176"/>
      <c r="E107" s="176" t="s">
        <v>159</v>
      </c>
      <c r="F107" s="177" t="s">
        <v>21</v>
      </c>
      <c r="G107" s="177" t="s">
        <v>21</v>
      </c>
      <c r="H107" s="177" t="s">
        <v>21</v>
      </c>
      <c r="I107" s="178">
        <f ca="1">I13+G106-H106</f>
        <v>5497251721</v>
      </c>
      <c r="J107" s="177" t="s">
        <v>21</v>
      </c>
    </row>
    <row r="108" spans="1:12">
      <c r="L108" s="427" t="s">
        <v>253</v>
      </c>
    </row>
    <row r="109" spans="1:12">
      <c r="A109" s="179" t="s">
        <v>235</v>
      </c>
      <c r="L109" s="427" t="s">
        <v>254</v>
      </c>
    </row>
    <row r="110" spans="1:12">
      <c r="A110" s="229" t="str">
        <f ca="1">"- Ngày mở sổ: "&amp;DAY($A$14)&amp;"/"&amp;MONTH($A$14)&amp;"/ 2015"</f>
        <v>- Ngày mở sổ: 2/1/ 2015</v>
      </c>
      <c r="L110" s="427" t="s">
        <v>160</v>
      </c>
    </row>
    <row r="111" spans="1:12">
      <c r="I111" s="319" t="str">
        <f>"Ngày "&amp;IF(OR($L$11=4,$L$11=6,$L$11=9,$L$11=11),"30",IF($L$11=2,"28","31"))&amp;" tháng "&amp;$L$11&amp;"  năm  2016 "</f>
        <v xml:space="preserve">Ngày 31 tháng 1  năm  2016 </v>
      </c>
      <c r="L111" s="427" t="s">
        <v>235</v>
      </c>
    </row>
    <row r="112" spans="1:12" s="180" customFormat="1" ht="14.25">
      <c r="C112" s="180" t="s">
        <v>11</v>
      </c>
      <c r="E112" s="180" t="s">
        <v>12</v>
      </c>
      <c r="I112" s="180" t="s">
        <v>131</v>
      </c>
    </row>
    <row r="113" spans="1:10" s="181" customFormat="1">
      <c r="C113" s="181" t="s">
        <v>13</v>
      </c>
      <c r="E113" s="181" t="s">
        <v>13</v>
      </c>
      <c r="I113" s="181" t="s">
        <v>161</v>
      </c>
    </row>
    <row r="114" spans="1:10" s="181" customFormat="1"/>
    <row r="115" spans="1:10" s="181" customFormat="1"/>
    <row r="116" spans="1:10" s="181" customFormat="1"/>
    <row r="117" spans="1:10" s="181" customFormat="1"/>
    <row r="120" spans="1:10" ht="15.75">
      <c r="C120" s="380" t="s">
        <v>230</v>
      </c>
      <c r="I120" s="381" t="s">
        <v>125</v>
      </c>
    </row>
    <row r="121" spans="1:10">
      <c r="E121" s="156">
        <f ca="1">SUMIF($D$14:$D$36,#REF!,H14:H36)</f>
        <v>0</v>
      </c>
    </row>
    <row r="124" spans="1:10">
      <c r="A124" s="156">
        <v>2</v>
      </c>
      <c r="B124" s="156">
        <v>3</v>
      </c>
      <c r="C124" s="156">
        <v>4</v>
      </c>
      <c r="D124" s="156">
        <v>5</v>
      </c>
      <c r="E124" s="156">
        <v>6</v>
      </c>
      <c r="F124" s="156">
        <v>9</v>
      </c>
      <c r="G124" s="156">
        <v>10</v>
      </c>
      <c r="H124" s="156">
        <v>11</v>
      </c>
      <c r="I124" s="156">
        <v>12</v>
      </c>
      <c r="J124" s="156">
        <v>13</v>
      </c>
    </row>
  </sheetData>
  <autoFilter ref="A12:J107"/>
  <sortState ref="A13:P167">
    <sortCondition ref="A13:A167"/>
  </sortState>
  <mergeCells count="14">
    <mergeCell ref="G10:H10"/>
    <mergeCell ref="I10:I11"/>
    <mergeCell ref="J10:J11"/>
    <mergeCell ref="A10:A11"/>
    <mergeCell ref="B10:B11"/>
    <mergeCell ref="C10:D10"/>
    <mergeCell ref="E10:E11"/>
    <mergeCell ref="F10:F11"/>
    <mergeCell ref="G1:J1"/>
    <mergeCell ref="G2:J3"/>
    <mergeCell ref="A5:J5"/>
    <mergeCell ref="A7:J7"/>
    <mergeCell ref="A8:J8"/>
    <mergeCell ref="A6:J6"/>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S99"/>
  <sheetViews>
    <sheetView topLeftCell="A6" workbookViewId="0">
      <pane ySplit="6" topLeftCell="A12" activePane="bottomLeft" state="frozen"/>
      <selection activeCell="A6" sqref="A6"/>
      <selection pane="bottomLeft" activeCell="K9" sqref="K9"/>
    </sheetView>
  </sheetViews>
  <sheetFormatPr defaultRowHeight="15.75"/>
  <cols>
    <col min="1" max="1" width="7.7109375" style="222" customWidth="1"/>
    <col min="2" max="2" width="6" style="223" customWidth="1"/>
    <col min="3" max="3" width="7.7109375" style="222" customWidth="1"/>
    <col min="4" max="4" width="40.7109375" style="221" customWidth="1"/>
    <col min="5" max="5" width="6.5703125" style="221" customWidth="1"/>
    <col min="6" max="6" width="14.28515625" style="221" customWidth="1"/>
    <col min="7" max="7" width="14.5703125" style="221" customWidth="1"/>
    <col min="8" max="8" width="14.7109375" style="746" customWidth="1"/>
    <col min="9" max="9" width="6.5703125" style="221" customWidth="1"/>
    <col min="10" max="10" width="2.85546875" style="221" customWidth="1"/>
    <col min="11" max="11" width="6.28515625" style="221" customWidth="1"/>
    <col min="12" max="12" width="3.28515625" style="221" customWidth="1"/>
    <col min="13" max="13" width="5.7109375" style="221" customWidth="1"/>
    <col min="14" max="14" width="9.140625" style="221"/>
    <col min="15" max="15" width="12.85546875" style="221" bestFit="1" customWidth="1"/>
    <col min="16" max="18" width="12.7109375" style="221" customWidth="1"/>
    <col min="19" max="19" width="12" style="221" bestFit="1" customWidth="1"/>
    <col min="20" max="16384" width="9.140625" style="221"/>
  </cols>
  <sheetData>
    <row r="1" spans="1:19" s="185" customFormat="1" ht="16.5" customHeight="1">
      <c r="A1" s="132" t="s">
        <v>138</v>
      </c>
      <c r="B1" s="186"/>
      <c r="C1" s="187"/>
      <c r="F1" s="384"/>
      <c r="G1" s="386" t="s">
        <v>236</v>
      </c>
      <c r="H1" s="1177"/>
      <c r="I1" s="384"/>
      <c r="K1" s="188"/>
      <c r="L1" s="188"/>
    </row>
    <row r="2" spans="1:19" s="185" customFormat="1" ht="16.5" customHeight="1">
      <c r="A2" s="388" t="s">
        <v>139</v>
      </c>
      <c r="B2" s="224"/>
      <c r="C2" s="224"/>
      <c r="D2" s="224"/>
      <c r="F2" s="385"/>
      <c r="G2" s="387" t="s">
        <v>237</v>
      </c>
      <c r="H2" s="1178"/>
      <c r="I2" s="385"/>
      <c r="K2" s="189"/>
      <c r="L2" s="189"/>
    </row>
    <row r="3" spans="1:19" s="185" customFormat="1" ht="16.5" customHeight="1">
      <c r="A3" s="224"/>
      <c r="B3" s="224"/>
      <c r="C3" s="224"/>
      <c r="D3" s="224"/>
      <c r="F3" s="385"/>
      <c r="G3" s="387" t="s">
        <v>238</v>
      </c>
      <c r="H3" s="1178"/>
      <c r="I3" s="385"/>
    </row>
    <row r="4" spans="1:19" s="185" customFormat="1" ht="19.5" customHeight="1">
      <c r="A4" s="1246" t="s">
        <v>165</v>
      </c>
      <c r="B4" s="1246"/>
      <c r="C4" s="1246"/>
      <c r="D4" s="1246"/>
      <c r="E4" s="1246"/>
      <c r="F4" s="1246"/>
      <c r="G4" s="1246"/>
      <c r="H4" s="1246"/>
      <c r="I4" s="1246"/>
    </row>
    <row r="5" spans="1:19" s="185" customFormat="1" ht="15">
      <c r="A5" s="1247" t="s">
        <v>166</v>
      </c>
      <c r="B5" s="1247"/>
      <c r="C5" s="1247"/>
      <c r="D5" s="1247"/>
      <c r="E5" s="1247"/>
      <c r="F5" s="1247"/>
      <c r="G5" s="1247"/>
      <c r="H5" s="1247"/>
      <c r="I5" s="1247"/>
    </row>
    <row r="6" spans="1:19" s="185" customFormat="1" ht="15">
      <c r="D6" s="454" t="s">
        <v>271</v>
      </c>
      <c r="E6" s="1247" t="str">
        <f>IF($H$6="VNĐ",IF($M$9="Q11","1015 148 5100 9180","1402 148 5100 9465"),IF($M$9="Q11","1015 148 5100 9193","1402 148 5100 9479"))</f>
        <v>1402 148 5100 9479</v>
      </c>
      <c r="F6" s="1247"/>
      <c r="G6" s="1247"/>
      <c r="H6" s="1179" t="s">
        <v>228</v>
      </c>
      <c r="I6" s="455" t="str">
        <f>IF(H6="VNĐ","1121",IF(H6="USD","1122",""))</f>
        <v>1122</v>
      </c>
      <c r="O6" s="1244" t="s">
        <v>932</v>
      </c>
      <c r="P6" s="1244" t="s">
        <v>930</v>
      </c>
      <c r="Q6" s="1244" t="s">
        <v>929</v>
      </c>
      <c r="R6" s="1244" t="s">
        <v>935</v>
      </c>
    </row>
    <row r="7" spans="1:19" s="185" customFormat="1" ht="8.25" customHeight="1">
      <c r="A7" s="190"/>
      <c r="B7" s="191"/>
      <c r="C7" s="190"/>
      <c r="D7" s="191"/>
      <c r="E7" s="191"/>
      <c r="F7" s="191"/>
      <c r="G7" s="191"/>
      <c r="H7" s="1180"/>
      <c r="I7" s="191"/>
      <c r="O7" s="1245"/>
      <c r="P7" s="1245"/>
      <c r="Q7" s="1245"/>
      <c r="R7" s="1245"/>
    </row>
    <row r="8" spans="1:19" s="192" customFormat="1" ht="22.5" customHeight="1" thickBot="1">
      <c r="A8" s="1250" t="s">
        <v>167</v>
      </c>
      <c r="B8" s="1252" t="s">
        <v>1</v>
      </c>
      <c r="C8" s="1253"/>
      <c r="D8" s="1248" t="s">
        <v>0</v>
      </c>
      <c r="E8" s="1254" t="s">
        <v>16</v>
      </c>
      <c r="F8" s="1252" t="s">
        <v>168</v>
      </c>
      <c r="G8" s="1252"/>
      <c r="H8" s="1253"/>
      <c r="I8" s="1248" t="s">
        <v>152</v>
      </c>
      <c r="K8" s="183"/>
      <c r="L8" s="185"/>
      <c r="O8" s="953" t="s">
        <v>934</v>
      </c>
      <c r="P8" s="440">
        <v>1749.9699999988079</v>
      </c>
      <c r="Q8" s="440">
        <v>97840.270000000019</v>
      </c>
      <c r="R8" s="440"/>
      <c r="S8" s="955">
        <f>SUM(P8:R8)</f>
        <v>99590.239999998827</v>
      </c>
    </row>
    <row r="9" spans="1:19" s="192" customFormat="1" ht="22.5" customHeight="1" thickBot="1">
      <c r="A9" s="1251"/>
      <c r="B9" s="193" t="s">
        <v>17</v>
      </c>
      <c r="C9" s="194" t="s">
        <v>169</v>
      </c>
      <c r="D9" s="1249"/>
      <c r="E9" s="1255"/>
      <c r="F9" s="435" t="s">
        <v>170</v>
      </c>
      <c r="G9" s="195" t="s">
        <v>171</v>
      </c>
      <c r="H9" s="1181" t="s">
        <v>172</v>
      </c>
      <c r="I9" s="1249"/>
      <c r="K9" s="950">
        <v>1</v>
      </c>
      <c r="L9" s="185"/>
      <c r="M9" s="951" t="s">
        <v>929</v>
      </c>
      <c r="O9" s="952" t="s">
        <v>933</v>
      </c>
      <c r="P9" s="954">
        <v>12092853</v>
      </c>
      <c r="Q9" s="954">
        <v>7626450</v>
      </c>
      <c r="R9" s="954">
        <v>109992</v>
      </c>
      <c r="S9" s="956">
        <f>SUM(P9:R9)</f>
        <v>19829295</v>
      </c>
    </row>
    <row r="10" spans="1:19" s="198" customFormat="1" ht="15">
      <c r="A10" s="196" t="s">
        <v>2</v>
      </c>
      <c r="B10" s="197" t="s">
        <v>3</v>
      </c>
      <c r="C10" s="196" t="s">
        <v>4</v>
      </c>
      <c r="D10" s="197" t="s">
        <v>5</v>
      </c>
      <c r="E10" s="197" t="s">
        <v>6</v>
      </c>
      <c r="F10" s="197">
        <v>1</v>
      </c>
      <c r="G10" s="197">
        <v>2</v>
      </c>
      <c r="H10" s="197">
        <v>3</v>
      </c>
      <c r="I10" s="197" t="s">
        <v>155</v>
      </c>
      <c r="L10" s="185"/>
    </row>
    <row r="11" spans="1:19" s="202" customFormat="1" ht="20.25" customHeight="1">
      <c r="A11" s="199"/>
      <c r="B11" s="200"/>
      <c r="C11" s="199"/>
      <c r="D11" s="201" t="s">
        <v>7</v>
      </c>
      <c r="E11" s="201"/>
      <c r="F11" s="960"/>
      <c r="G11" s="960"/>
      <c r="H11" s="957">
        <f>IF($H$6="USD",IF($M$9="Q11",$P$8,$Q$8)+SUMIF(_N112,"x",_TH)-SUMIF(_C112,"x",_TH),IF($M$9="Q11",$P$9,$Q$9)+SUMIF(_N112,"x",TH)-SUMIF(_C112,"x",TH))</f>
        <v>97840.270000000019</v>
      </c>
      <c r="I11" s="957"/>
      <c r="L11" s="185"/>
    </row>
    <row r="12" spans="1:19" s="192" customFormat="1" ht="20.25" customHeight="1">
      <c r="A12" s="203">
        <f ca="1">IF(ROWS($1:1)&gt;COUNT(Dong2),"",OFFSET(TH!C$1,SMALL(Dong2,ROWS($1:1)),))</f>
        <v>42373</v>
      </c>
      <c r="B12" s="203" t="str">
        <f ca="1">IF(ROWS($1:1)&gt;COUNT(Dong2),"",OFFSET(TH!D$1,SMALL(Dong2,ROWS($1:1)),))</f>
        <v>GBN</v>
      </c>
      <c r="C12" s="203">
        <f ca="1">IF(ROWS($1:1)&gt;COUNT(Dong2),"",OFFSET(TH!E$1,SMALL(Dong2,ROWS($1:1)),))</f>
        <v>42373</v>
      </c>
      <c r="D12" s="389" t="str">
        <f ca="1">IF(ROWS($1:1)&gt;COUNT(Dong2),"",OFFSET(TH!F$1,SMALL(Dong2,ROWS($1:1)),))</f>
        <v>Q4 - Bán NT chuyển TK VND</v>
      </c>
      <c r="E12" s="203" t="str">
        <f ca="1">IF(ROWS($1:1)&gt;COUNT(Dong2),"",IF(OFFSET(TH!O$1,SMALL(Dong2,ROWS($1:1)),)=$I$6,OFFSET(TH!N$1,SMALL(Dong2,ROWS($1:1)),),OFFSET(TH!O$1,SMALL(Dong2,ROWS($1:1)),)))</f>
        <v>1121</v>
      </c>
      <c r="F12" s="961">
        <f ca="1">IF(ROWS($1:1)&gt;COUNT(Dong2),"",IF(AND(IF($M$9="Q4",LEFT(OFFSET(TH!G$1,SMALL(Dong2,ROWS($1:1)),),2)=$M$9,LEFT(OFFSET(TH!G$1,SMALL(Dong2,ROWS($1:1)),),3)=$M$9),OFFSET(TH!N$1,SMALL(Dong2,ROWS($1:1)),)=$I$6),IF($I$6="1121",OFFSET(TH!M$1,SMALL(Dong2,ROWS($1:1)),),OFFSET(TH!K$1,SMALL(Dong2,ROWS($1:1)),)),0))</f>
        <v>0</v>
      </c>
      <c r="G12" s="961">
        <f ca="1">IF(ROWS($1:1)&gt;COUNT(Dong2),"",IF(AND(IF($M$9="Q4",RIGHT(OFFSET(TH!G$1,SMALL(Dong2,ROWS($1:1)),),2)=$M$9,RIGHT(OFFSET(TH!G$1,SMALL(Dong2,ROWS($1:1)),),3)=$M$9),OFFSET(TH!O$1,SMALL(Dong2,ROWS($1:1)),)=$I$6),IF($I$6="1121",OFFSET(TH!M$1,SMALL(Dong2,ROWS($1:1)),),OFFSET(TH!K$1,SMALL(Dong2,ROWS($1:1)),)),0))</f>
        <v>97800</v>
      </c>
      <c r="H12" s="958">
        <f t="shared" ref="H12" ca="1" si="0">IF(A12&lt;&gt;"",H11+F12-G12,0)</f>
        <v>40.270000000018626</v>
      </c>
      <c r="I12" s="958"/>
      <c r="L12" s="185"/>
    </row>
    <row r="13" spans="1:19" s="192" customFormat="1" ht="20.25" customHeight="1">
      <c r="A13" s="203">
        <f ca="1">IF(ROWS($1:2)&gt;COUNT(Dong2),"",OFFSET(TH!C$1,SMALL(Dong2,ROWS($1:2)),))</f>
        <v>42377</v>
      </c>
      <c r="B13" s="203" t="str">
        <f ca="1">IF(ROWS($1:2)&gt;COUNT(Dong2),"",OFFSET(TH!D$1,SMALL(Dong2,ROWS($1:2)),))</f>
        <v>GBC</v>
      </c>
      <c r="C13" s="203">
        <f ca="1">IF(ROWS($1:2)&gt;COUNT(Dong2),"",OFFSET(TH!E$1,SMALL(Dong2,ROWS($1:2)),))</f>
        <v>42377</v>
      </c>
      <c r="D13" s="389" t="str">
        <f ca="1">IF(ROWS($1:2)&gt;COUNT(Dong2),"",OFFSET(TH!F$1,SMALL(Dong2,ROWS($1:2)),))</f>
        <v>Q4 - Thu tiền hàng</v>
      </c>
      <c r="E13" s="203" t="str">
        <f ca="1">IF(ROWS($1:2)&gt;COUNT(Dong2),"",IF(OFFSET(TH!O$1,SMALL(Dong2,ROWS($1:2)),)=$I$6,OFFSET(TH!N$1,SMALL(Dong2,ROWS($1:2)),),OFFSET(TH!O$1,SMALL(Dong2,ROWS($1:2)),)))</f>
        <v>131</v>
      </c>
      <c r="F13" s="961">
        <f ca="1">IF(ROWS($1:2)&gt;COUNT(Dong2),"",IF(AND(IF($M$9="Q4",LEFT(OFFSET(TH!G$1,SMALL(Dong2,ROWS($1:2)),),2)=$M$9,LEFT(OFFSET(TH!G$1,SMALL(Dong2,ROWS($1:2)),),3)=$M$9),OFFSET(TH!N$1,SMALL(Dong2,ROWS($1:2)),)=$I$6),IF($I$6="1121",OFFSET(TH!M$1,SMALL(Dong2,ROWS($1:2)),),OFFSET(TH!K$1,SMALL(Dong2,ROWS($1:2)),)),0))</f>
        <v>4819.12</v>
      </c>
      <c r="G13" s="961">
        <f ca="1">IF(ROWS($1:2)&gt;COUNT(Dong2),"",IF(AND(IF($M$9="Q4",RIGHT(OFFSET(TH!G$1,SMALL(Dong2,ROWS($1:2)),),2)=$M$9,RIGHT(OFFSET(TH!G$1,SMALL(Dong2,ROWS($1:2)),),3)=$M$9),OFFSET(TH!O$1,SMALL(Dong2,ROWS($1:2)),)=$I$6),IF($I$6="1121",OFFSET(TH!M$1,SMALL(Dong2,ROWS($1:2)),),OFFSET(TH!K$1,SMALL(Dong2,ROWS($1:2)),)),0))</f>
        <v>0</v>
      </c>
      <c r="H13" s="958">
        <f t="shared" ref="H13:H52" ca="1" si="1">IF(A13&lt;&gt;"",H12+F13-G13,0)</f>
        <v>4859.3900000000185</v>
      </c>
      <c r="I13" s="958"/>
      <c r="L13" s="185"/>
    </row>
    <row r="14" spans="1:19" s="192" customFormat="1" ht="20.25" customHeight="1">
      <c r="A14" s="203">
        <f ca="1">IF(ROWS($1:3)&gt;COUNT(Dong2),"",OFFSET(TH!C$1,SMALL(Dong2,ROWS($1:3)),))</f>
        <v>42377</v>
      </c>
      <c r="B14" s="203" t="str">
        <f ca="1">IF(ROWS($1:3)&gt;COUNT(Dong2),"",OFFSET(TH!D$1,SMALL(Dong2,ROWS($1:3)),))</f>
        <v>GBN</v>
      </c>
      <c r="C14" s="203">
        <f ca="1">IF(ROWS($1:3)&gt;COUNT(Dong2),"",OFFSET(TH!E$1,SMALL(Dong2,ROWS($1:3)),))</f>
        <v>42377</v>
      </c>
      <c r="D14" s="389" t="str">
        <f ca="1">IF(ROWS($1:3)&gt;COUNT(Dong2),"",OFFSET(TH!F$1,SMALL(Dong2,ROWS($1:3)),))</f>
        <v>Q4 - Lãi suất chiết khấu</v>
      </c>
      <c r="E14" s="203" t="str">
        <f ca="1">IF(ROWS($1:3)&gt;COUNT(Dong2),"",IF(OFFSET(TH!O$1,SMALL(Dong2,ROWS($1:3)),)=$I$6,OFFSET(TH!N$1,SMALL(Dong2,ROWS($1:3)),),OFFSET(TH!O$1,SMALL(Dong2,ROWS($1:3)),)))</f>
        <v>635</v>
      </c>
      <c r="F14" s="961">
        <f ca="1">IF(ROWS($1:3)&gt;COUNT(Dong2),"",IF(AND(IF($M$9="Q4",LEFT(OFFSET(TH!G$1,SMALL(Dong2,ROWS($1:3)),),2)=$M$9,LEFT(OFFSET(TH!G$1,SMALL(Dong2,ROWS($1:3)),),3)=$M$9),OFFSET(TH!N$1,SMALL(Dong2,ROWS($1:3)),)=$I$6),IF($I$6="1121",OFFSET(TH!M$1,SMALL(Dong2,ROWS($1:3)),),OFFSET(TH!K$1,SMALL(Dong2,ROWS($1:3)),)),0))</f>
        <v>0</v>
      </c>
      <c r="G14" s="961">
        <f ca="1">IF(ROWS($1:3)&gt;COUNT(Dong2),"",IF(AND(IF($M$9="Q4",RIGHT(OFFSET(TH!G$1,SMALL(Dong2,ROWS($1:3)),),2)=$M$9,RIGHT(OFFSET(TH!G$1,SMALL(Dong2,ROWS($1:3)),),3)=$M$9),OFFSET(TH!O$1,SMALL(Dong2,ROWS($1:3)),)=$I$6),IF($I$6="1121",OFFSET(TH!M$1,SMALL(Dong2,ROWS($1:3)),),OFFSET(TH!K$1,SMALL(Dong2,ROWS($1:3)),)),0))</f>
        <v>76.069999999999993</v>
      </c>
      <c r="H14" s="958">
        <f t="shared" ca="1" si="1"/>
        <v>4783.3200000000188</v>
      </c>
      <c r="I14" s="958"/>
      <c r="L14" s="185"/>
    </row>
    <row r="15" spans="1:19" s="192" customFormat="1" ht="20.25" customHeight="1">
      <c r="A15" s="203">
        <f ca="1">IF(ROWS($1:4)&gt;COUNT(Dong2),"",OFFSET(TH!C$1,SMALL(Dong2,ROWS($1:4)),))</f>
        <v>42383</v>
      </c>
      <c r="B15" s="203" t="str">
        <f ca="1">IF(ROWS($1:4)&gt;COUNT(Dong2),"",OFFSET(TH!D$1,SMALL(Dong2,ROWS($1:4)),))</f>
        <v>GBC</v>
      </c>
      <c r="C15" s="203">
        <f ca="1">IF(ROWS($1:4)&gt;COUNT(Dong2),"",OFFSET(TH!E$1,SMALL(Dong2,ROWS($1:4)),))</f>
        <v>42383</v>
      </c>
      <c r="D15" s="389" t="str">
        <f ca="1">IF(ROWS($1:4)&gt;COUNT(Dong2),"",OFFSET(TH!F$1,SMALL(Dong2,ROWS($1:4)),))</f>
        <v>Q11 - Chuyển NT</v>
      </c>
      <c r="E15" s="203" t="str">
        <f ca="1">IF(ROWS($1:4)&gt;COUNT(Dong2),"",IF(OFFSET(TH!O$1,SMALL(Dong2,ROWS($1:4)),)=$I$6,OFFSET(TH!N$1,SMALL(Dong2,ROWS($1:4)),),OFFSET(TH!O$1,SMALL(Dong2,ROWS($1:4)),)))</f>
        <v>1122</v>
      </c>
      <c r="F15" s="961">
        <f ca="1">IF(ROWS($1:4)&gt;COUNT(Dong2),"",IF(AND(IF($M$9="Q4",LEFT(OFFSET(TH!G$1,SMALL(Dong2,ROWS($1:4)),),2)=$M$9,LEFT(OFFSET(TH!G$1,SMALL(Dong2,ROWS($1:4)),),3)=$M$9),OFFSET(TH!N$1,SMALL(Dong2,ROWS($1:4)),)=$I$6),IF($I$6="1121",OFFSET(TH!M$1,SMALL(Dong2,ROWS($1:4)),),OFFSET(TH!K$1,SMALL(Dong2,ROWS($1:4)),)),0))</f>
        <v>0</v>
      </c>
      <c r="G15" s="961">
        <f ca="1">IF(ROWS($1:4)&gt;COUNT(Dong2),"",IF(AND(IF($M$9="Q4",RIGHT(OFFSET(TH!G$1,SMALL(Dong2,ROWS($1:4)),),2)=$M$9,RIGHT(OFFSET(TH!G$1,SMALL(Dong2,ROWS($1:4)),),3)=$M$9),OFFSET(TH!O$1,SMALL(Dong2,ROWS($1:4)),)=$I$6),IF($I$6="1121",OFFSET(TH!M$1,SMALL(Dong2,ROWS($1:4)),),OFFSET(TH!K$1,SMALL(Dong2,ROWS($1:4)),)),0))</f>
        <v>4700</v>
      </c>
      <c r="H15" s="958">
        <f t="shared" ca="1" si="1"/>
        <v>83.320000000018808</v>
      </c>
      <c r="I15" s="958"/>
      <c r="L15" s="185"/>
    </row>
    <row r="16" spans="1:19" s="192" customFormat="1" ht="20.25" customHeight="1">
      <c r="A16" s="203">
        <f ca="1">IF(ROWS($1:5)&gt;COUNT(Dong2),"",OFFSET(TH!C$1,SMALL(Dong2,ROWS($1:5)),))</f>
        <v>42398</v>
      </c>
      <c r="B16" s="203" t="str">
        <f ca="1">IF(ROWS($1:5)&gt;COUNT(Dong2),"",OFFSET(TH!D$1,SMALL(Dong2,ROWS($1:5)),))</f>
        <v>GBN</v>
      </c>
      <c r="C16" s="203">
        <f ca="1">IF(ROWS($1:5)&gt;COUNT(Dong2),"",OFFSET(TH!E$1,SMALL(Dong2,ROWS($1:5)),))</f>
        <v>42398</v>
      </c>
      <c r="D16" s="389" t="str">
        <f ca="1">IF(ROWS($1:5)&gt;COUNT(Dong2),"",OFFSET(TH!F$1,SMALL(Dong2,ROWS($1:5)),))</f>
        <v>Q11 - Chuyển NT</v>
      </c>
      <c r="E16" s="203" t="str">
        <f ca="1">IF(ROWS($1:5)&gt;COUNT(Dong2),"",IF(OFFSET(TH!O$1,SMALL(Dong2,ROWS($1:5)),)=$I$6,OFFSET(TH!N$1,SMALL(Dong2,ROWS($1:5)),),OFFSET(TH!O$1,SMALL(Dong2,ROWS($1:5)),)))</f>
        <v>1122</v>
      </c>
      <c r="F16" s="961">
        <f ca="1">IF(ROWS($1:5)&gt;COUNT(Dong2),"",IF(AND(IF($M$9="Q4",LEFT(OFFSET(TH!G$1,SMALL(Dong2,ROWS($1:5)),),2)=$M$9,LEFT(OFFSET(TH!G$1,SMALL(Dong2,ROWS($1:5)),),3)=$M$9),OFFSET(TH!N$1,SMALL(Dong2,ROWS($1:5)),)=$I$6),IF($I$6="1121",OFFSET(TH!M$1,SMALL(Dong2,ROWS($1:5)),),OFFSET(TH!K$1,SMALL(Dong2,ROWS($1:5)),)),0))</f>
        <v>52300</v>
      </c>
      <c r="G16" s="961">
        <f ca="1">IF(ROWS($1:5)&gt;COUNT(Dong2),"",IF(AND(IF($M$9="Q4",RIGHT(OFFSET(TH!G$1,SMALL(Dong2,ROWS($1:5)),),2)=$M$9,RIGHT(OFFSET(TH!G$1,SMALL(Dong2,ROWS($1:5)),),3)=$M$9),OFFSET(TH!O$1,SMALL(Dong2,ROWS($1:5)),)=$I$6),IF($I$6="1121",OFFSET(TH!M$1,SMALL(Dong2,ROWS($1:5)),),OFFSET(TH!K$1,SMALL(Dong2,ROWS($1:5)),)),0))</f>
        <v>0</v>
      </c>
      <c r="H16" s="958">
        <f t="shared" ca="1" si="1"/>
        <v>52383.320000000022</v>
      </c>
      <c r="I16" s="958"/>
      <c r="L16" s="185"/>
    </row>
    <row r="17" spans="1:15" s="192" customFormat="1" ht="20.25" customHeight="1">
      <c r="A17" s="203">
        <f ca="1">IF(ROWS($1:6)&gt;COUNT(Dong2),"",OFFSET(TH!C$1,SMALL(Dong2,ROWS($1:6)),))</f>
        <v>42398</v>
      </c>
      <c r="B17" s="203" t="str">
        <f ca="1">IF(ROWS($1:6)&gt;COUNT(Dong2),"",OFFSET(TH!D$1,SMALL(Dong2,ROWS($1:6)),))</f>
        <v>GBN</v>
      </c>
      <c r="C17" s="203">
        <f ca="1">IF(ROWS($1:6)&gt;COUNT(Dong2),"",OFFSET(TH!E$1,SMALL(Dong2,ROWS($1:6)),))</f>
        <v>42398</v>
      </c>
      <c r="D17" s="389" t="str">
        <f ca="1">IF(ROWS($1:6)&gt;COUNT(Dong2),"",OFFSET(TH!F$1,SMALL(Dong2,ROWS($1:6)),))</f>
        <v xml:space="preserve">Q4 - Tất toán </v>
      </c>
      <c r="E17" s="203" t="str">
        <f ca="1">IF(ROWS($1:6)&gt;COUNT(Dong2),"",IF(OFFSET(TH!O$1,SMALL(Dong2,ROWS($1:6)),)=$I$6,OFFSET(TH!N$1,SMALL(Dong2,ROWS($1:6)),),OFFSET(TH!O$1,SMALL(Dong2,ROWS($1:6)),)))</f>
        <v>3412</v>
      </c>
      <c r="F17" s="961">
        <f ca="1">IF(ROWS($1:6)&gt;COUNT(Dong2),"",IF(AND(IF($M$9="Q4",LEFT(OFFSET(TH!G$1,SMALL(Dong2,ROWS($1:6)),),2)=$M$9,LEFT(OFFSET(TH!G$1,SMALL(Dong2,ROWS($1:6)),),3)=$M$9),OFFSET(TH!N$1,SMALL(Dong2,ROWS($1:6)),)=$I$6),IF($I$6="1121",OFFSET(TH!M$1,SMALL(Dong2,ROWS($1:6)),),OFFSET(TH!K$1,SMALL(Dong2,ROWS($1:6)),)),0))</f>
        <v>0</v>
      </c>
      <c r="G17" s="961">
        <f ca="1">IF(ROWS($1:6)&gt;COUNT(Dong2),"",IF(AND(IF($M$9="Q4",RIGHT(OFFSET(TH!G$1,SMALL(Dong2,ROWS($1:6)),),2)=$M$9,RIGHT(OFFSET(TH!G$1,SMALL(Dong2,ROWS($1:6)),),3)=$M$9),OFFSET(TH!O$1,SMALL(Dong2,ROWS($1:6)),)=$I$6),IF($I$6="1121",OFFSET(TH!M$1,SMALL(Dong2,ROWS($1:6)),),OFFSET(TH!K$1,SMALL(Dong2,ROWS($1:6)),)),0))</f>
        <v>52300</v>
      </c>
      <c r="H17" s="958">
        <f t="shared" ca="1" si="1"/>
        <v>83.320000000021537</v>
      </c>
      <c r="I17" s="958"/>
      <c r="L17" s="185"/>
    </row>
    <row r="18" spans="1:15" s="192" customFormat="1" ht="20.25" customHeight="1">
      <c r="A18" s="203">
        <f ca="1">IF(ROWS($1:7)&gt;COUNT(Dong2),"",OFFSET(TH!C$1,SMALL(Dong2,ROWS($1:7)),))</f>
        <v>42398</v>
      </c>
      <c r="B18" s="203" t="str">
        <f ca="1">IF(ROWS($1:7)&gt;COUNT(Dong2),"",OFFSET(TH!D$1,SMALL(Dong2,ROWS($1:7)),))</f>
        <v>GBN</v>
      </c>
      <c r="C18" s="203">
        <f ca="1">IF(ROWS($1:7)&gt;COUNT(Dong2),"",OFFSET(TH!E$1,SMALL(Dong2,ROWS($1:7)),))</f>
        <v>42398</v>
      </c>
      <c r="D18" s="389" t="str">
        <f ca="1">IF(ROWS($1:7)&gt;COUNT(Dong2),"",OFFSET(TH!F$1,SMALL(Dong2,ROWS($1:7)),))</f>
        <v>Q4 - Lãi vay</v>
      </c>
      <c r="E18" s="203" t="str">
        <f ca="1">IF(ROWS($1:7)&gt;COUNT(Dong2),"",IF(OFFSET(TH!O$1,SMALL(Dong2,ROWS($1:7)),)=$I$6,OFFSET(TH!N$1,SMALL(Dong2,ROWS($1:7)),),OFFSET(TH!O$1,SMALL(Dong2,ROWS($1:7)),)))</f>
        <v>635</v>
      </c>
      <c r="F18" s="961">
        <f ca="1">IF(ROWS($1:7)&gt;COUNT(Dong2),"",IF(AND(IF($M$9="Q4",LEFT(OFFSET(TH!G$1,SMALL(Dong2,ROWS($1:7)),),2)=$M$9,LEFT(OFFSET(TH!G$1,SMALL(Dong2,ROWS($1:7)),),3)=$M$9),OFFSET(TH!N$1,SMALL(Dong2,ROWS($1:7)),)=$I$6),IF($I$6="1121",OFFSET(TH!M$1,SMALL(Dong2,ROWS($1:7)),),OFFSET(TH!K$1,SMALL(Dong2,ROWS($1:7)),)),0))</f>
        <v>0</v>
      </c>
      <c r="G18" s="961">
        <f ca="1">IF(ROWS($1:7)&gt;COUNT(Dong2),"",IF(AND(IF($M$9="Q4",RIGHT(OFFSET(TH!G$1,SMALL(Dong2,ROWS($1:7)),),2)=$M$9,RIGHT(OFFSET(TH!G$1,SMALL(Dong2,ROWS($1:7)),),3)=$M$9),OFFSET(TH!O$1,SMALL(Dong2,ROWS($1:7)),)=$I$6),IF($I$6="1121",OFFSET(TH!M$1,SMALL(Dong2,ROWS($1:7)),),OFFSET(TH!K$1,SMALL(Dong2,ROWS($1:7)),)),0))</f>
        <v>81.36</v>
      </c>
      <c r="H18" s="958">
        <f t="shared" ca="1" si="1"/>
        <v>1.9600000000215374</v>
      </c>
      <c r="I18" s="958"/>
      <c r="L18" s="185"/>
    </row>
    <row r="19" spans="1:15" s="192" customFormat="1" ht="20.25" customHeight="1">
      <c r="A19" s="203" t="str">
        <f ca="1">IF(ROWS($1:8)&gt;COUNT(Dong2),"",OFFSET(TH!C$1,SMALL(Dong2,ROWS($1:8)),))</f>
        <v/>
      </c>
      <c r="B19" s="203" t="str">
        <f ca="1">IF(ROWS($1:8)&gt;COUNT(Dong2),"",OFFSET(TH!D$1,SMALL(Dong2,ROWS($1:8)),))</f>
        <v/>
      </c>
      <c r="C19" s="203" t="str">
        <f ca="1">IF(ROWS($1:8)&gt;COUNT(Dong2),"",OFFSET(TH!E$1,SMALL(Dong2,ROWS($1:8)),))</f>
        <v/>
      </c>
      <c r="D19" s="389" t="str">
        <f ca="1">IF(ROWS($1:8)&gt;COUNT(Dong2),"",OFFSET(TH!F$1,SMALL(Dong2,ROWS($1:8)),))</f>
        <v/>
      </c>
      <c r="E19" s="203" t="str">
        <f ca="1">IF(ROWS($1:8)&gt;COUNT(Dong2),"",IF(OFFSET(TH!O$1,SMALL(Dong2,ROWS($1:8)),)=$I$6,OFFSET(TH!N$1,SMALL(Dong2,ROWS($1:8)),),OFFSET(TH!O$1,SMALL(Dong2,ROWS($1:8)),)))</f>
        <v/>
      </c>
      <c r="F19" s="961" t="str">
        <f ca="1">IF(ROWS($1:8)&gt;COUNT(Dong2),"",IF(AND(IF($M$9="Q4",LEFT(OFFSET(TH!G$1,SMALL(Dong2,ROWS($1:8)),),2)=$M$9,LEFT(OFFSET(TH!G$1,SMALL(Dong2,ROWS($1:8)),),3)=$M$9),OFFSET(TH!N$1,SMALL(Dong2,ROWS($1:8)),)=$I$6),IF($I$6="1121",OFFSET(TH!M$1,SMALL(Dong2,ROWS($1:8)),),OFFSET(TH!K$1,SMALL(Dong2,ROWS($1:8)),)),0))</f>
        <v/>
      </c>
      <c r="G19" s="961" t="str">
        <f ca="1">IF(ROWS($1:8)&gt;COUNT(Dong2),"",IF(AND(IF($M$9="Q4",RIGHT(OFFSET(TH!G$1,SMALL(Dong2,ROWS($1:8)),),2)=$M$9,RIGHT(OFFSET(TH!G$1,SMALL(Dong2,ROWS($1:8)),),3)=$M$9),OFFSET(TH!O$1,SMALL(Dong2,ROWS($1:8)),)=$I$6),IF($I$6="1121",OFFSET(TH!M$1,SMALL(Dong2,ROWS($1:8)),),OFFSET(TH!K$1,SMALL(Dong2,ROWS($1:8)),)),0))</f>
        <v/>
      </c>
      <c r="H19" s="958">
        <f t="shared" ca="1" si="1"/>
        <v>0</v>
      </c>
      <c r="I19" s="958"/>
      <c r="L19" s="185"/>
    </row>
    <row r="20" spans="1:15" s="192" customFormat="1" ht="20.25" customHeight="1">
      <c r="A20" s="203" t="str">
        <f ca="1">IF(ROWS($1:9)&gt;COUNT(Dong2),"",OFFSET(TH!C$1,SMALL(Dong2,ROWS($1:9)),))</f>
        <v/>
      </c>
      <c r="B20" s="203" t="str">
        <f ca="1">IF(ROWS($1:9)&gt;COUNT(Dong2),"",OFFSET(TH!D$1,SMALL(Dong2,ROWS($1:9)),))</f>
        <v/>
      </c>
      <c r="C20" s="203" t="str">
        <f ca="1">IF(ROWS($1:9)&gt;COUNT(Dong2),"",OFFSET(TH!E$1,SMALL(Dong2,ROWS($1:9)),))</f>
        <v/>
      </c>
      <c r="D20" s="389" t="str">
        <f ca="1">IF(ROWS($1:9)&gt;COUNT(Dong2),"",OFFSET(TH!F$1,SMALL(Dong2,ROWS($1:9)),))</f>
        <v/>
      </c>
      <c r="E20" s="203" t="str">
        <f ca="1">IF(ROWS($1:9)&gt;COUNT(Dong2),"",IF(OFFSET(TH!O$1,SMALL(Dong2,ROWS($1:9)),)=$I$6,OFFSET(TH!N$1,SMALL(Dong2,ROWS($1:9)),),OFFSET(TH!O$1,SMALL(Dong2,ROWS($1:9)),)))</f>
        <v/>
      </c>
      <c r="F20" s="961" t="str">
        <f ca="1">IF(ROWS($1:9)&gt;COUNT(Dong2),"",IF(AND(IF($M$9="Q4",LEFT(OFFSET(TH!G$1,SMALL(Dong2,ROWS($1:9)),),2)=$M$9,LEFT(OFFSET(TH!G$1,SMALL(Dong2,ROWS($1:9)),),3)=$M$9),OFFSET(TH!N$1,SMALL(Dong2,ROWS($1:9)),)=$I$6),IF($I$6="1121",OFFSET(TH!M$1,SMALL(Dong2,ROWS($1:9)),),OFFSET(TH!K$1,SMALL(Dong2,ROWS($1:9)),)),0))</f>
        <v/>
      </c>
      <c r="G20" s="961" t="str">
        <f ca="1">IF(ROWS($1:9)&gt;COUNT(Dong2),"",IF(AND(IF($M$9="Q4",RIGHT(OFFSET(TH!G$1,SMALL(Dong2,ROWS($1:9)),),2)=$M$9,RIGHT(OFFSET(TH!G$1,SMALL(Dong2,ROWS($1:9)),),3)=$M$9),OFFSET(TH!O$1,SMALL(Dong2,ROWS($1:9)),)=$I$6),IF($I$6="1121",OFFSET(TH!M$1,SMALL(Dong2,ROWS($1:9)),),OFFSET(TH!K$1,SMALL(Dong2,ROWS($1:9)),)),0))</f>
        <v/>
      </c>
      <c r="H20" s="958">
        <f t="shared" ca="1" si="1"/>
        <v>0</v>
      </c>
      <c r="I20" s="958"/>
      <c r="L20" s="185"/>
    </row>
    <row r="21" spans="1:15" s="192" customFormat="1" ht="20.25" customHeight="1">
      <c r="A21" s="203" t="str">
        <f ca="1">IF(ROWS($1:10)&gt;COUNT(Dong2),"",OFFSET(TH!C$1,SMALL(Dong2,ROWS($1:10)),))</f>
        <v/>
      </c>
      <c r="B21" s="203" t="str">
        <f ca="1">IF(ROWS($1:10)&gt;COUNT(Dong2),"",OFFSET(TH!D$1,SMALL(Dong2,ROWS($1:10)),))</f>
        <v/>
      </c>
      <c r="C21" s="203" t="str">
        <f ca="1">IF(ROWS($1:10)&gt;COUNT(Dong2),"",OFFSET(TH!E$1,SMALL(Dong2,ROWS($1:10)),))</f>
        <v/>
      </c>
      <c r="D21" s="389" t="str">
        <f ca="1">IF(ROWS($1:10)&gt;COUNT(Dong2),"",OFFSET(TH!F$1,SMALL(Dong2,ROWS($1:10)),))</f>
        <v/>
      </c>
      <c r="E21" s="203" t="str">
        <f ca="1">IF(ROWS($1:10)&gt;COUNT(Dong2),"",IF(OFFSET(TH!O$1,SMALL(Dong2,ROWS($1:10)),)=$I$6,OFFSET(TH!N$1,SMALL(Dong2,ROWS($1:10)),),OFFSET(TH!O$1,SMALL(Dong2,ROWS($1:10)),)))</f>
        <v/>
      </c>
      <c r="F21" s="961" t="str">
        <f ca="1">IF(ROWS($1:10)&gt;COUNT(Dong2),"",IF(AND(IF($M$9="Q4",LEFT(OFFSET(TH!G$1,SMALL(Dong2,ROWS($1:10)),),2)=$M$9,LEFT(OFFSET(TH!G$1,SMALL(Dong2,ROWS($1:10)),),3)=$M$9),OFFSET(TH!N$1,SMALL(Dong2,ROWS($1:10)),)=$I$6),IF($I$6="1121",OFFSET(TH!M$1,SMALL(Dong2,ROWS($1:10)),),OFFSET(TH!K$1,SMALL(Dong2,ROWS($1:10)),)),0))</f>
        <v/>
      </c>
      <c r="G21" s="961" t="str">
        <f ca="1">IF(ROWS($1:10)&gt;COUNT(Dong2),"",IF(AND(IF($M$9="Q4",RIGHT(OFFSET(TH!G$1,SMALL(Dong2,ROWS($1:10)),),2)=$M$9,RIGHT(OFFSET(TH!G$1,SMALL(Dong2,ROWS($1:10)),),3)=$M$9),OFFSET(TH!O$1,SMALL(Dong2,ROWS($1:10)),)=$I$6),IF($I$6="1121",OFFSET(TH!M$1,SMALL(Dong2,ROWS($1:10)),),OFFSET(TH!K$1,SMALL(Dong2,ROWS($1:10)),)),0))</f>
        <v/>
      </c>
      <c r="H21" s="958">
        <f t="shared" ca="1" si="1"/>
        <v>0</v>
      </c>
      <c r="I21" s="958"/>
      <c r="L21" s="185"/>
    </row>
    <row r="22" spans="1:15" s="192" customFormat="1" ht="20.25" customHeight="1">
      <c r="A22" s="203" t="str">
        <f ca="1">IF(ROWS($1:11)&gt;COUNT(Dong2),"",OFFSET(TH!C$1,SMALL(Dong2,ROWS($1:11)),))</f>
        <v/>
      </c>
      <c r="B22" s="203" t="str">
        <f ca="1">IF(ROWS($1:11)&gt;COUNT(Dong2),"",OFFSET(TH!D$1,SMALL(Dong2,ROWS($1:11)),))</f>
        <v/>
      </c>
      <c r="C22" s="203" t="str">
        <f ca="1">IF(ROWS($1:11)&gt;COUNT(Dong2),"",OFFSET(TH!E$1,SMALL(Dong2,ROWS($1:11)),))</f>
        <v/>
      </c>
      <c r="D22" s="389" t="str">
        <f ca="1">IF(ROWS($1:11)&gt;COUNT(Dong2),"",OFFSET(TH!F$1,SMALL(Dong2,ROWS($1:11)),))</f>
        <v/>
      </c>
      <c r="E22" s="203" t="str">
        <f ca="1">IF(ROWS($1:11)&gt;COUNT(Dong2),"",IF(OFFSET(TH!O$1,SMALL(Dong2,ROWS($1:11)),)=$I$6,OFFSET(TH!N$1,SMALL(Dong2,ROWS($1:11)),),OFFSET(TH!O$1,SMALL(Dong2,ROWS($1:11)),)))</f>
        <v/>
      </c>
      <c r="F22" s="961" t="str">
        <f ca="1">IF(ROWS($1:11)&gt;COUNT(Dong2),"",IF(AND(IF($M$9="Q4",LEFT(OFFSET(TH!G$1,SMALL(Dong2,ROWS($1:11)),),2)=$M$9,LEFT(OFFSET(TH!G$1,SMALL(Dong2,ROWS($1:11)),),3)=$M$9),OFFSET(TH!N$1,SMALL(Dong2,ROWS($1:11)),)=$I$6),IF($I$6="1121",OFFSET(TH!M$1,SMALL(Dong2,ROWS($1:11)),),OFFSET(TH!K$1,SMALL(Dong2,ROWS($1:11)),)),0))</f>
        <v/>
      </c>
      <c r="G22" s="961" t="str">
        <f ca="1">IF(ROWS($1:11)&gt;COUNT(Dong2),"",IF(AND(IF($M$9="Q4",RIGHT(OFFSET(TH!G$1,SMALL(Dong2,ROWS($1:11)),),2)=$M$9,RIGHT(OFFSET(TH!G$1,SMALL(Dong2,ROWS($1:11)),),3)=$M$9),OFFSET(TH!O$1,SMALL(Dong2,ROWS($1:11)),)=$I$6),IF($I$6="1121",OFFSET(TH!M$1,SMALL(Dong2,ROWS($1:11)),),OFFSET(TH!K$1,SMALL(Dong2,ROWS($1:11)),)),0))</f>
        <v/>
      </c>
      <c r="H22" s="958">
        <f t="shared" ca="1" si="1"/>
        <v>0</v>
      </c>
      <c r="I22" s="958"/>
      <c r="L22" s="185"/>
      <c r="O22" s="956"/>
    </row>
    <row r="23" spans="1:15" s="192" customFormat="1" ht="20.25" customHeight="1">
      <c r="A23" s="203" t="str">
        <f ca="1">IF(ROWS($1:12)&gt;COUNT(Dong2),"",OFFSET(TH!C$1,SMALL(Dong2,ROWS($1:12)),))</f>
        <v/>
      </c>
      <c r="B23" s="203" t="str">
        <f ca="1">IF(ROWS($1:12)&gt;COUNT(Dong2),"",OFFSET(TH!D$1,SMALL(Dong2,ROWS($1:12)),))</f>
        <v/>
      </c>
      <c r="C23" s="203" t="str">
        <f ca="1">IF(ROWS($1:12)&gt;COUNT(Dong2),"",OFFSET(TH!E$1,SMALL(Dong2,ROWS($1:12)),))</f>
        <v/>
      </c>
      <c r="D23" s="389" t="str">
        <f ca="1">IF(ROWS($1:12)&gt;COUNT(Dong2),"",OFFSET(TH!F$1,SMALL(Dong2,ROWS($1:12)),))</f>
        <v/>
      </c>
      <c r="E23" s="203" t="str">
        <f ca="1">IF(ROWS($1:12)&gt;COUNT(Dong2),"",IF(OFFSET(TH!O$1,SMALL(Dong2,ROWS($1:12)),)=$I$6,OFFSET(TH!N$1,SMALL(Dong2,ROWS($1:12)),),OFFSET(TH!O$1,SMALL(Dong2,ROWS($1:12)),)))</f>
        <v/>
      </c>
      <c r="F23" s="961" t="str">
        <f ca="1">IF(ROWS($1:12)&gt;COUNT(Dong2),"",IF(AND(IF($M$9="Q4",LEFT(OFFSET(TH!G$1,SMALL(Dong2,ROWS($1:12)),),2)=$M$9,LEFT(OFFSET(TH!G$1,SMALL(Dong2,ROWS($1:12)),),3)=$M$9),OFFSET(TH!N$1,SMALL(Dong2,ROWS($1:12)),)=$I$6),IF($I$6="1121",OFFSET(TH!M$1,SMALL(Dong2,ROWS($1:12)),),OFFSET(TH!K$1,SMALL(Dong2,ROWS($1:12)),)),0))</f>
        <v/>
      </c>
      <c r="G23" s="961" t="str">
        <f ca="1">IF(ROWS($1:12)&gt;COUNT(Dong2),"",IF(AND(IF($M$9="Q4",RIGHT(OFFSET(TH!G$1,SMALL(Dong2,ROWS($1:12)),),2)=$M$9,RIGHT(OFFSET(TH!G$1,SMALL(Dong2,ROWS($1:12)),),3)=$M$9),OFFSET(TH!O$1,SMALL(Dong2,ROWS($1:12)),)=$I$6),IF($I$6="1121",OFFSET(TH!M$1,SMALL(Dong2,ROWS($1:12)),),OFFSET(TH!K$1,SMALL(Dong2,ROWS($1:12)),)),0))</f>
        <v/>
      </c>
      <c r="H23" s="958">
        <f t="shared" ca="1" si="1"/>
        <v>0</v>
      </c>
      <c r="I23" s="958"/>
      <c r="L23" s="185"/>
    </row>
    <row r="24" spans="1:15" s="192" customFormat="1" ht="20.25" customHeight="1">
      <c r="A24" s="203" t="str">
        <f ca="1">IF(ROWS($1:13)&gt;COUNT(Dong2),"",OFFSET(TH!C$1,SMALL(Dong2,ROWS($1:13)),))</f>
        <v/>
      </c>
      <c r="B24" s="203" t="str">
        <f ca="1">IF(ROWS($1:13)&gt;COUNT(Dong2),"",OFFSET(TH!D$1,SMALL(Dong2,ROWS($1:13)),))</f>
        <v/>
      </c>
      <c r="C24" s="203" t="str">
        <f ca="1">IF(ROWS($1:13)&gt;COUNT(Dong2),"",OFFSET(TH!E$1,SMALL(Dong2,ROWS($1:13)),))</f>
        <v/>
      </c>
      <c r="D24" s="389" t="str">
        <f ca="1">IF(ROWS($1:13)&gt;COUNT(Dong2),"",OFFSET(TH!F$1,SMALL(Dong2,ROWS($1:13)),))</f>
        <v/>
      </c>
      <c r="E24" s="203" t="str">
        <f ca="1">IF(ROWS($1:13)&gt;COUNT(Dong2),"",IF(OFFSET(TH!O$1,SMALL(Dong2,ROWS($1:13)),)=$I$6,OFFSET(TH!N$1,SMALL(Dong2,ROWS($1:13)),),OFFSET(TH!O$1,SMALL(Dong2,ROWS($1:13)),)))</f>
        <v/>
      </c>
      <c r="F24" s="961" t="str">
        <f ca="1">IF(ROWS($1:13)&gt;COUNT(Dong2),"",IF(AND(IF($M$9="Q4",LEFT(OFFSET(TH!G$1,SMALL(Dong2,ROWS($1:13)),),2)=$M$9,LEFT(OFFSET(TH!G$1,SMALL(Dong2,ROWS($1:13)),),3)=$M$9),OFFSET(TH!N$1,SMALL(Dong2,ROWS($1:13)),)=$I$6),IF($I$6="1121",OFFSET(TH!M$1,SMALL(Dong2,ROWS($1:13)),),OFFSET(TH!K$1,SMALL(Dong2,ROWS($1:13)),)),0))</f>
        <v/>
      </c>
      <c r="G24" s="961" t="str">
        <f ca="1">IF(ROWS($1:13)&gt;COUNT(Dong2),"",IF(AND(IF($M$9="Q4",RIGHT(OFFSET(TH!G$1,SMALL(Dong2,ROWS($1:13)),),2)=$M$9,RIGHT(OFFSET(TH!G$1,SMALL(Dong2,ROWS($1:13)),),3)=$M$9),OFFSET(TH!O$1,SMALL(Dong2,ROWS($1:13)),)=$I$6),IF($I$6="1121",OFFSET(TH!M$1,SMALL(Dong2,ROWS($1:13)),),OFFSET(TH!K$1,SMALL(Dong2,ROWS($1:13)),)),0))</f>
        <v/>
      </c>
      <c r="H24" s="958">
        <f t="shared" ca="1" si="1"/>
        <v>0</v>
      </c>
      <c r="I24" s="958"/>
      <c r="L24" s="185"/>
      <c r="O24" s="1175"/>
    </row>
    <row r="25" spans="1:15" s="192" customFormat="1" ht="20.25" customHeight="1">
      <c r="A25" s="203" t="str">
        <f ca="1">IF(ROWS($1:14)&gt;COUNT(Dong2),"",OFFSET(TH!C$1,SMALL(Dong2,ROWS($1:14)),))</f>
        <v/>
      </c>
      <c r="B25" s="203" t="str">
        <f ca="1">IF(ROWS($1:14)&gt;COUNT(Dong2),"",OFFSET(TH!D$1,SMALL(Dong2,ROWS($1:14)),))</f>
        <v/>
      </c>
      <c r="C25" s="203" t="str">
        <f ca="1">IF(ROWS($1:14)&gt;COUNT(Dong2),"",OFFSET(TH!E$1,SMALL(Dong2,ROWS($1:14)),))</f>
        <v/>
      </c>
      <c r="D25" s="389" t="str">
        <f ca="1">IF(ROWS($1:14)&gt;COUNT(Dong2),"",OFFSET(TH!F$1,SMALL(Dong2,ROWS($1:14)),))</f>
        <v/>
      </c>
      <c r="E25" s="203" t="str">
        <f ca="1">IF(ROWS($1:14)&gt;COUNT(Dong2),"",IF(OFFSET(TH!O$1,SMALL(Dong2,ROWS($1:14)),)=$I$6,OFFSET(TH!N$1,SMALL(Dong2,ROWS($1:14)),),OFFSET(TH!O$1,SMALL(Dong2,ROWS($1:14)),)))</f>
        <v/>
      </c>
      <c r="F25" s="961" t="str">
        <f ca="1">IF(ROWS($1:14)&gt;COUNT(Dong2),"",IF(AND(IF($M$9="Q4",LEFT(OFFSET(TH!G$1,SMALL(Dong2,ROWS($1:14)),),2)=$M$9,LEFT(OFFSET(TH!G$1,SMALL(Dong2,ROWS($1:14)),),3)=$M$9),OFFSET(TH!N$1,SMALL(Dong2,ROWS($1:14)),)=$I$6),IF($I$6="1121",OFFSET(TH!M$1,SMALL(Dong2,ROWS($1:14)),),OFFSET(TH!K$1,SMALL(Dong2,ROWS($1:14)),)),0))</f>
        <v/>
      </c>
      <c r="G25" s="961" t="str">
        <f ca="1">IF(ROWS($1:14)&gt;COUNT(Dong2),"",IF(AND(IF($M$9="Q4",RIGHT(OFFSET(TH!G$1,SMALL(Dong2,ROWS($1:14)),),2)=$M$9,RIGHT(OFFSET(TH!G$1,SMALL(Dong2,ROWS($1:14)),),3)=$M$9),OFFSET(TH!O$1,SMALL(Dong2,ROWS($1:14)),)=$I$6),IF($I$6="1121",OFFSET(TH!M$1,SMALL(Dong2,ROWS($1:14)),),OFFSET(TH!K$1,SMALL(Dong2,ROWS($1:14)),)),0))</f>
        <v/>
      </c>
      <c r="H25" s="958">
        <f t="shared" ca="1" si="1"/>
        <v>0</v>
      </c>
      <c r="I25" s="958"/>
      <c r="L25" s="185"/>
    </row>
    <row r="26" spans="1:15" s="192" customFormat="1" ht="20.25" customHeight="1">
      <c r="A26" s="203" t="str">
        <f ca="1">IF(ROWS($1:15)&gt;COUNT(Dong2),"",OFFSET(TH!C$1,SMALL(Dong2,ROWS($1:15)),))</f>
        <v/>
      </c>
      <c r="B26" s="203" t="str">
        <f ca="1">IF(ROWS($1:15)&gt;COUNT(Dong2),"",OFFSET(TH!D$1,SMALL(Dong2,ROWS($1:15)),))</f>
        <v/>
      </c>
      <c r="C26" s="203" t="str">
        <f ca="1">IF(ROWS($1:15)&gt;COUNT(Dong2),"",OFFSET(TH!E$1,SMALL(Dong2,ROWS($1:15)),))</f>
        <v/>
      </c>
      <c r="D26" s="389" t="str">
        <f ca="1">IF(ROWS($1:15)&gt;COUNT(Dong2),"",OFFSET(TH!F$1,SMALL(Dong2,ROWS($1:15)),))</f>
        <v/>
      </c>
      <c r="E26" s="203" t="str">
        <f ca="1">IF(ROWS($1:15)&gt;COUNT(Dong2),"",IF(OFFSET(TH!O$1,SMALL(Dong2,ROWS($1:15)),)=$I$6,OFFSET(TH!N$1,SMALL(Dong2,ROWS($1:15)),),OFFSET(TH!O$1,SMALL(Dong2,ROWS($1:15)),)))</f>
        <v/>
      </c>
      <c r="F26" s="961" t="str">
        <f ca="1">IF(ROWS($1:15)&gt;COUNT(Dong2),"",IF(AND(IF($M$9="Q4",LEFT(OFFSET(TH!G$1,SMALL(Dong2,ROWS($1:15)),),2)=$M$9,LEFT(OFFSET(TH!G$1,SMALL(Dong2,ROWS($1:15)),),3)=$M$9),OFFSET(TH!N$1,SMALL(Dong2,ROWS($1:15)),)=$I$6),IF($I$6="1121",OFFSET(TH!M$1,SMALL(Dong2,ROWS($1:15)),),OFFSET(TH!K$1,SMALL(Dong2,ROWS($1:15)),)),0))</f>
        <v/>
      </c>
      <c r="G26" s="961" t="str">
        <f ca="1">IF(ROWS($1:15)&gt;COUNT(Dong2),"",IF(AND(IF($M$9="Q4",RIGHT(OFFSET(TH!G$1,SMALL(Dong2,ROWS($1:15)),),2)=$M$9,RIGHT(OFFSET(TH!G$1,SMALL(Dong2,ROWS($1:15)),),3)=$M$9),OFFSET(TH!O$1,SMALL(Dong2,ROWS($1:15)),)=$I$6),IF($I$6="1121",OFFSET(TH!M$1,SMALL(Dong2,ROWS($1:15)),),OFFSET(TH!K$1,SMALL(Dong2,ROWS($1:15)),)),0))</f>
        <v/>
      </c>
      <c r="H26" s="958">
        <f t="shared" ca="1" si="1"/>
        <v>0</v>
      </c>
      <c r="I26" s="958"/>
      <c r="L26" s="185"/>
    </row>
    <row r="27" spans="1:15" s="192" customFormat="1" ht="20.25" customHeight="1">
      <c r="A27" s="203" t="str">
        <f ca="1">IF(ROWS($1:16)&gt;COUNT(Dong2),"",OFFSET(TH!C$1,SMALL(Dong2,ROWS($1:16)),))</f>
        <v/>
      </c>
      <c r="B27" s="203" t="str">
        <f ca="1">IF(ROWS($1:16)&gt;COUNT(Dong2),"",OFFSET(TH!D$1,SMALL(Dong2,ROWS($1:16)),))</f>
        <v/>
      </c>
      <c r="C27" s="203" t="str">
        <f ca="1">IF(ROWS($1:16)&gt;COUNT(Dong2),"",OFFSET(TH!E$1,SMALL(Dong2,ROWS($1:16)),))</f>
        <v/>
      </c>
      <c r="D27" s="389" t="str">
        <f ca="1">IF(ROWS($1:16)&gt;COUNT(Dong2),"",OFFSET(TH!F$1,SMALL(Dong2,ROWS($1:16)),))</f>
        <v/>
      </c>
      <c r="E27" s="203" t="str">
        <f ca="1">IF(ROWS($1:16)&gt;COUNT(Dong2),"",IF(OFFSET(TH!O$1,SMALL(Dong2,ROWS($1:16)),)=$I$6,OFFSET(TH!N$1,SMALL(Dong2,ROWS($1:16)),),OFFSET(TH!O$1,SMALL(Dong2,ROWS($1:16)),)))</f>
        <v/>
      </c>
      <c r="F27" s="961" t="str">
        <f ca="1">IF(ROWS($1:16)&gt;COUNT(Dong2),"",IF(AND(IF($M$9="Q4",LEFT(OFFSET(TH!G$1,SMALL(Dong2,ROWS($1:16)),),2)=$M$9,LEFT(OFFSET(TH!G$1,SMALL(Dong2,ROWS($1:16)),),3)=$M$9),OFFSET(TH!N$1,SMALL(Dong2,ROWS($1:16)),)=$I$6),IF($I$6="1121",OFFSET(TH!M$1,SMALL(Dong2,ROWS($1:16)),),OFFSET(TH!K$1,SMALL(Dong2,ROWS($1:16)),)),0))</f>
        <v/>
      </c>
      <c r="G27" s="961" t="str">
        <f ca="1">IF(ROWS($1:16)&gt;COUNT(Dong2),"",IF(AND(IF($M$9="Q4",RIGHT(OFFSET(TH!G$1,SMALL(Dong2,ROWS($1:16)),),2)=$M$9,RIGHT(OFFSET(TH!G$1,SMALL(Dong2,ROWS($1:16)),),3)=$M$9),OFFSET(TH!O$1,SMALL(Dong2,ROWS($1:16)),)=$I$6),IF($I$6="1121",OFFSET(TH!M$1,SMALL(Dong2,ROWS($1:16)),),OFFSET(TH!K$1,SMALL(Dong2,ROWS($1:16)),)),0))</f>
        <v/>
      </c>
      <c r="H27" s="958">
        <f t="shared" ca="1" si="1"/>
        <v>0</v>
      </c>
      <c r="I27" s="958"/>
      <c r="L27" s="185"/>
    </row>
    <row r="28" spans="1:15" s="192" customFormat="1" ht="20.25" customHeight="1">
      <c r="A28" s="203" t="str">
        <f ca="1">IF(ROWS($1:17)&gt;COUNT(Dong2),"",OFFSET(TH!C$1,SMALL(Dong2,ROWS($1:17)),))</f>
        <v/>
      </c>
      <c r="B28" s="203" t="str">
        <f ca="1">IF(ROWS($1:17)&gt;COUNT(Dong2),"",OFFSET(TH!D$1,SMALL(Dong2,ROWS($1:17)),))</f>
        <v/>
      </c>
      <c r="C28" s="203" t="str">
        <f ca="1">IF(ROWS($1:17)&gt;COUNT(Dong2),"",OFFSET(TH!E$1,SMALL(Dong2,ROWS($1:17)),))</f>
        <v/>
      </c>
      <c r="D28" s="389" t="str">
        <f ca="1">IF(ROWS($1:17)&gt;COUNT(Dong2),"",OFFSET(TH!F$1,SMALL(Dong2,ROWS($1:17)),))</f>
        <v/>
      </c>
      <c r="E28" s="203" t="str">
        <f ca="1">IF(ROWS($1:17)&gt;COUNT(Dong2),"",IF(OFFSET(TH!O$1,SMALL(Dong2,ROWS($1:17)),)=$I$6,OFFSET(TH!N$1,SMALL(Dong2,ROWS($1:17)),),OFFSET(TH!O$1,SMALL(Dong2,ROWS($1:17)),)))</f>
        <v/>
      </c>
      <c r="F28" s="961" t="str">
        <f ca="1">IF(ROWS($1:17)&gt;COUNT(Dong2),"",IF(AND(IF($M$9="Q4",LEFT(OFFSET(TH!G$1,SMALL(Dong2,ROWS($1:17)),),2)=$M$9,LEFT(OFFSET(TH!G$1,SMALL(Dong2,ROWS($1:17)),),3)=$M$9),OFFSET(TH!N$1,SMALL(Dong2,ROWS($1:17)),)=$I$6),IF($I$6="1121",OFFSET(TH!M$1,SMALL(Dong2,ROWS($1:17)),),OFFSET(TH!K$1,SMALL(Dong2,ROWS($1:17)),)),0))</f>
        <v/>
      </c>
      <c r="G28" s="961" t="str">
        <f ca="1">IF(ROWS($1:17)&gt;COUNT(Dong2),"",IF(AND(IF($M$9="Q4",RIGHT(OFFSET(TH!G$1,SMALL(Dong2,ROWS($1:17)),),2)=$M$9,RIGHT(OFFSET(TH!G$1,SMALL(Dong2,ROWS($1:17)),),3)=$M$9),OFFSET(TH!O$1,SMALL(Dong2,ROWS($1:17)),)=$I$6),IF($I$6="1121",OFFSET(TH!M$1,SMALL(Dong2,ROWS($1:17)),),OFFSET(TH!K$1,SMALL(Dong2,ROWS($1:17)),)),0))</f>
        <v/>
      </c>
      <c r="H28" s="958">
        <f t="shared" ca="1" si="1"/>
        <v>0</v>
      </c>
      <c r="I28" s="958"/>
      <c r="L28" s="185"/>
    </row>
    <row r="29" spans="1:15" s="192" customFormat="1" ht="20.25" customHeight="1">
      <c r="A29" s="203" t="str">
        <f ca="1">IF(ROWS($1:18)&gt;COUNT(Dong2),"",OFFSET(TH!C$1,SMALL(Dong2,ROWS($1:18)),))</f>
        <v/>
      </c>
      <c r="B29" s="203" t="str">
        <f ca="1">IF(ROWS($1:18)&gt;COUNT(Dong2),"",OFFSET(TH!D$1,SMALL(Dong2,ROWS($1:18)),))</f>
        <v/>
      </c>
      <c r="C29" s="203" t="str">
        <f ca="1">IF(ROWS($1:18)&gt;COUNT(Dong2),"",OFFSET(TH!E$1,SMALL(Dong2,ROWS($1:18)),))</f>
        <v/>
      </c>
      <c r="D29" s="389" t="str">
        <f ca="1">IF(ROWS($1:18)&gt;COUNT(Dong2),"",OFFSET(TH!F$1,SMALL(Dong2,ROWS($1:18)),))</f>
        <v/>
      </c>
      <c r="E29" s="203" t="str">
        <f ca="1">IF(ROWS($1:18)&gt;COUNT(Dong2),"",IF(OFFSET(TH!O$1,SMALL(Dong2,ROWS($1:18)),)=$I$6,OFFSET(TH!N$1,SMALL(Dong2,ROWS($1:18)),),OFFSET(TH!O$1,SMALL(Dong2,ROWS($1:18)),)))</f>
        <v/>
      </c>
      <c r="F29" s="961" t="str">
        <f ca="1">IF(ROWS($1:18)&gt;COUNT(Dong2),"",IF(AND(IF($M$9="Q4",LEFT(OFFSET(TH!G$1,SMALL(Dong2,ROWS($1:18)),),2)=$M$9,LEFT(OFFSET(TH!G$1,SMALL(Dong2,ROWS($1:18)),),3)=$M$9),OFFSET(TH!N$1,SMALL(Dong2,ROWS($1:18)),)=$I$6),IF($I$6="1121",OFFSET(TH!M$1,SMALL(Dong2,ROWS($1:18)),),OFFSET(TH!K$1,SMALL(Dong2,ROWS($1:18)),)),0))</f>
        <v/>
      </c>
      <c r="G29" s="961" t="str">
        <f ca="1">IF(ROWS($1:18)&gt;COUNT(Dong2),"",IF(AND(IF($M$9="Q4",RIGHT(OFFSET(TH!G$1,SMALL(Dong2,ROWS($1:18)),),2)=$M$9,RIGHT(OFFSET(TH!G$1,SMALL(Dong2,ROWS($1:18)),),3)=$M$9),OFFSET(TH!O$1,SMALL(Dong2,ROWS($1:18)),)=$I$6),IF($I$6="1121",OFFSET(TH!M$1,SMALL(Dong2,ROWS($1:18)),),OFFSET(TH!K$1,SMALL(Dong2,ROWS($1:18)),)),0))</f>
        <v/>
      </c>
      <c r="H29" s="958">
        <f t="shared" ca="1" si="1"/>
        <v>0</v>
      </c>
      <c r="I29" s="958"/>
      <c r="L29" s="185"/>
    </row>
    <row r="30" spans="1:15" s="192" customFormat="1" ht="20.25" customHeight="1">
      <c r="A30" s="203" t="str">
        <f ca="1">IF(ROWS($1:19)&gt;COUNT(Dong2),"",OFFSET(TH!C$1,SMALL(Dong2,ROWS($1:19)),))</f>
        <v/>
      </c>
      <c r="B30" s="203" t="str">
        <f ca="1">IF(ROWS($1:19)&gt;COUNT(Dong2),"",OFFSET(TH!D$1,SMALL(Dong2,ROWS($1:19)),))</f>
        <v/>
      </c>
      <c r="C30" s="203" t="str">
        <f ca="1">IF(ROWS($1:19)&gt;COUNT(Dong2),"",OFFSET(TH!E$1,SMALL(Dong2,ROWS($1:19)),))</f>
        <v/>
      </c>
      <c r="D30" s="389" t="str">
        <f ca="1">IF(ROWS($1:19)&gt;COUNT(Dong2),"",OFFSET(TH!F$1,SMALL(Dong2,ROWS($1:19)),))</f>
        <v/>
      </c>
      <c r="E30" s="203" t="str">
        <f ca="1">IF(ROWS($1:19)&gt;COUNT(Dong2),"",IF(OFFSET(TH!O$1,SMALL(Dong2,ROWS($1:19)),)=$I$6,OFFSET(TH!N$1,SMALL(Dong2,ROWS($1:19)),),OFFSET(TH!O$1,SMALL(Dong2,ROWS($1:19)),)))</f>
        <v/>
      </c>
      <c r="F30" s="961" t="str">
        <f ca="1">IF(ROWS($1:19)&gt;COUNT(Dong2),"",IF(AND(IF($M$9="Q4",LEFT(OFFSET(TH!G$1,SMALL(Dong2,ROWS($1:19)),),2)=$M$9,LEFT(OFFSET(TH!G$1,SMALL(Dong2,ROWS($1:19)),),3)=$M$9),OFFSET(TH!N$1,SMALL(Dong2,ROWS($1:19)),)=$I$6),IF($I$6="1121",OFFSET(TH!M$1,SMALL(Dong2,ROWS($1:19)),),OFFSET(TH!K$1,SMALL(Dong2,ROWS($1:19)),)),0))</f>
        <v/>
      </c>
      <c r="G30" s="961" t="str">
        <f ca="1">IF(ROWS($1:19)&gt;COUNT(Dong2),"",IF(AND(IF($M$9="Q4",RIGHT(OFFSET(TH!G$1,SMALL(Dong2,ROWS($1:19)),),2)=$M$9,RIGHT(OFFSET(TH!G$1,SMALL(Dong2,ROWS($1:19)),),3)=$M$9),OFFSET(TH!O$1,SMALL(Dong2,ROWS($1:19)),)=$I$6),IF($I$6="1121",OFFSET(TH!M$1,SMALL(Dong2,ROWS($1:19)),),OFFSET(TH!K$1,SMALL(Dong2,ROWS($1:19)),)),0))</f>
        <v/>
      </c>
      <c r="H30" s="958">
        <f t="shared" ca="1" si="1"/>
        <v>0</v>
      </c>
      <c r="I30" s="958"/>
      <c r="L30" s="185"/>
    </row>
    <row r="31" spans="1:15" s="192" customFormat="1" ht="20.25" customHeight="1">
      <c r="A31" s="203" t="str">
        <f ca="1">IF(ROWS($1:20)&gt;COUNT(Dong2),"",OFFSET(TH!C$1,SMALL(Dong2,ROWS($1:20)),))</f>
        <v/>
      </c>
      <c r="B31" s="203" t="str">
        <f ca="1">IF(ROWS($1:20)&gt;COUNT(Dong2),"",OFFSET(TH!D$1,SMALL(Dong2,ROWS($1:20)),))</f>
        <v/>
      </c>
      <c r="C31" s="203" t="str">
        <f ca="1">IF(ROWS($1:20)&gt;COUNT(Dong2),"",OFFSET(TH!E$1,SMALL(Dong2,ROWS($1:20)),))</f>
        <v/>
      </c>
      <c r="D31" s="389" t="str">
        <f ca="1">IF(ROWS($1:20)&gt;COUNT(Dong2),"",OFFSET(TH!F$1,SMALL(Dong2,ROWS($1:20)),))</f>
        <v/>
      </c>
      <c r="E31" s="203" t="str">
        <f ca="1">IF(ROWS($1:20)&gt;COUNT(Dong2),"",IF(OFFSET(TH!O$1,SMALL(Dong2,ROWS($1:20)),)=$I$6,OFFSET(TH!N$1,SMALL(Dong2,ROWS($1:20)),),OFFSET(TH!O$1,SMALL(Dong2,ROWS($1:20)),)))</f>
        <v/>
      </c>
      <c r="F31" s="961" t="str">
        <f ca="1">IF(ROWS($1:20)&gt;COUNT(Dong2),"",IF(AND(IF($M$9="Q4",LEFT(OFFSET(TH!G$1,SMALL(Dong2,ROWS($1:20)),),2)=$M$9,LEFT(OFFSET(TH!G$1,SMALL(Dong2,ROWS($1:20)),),3)=$M$9),OFFSET(TH!N$1,SMALL(Dong2,ROWS($1:20)),)=$I$6),IF($I$6="1121",OFFSET(TH!M$1,SMALL(Dong2,ROWS($1:20)),),OFFSET(TH!K$1,SMALL(Dong2,ROWS($1:20)),)),0))</f>
        <v/>
      </c>
      <c r="G31" s="961" t="str">
        <f ca="1">IF(ROWS($1:20)&gt;COUNT(Dong2),"",IF(AND(IF($M$9="Q4",RIGHT(OFFSET(TH!G$1,SMALL(Dong2,ROWS($1:20)),),2)=$M$9,RIGHT(OFFSET(TH!G$1,SMALL(Dong2,ROWS($1:20)),),3)=$M$9),OFFSET(TH!O$1,SMALL(Dong2,ROWS($1:20)),)=$I$6),IF($I$6="1121",OFFSET(TH!M$1,SMALL(Dong2,ROWS($1:20)),),OFFSET(TH!K$1,SMALL(Dong2,ROWS($1:20)),)),0))</f>
        <v/>
      </c>
      <c r="H31" s="958">
        <f t="shared" ca="1" si="1"/>
        <v>0</v>
      </c>
      <c r="I31" s="958"/>
      <c r="L31" s="185"/>
    </row>
    <row r="32" spans="1:15" s="192" customFormat="1" ht="20.25" customHeight="1">
      <c r="A32" s="203" t="str">
        <f ca="1">IF(ROWS($1:21)&gt;COUNT(Dong2),"",OFFSET(TH!C$1,SMALL(Dong2,ROWS($1:21)),))</f>
        <v/>
      </c>
      <c r="B32" s="203" t="str">
        <f ca="1">IF(ROWS($1:21)&gt;COUNT(Dong2),"",OFFSET(TH!D$1,SMALL(Dong2,ROWS($1:21)),))</f>
        <v/>
      </c>
      <c r="C32" s="203" t="str">
        <f ca="1">IF(ROWS($1:21)&gt;COUNT(Dong2),"",OFFSET(TH!E$1,SMALL(Dong2,ROWS($1:21)),))</f>
        <v/>
      </c>
      <c r="D32" s="389" t="str">
        <f ca="1">IF(ROWS($1:21)&gt;COUNT(Dong2),"",OFFSET(TH!F$1,SMALL(Dong2,ROWS($1:21)),))</f>
        <v/>
      </c>
      <c r="E32" s="203" t="str">
        <f ca="1">IF(ROWS($1:21)&gt;COUNT(Dong2),"",IF(OFFSET(TH!O$1,SMALL(Dong2,ROWS($1:21)),)=$I$6,OFFSET(TH!N$1,SMALL(Dong2,ROWS($1:21)),),OFFSET(TH!O$1,SMALL(Dong2,ROWS($1:21)),)))</f>
        <v/>
      </c>
      <c r="F32" s="961" t="str">
        <f ca="1">IF(ROWS($1:21)&gt;COUNT(Dong2),"",IF(AND(IF($M$9="Q4",LEFT(OFFSET(TH!G$1,SMALL(Dong2,ROWS($1:21)),),2)=$M$9,LEFT(OFFSET(TH!G$1,SMALL(Dong2,ROWS($1:21)),),3)=$M$9),OFFSET(TH!N$1,SMALL(Dong2,ROWS($1:21)),)=$I$6),IF($I$6="1121",OFFSET(TH!M$1,SMALL(Dong2,ROWS($1:21)),),OFFSET(TH!K$1,SMALL(Dong2,ROWS($1:21)),)),0))</f>
        <v/>
      </c>
      <c r="G32" s="961" t="str">
        <f ca="1">IF(ROWS($1:21)&gt;COUNT(Dong2),"",IF(AND(IF($M$9="Q4",RIGHT(OFFSET(TH!G$1,SMALL(Dong2,ROWS($1:21)),),2)=$M$9,RIGHT(OFFSET(TH!G$1,SMALL(Dong2,ROWS($1:21)),),3)=$M$9),OFFSET(TH!O$1,SMALL(Dong2,ROWS($1:21)),)=$I$6),IF($I$6="1121",OFFSET(TH!M$1,SMALL(Dong2,ROWS($1:21)),),OFFSET(TH!K$1,SMALL(Dong2,ROWS($1:21)),)),0))</f>
        <v/>
      </c>
      <c r="H32" s="958">
        <f t="shared" ca="1" si="1"/>
        <v>0</v>
      </c>
      <c r="I32" s="958"/>
      <c r="L32" s="185"/>
    </row>
    <row r="33" spans="1:12" s="192" customFormat="1" ht="20.25" customHeight="1">
      <c r="A33" s="203" t="str">
        <f ca="1">IF(ROWS($1:22)&gt;COUNT(Dong2),"",OFFSET(TH!C$1,SMALL(Dong2,ROWS($1:22)),))</f>
        <v/>
      </c>
      <c r="B33" s="203" t="str">
        <f ca="1">IF(ROWS($1:22)&gt;COUNT(Dong2),"",OFFSET(TH!D$1,SMALL(Dong2,ROWS($1:22)),))</f>
        <v/>
      </c>
      <c r="C33" s="203" t="str">
        <f ca="1">IF(ROWS($1:22)&gt;COUNT(Dong2),"",OFFSET(TH!E$1,SMALL(Dong2,ROWS($1:22)),))</f>
        <v/>
      </c>
      <c r="D33" s="389" t="str">
        <f ca="1">IF(ROWS($1:22)&gt;COUNT(Dong2),"",OFFSET(TH!F$1,SMALL(Dong2,ROWS($1:22)),))</f>
        <v/>
      </c>
      <c r="E33" s="203" t="str">
        <f ca="1">IF(ROWS($1:22)&gt;COUNT(Dong2),"",IF(OFFSET(TH!O$1,SMALL(Dong2,ROWS($1:22)),)=$I$6,OFFSET(TH!N$1,SMALL(Dong2,ROWS($1:22)),),OFFSET(TH!O$1,SMALL(Dong2,ROWS($1:22)),)))</f>
        <v/>
      </c>
      <c r="F33" s="961" t="str">
        <f ca="1">IF(ROWS($1:22)&gt;COUNT(Dong2),"",IF(AND(IF($M$9="Q4",LEFT(OFFSET(TH!G$1,SMALL(Dong2,ROWS($1:22)),),2)=$M$9,LEFT(OFFSET(TH!G$1,SMALL(Dong2,ROWS($1:22)),),3)=$M$9),OFFSET(TH!N$1,SMALL(Dong2,ROWS($1:22)),)=$I$6),IF($I$6="1121",OFFSET(TH!M$1,SMALL(Dong2,ROWS($1:22)),),OFFSET(TH!K$1,SMALL(Dong2,ROWS($1:22)),)),0))</f>
        <v/>
      </c>
      <c r="G33" s="961" t="str">
        <f ca="1">IF(ROWS($1:22)&gt;COUNT(Dong2),"",IF(AND(IF($M$9="Q4",RIGHT(OFFSET(TH!G$1,SMALL(Dong2,ROWS($1:22)),),2)=$M$9,RIGHT(OFFSET(TH!G$1,SMALL(Dong2,ROWS($1:22)),),3)=$M$9),OFFSET(TH!O$1,SMALL(Dong2,ROWS($1:22)),)=$I$6),IF($I$6="1121",OFFSET(TH!M$1,SMALL(Dong2,ROWS($1:22)),),OFFSET(TH!K$1,SMALL(Dong2,ROWS($1:22)),)),0))</f>
        <v/>
      </c>
      <c r="H33" s="958">
        <f t="shared" ca="1" si="1"/>
        <v>0</v>
      </c>
      <c r="I33" s="958"/>
      <c r="L33" s="185"/>
    </row>
    <row r="34" spans="1:12" s="192" customFormat="1" ht="20.25" customHeight="1">
      <c r="A34" s="203" t="str">
        <f ca="1">IF(ROWS($1:23)&gt;COUNT(Dong2),"",OFFSET(TH!C$1,SMALL(Dong2,ROWS($1:23)),))</f>
        <v/>
      </c>
      <c r="B34" s="203" t="str">
        <f ca="1">IF(ROWS($1:23)&gt;COUNT(Dong2),"",OFFSET(TH!D$1,SMALL(Dong2,ROWS($1:23)),))</f>
        <v/>
      </c>
      <c r="C34" s="203" t="str">
        <f ca="1">IF(ROWS($1:23)&gt;COUNT(Dong2),"",OFFSET(TH!E$1,SMALL(Dong2,ROWS($1:23)),))</f>
        <v/>
      </c>
      <c r="D34" s="389" t="str">
        <f ca="1">IF(ROWS($1:23)&gt;COUNT(Dong2),"",OFFSET(TH!F$1,SMALL(Dong2,ROWS($1:23)),))</f>
        <v/>
      </c>
      <c r="E34" s="203" t="str">
        <f ca="1">IF(ROWS($1:23)&gt;COUNT(Dong2),"",IF(OFFSET(TH!O$1,SMALL(Dong2,ROWS($1:23)),)=$I$6,OFFSET(TH!N$1,SMALL(Dong2,ROWS($1:23)),),OFFSET(TH!O$1,SMALL(Dong2,ROWS($1:23)),)))</f>
        <v/>
      </c>
      <c r="F34" s="961" t="str">
        <f ca="1">IF(ROWS($1:23)&gt;COUNT(Dong2),"",IF(AND(IF($M$9="Q4",LEFT(OFFSET(TH!G$1,SMALL(Dong2,ROWS($1:23)),),2)=$M$9,LEFT(OFFSET(TH!G$1,SMALL(Dong2,ROWS($1:23)),),3)=$M$9),OFFSET(TH!N$1,SMALL(Dong2,ROWS($1:23)),)=$I$6),IF($I$6="1121",OFFSET(TH!M$1,SMALL(Dong2,ROWS($1:23)),),OFFSET(TH!K$1,SMALL(Dong2,ROWS($1:23)),)),0))</f>
        <v/>
      </c>
      <c r="G34" s="961" t="str">
        <f ca="1">IF(ROWS($1:23)&gt;COUNT(Dong2),"",IF(AND(IF($M$9="Q4",RIGHT(OFFSET(TH!G$1,SMALL(Dong2,ROWS($1:23)),),2)=$M$9,RIGHT(OFFSET(TH!G$1,SMALL(Dong2,ROWS($1:23)),),3)=$M$9),OFFSET(TH!O$1,SMALL(Dong2,ROWS($1:23)),)=$I$6),IF($I$6="1121",OFFSET(TH!M$1,SMALL(Dong2,ROWS($1:23)),),OFFSET(TH!K$1,SMALL(Dong2,ROWS($1:23)),)),0))</f>
        <v/>
      </c>
      <c r="H34" s="958">
        <f t="shared" ca="1" si="1"/>
        <v>0</v>
      </c>
      <c r="I34" s="958"/>
      <c r="L34" s="185"/>
    </row>
    <row r="35" spans="1:12" s="192" customFormat="1" ht="20.25" customHeight="1">
      <c r="A35" s="203" t="str">
        <f ca="1">IF(ROWS($1:24)&gt;COUNT(Dong2),"",OFFSET(TH!C$1,SMALL(Dong2,ROWS($1:24)),))</f>
        <v/>
      </c>
      <c r="B35" s="203" t="str">
        <f ca="1">IF(ROWS($1:24)&gt;COUNT(Dong2),"",OFFSET(TH!D$1,SMALL(Dong2,ROWS($1:24)),))</f>
        <v/>
      </c>
      <c r="C35" s="203" t="str">
        <f ca="1">IF(ROWS($1:24)&gt;COUNT(Dong2),"",OFFSET(TH!E$1,SMALL(Dong2,ROWS($1:24)),))</f>
        <v/>
      </c>
      <c r="D35" s="389" t="str">
        <f ca="1">IF(ROWS($1:24)&gt;COUNT(Dong2),"",OFFSET(TH!F$1,SMALL(Dong2,ROWS($1:24)),))</f>
        <v/>
      </c>
      <c r="E35" s="203" t="str">
        <f ca="1">IF(ROWS($1:24)&gt;COUNT(Dong2),"",IF(OFFSET(TH!O$1,SMALL(Dong2,ROWS($1:24)),)=$I$6,OFFSET(TH!N$1,SMALL(Dong2,ROWS($1:24)),),OFFSET(TH!O$1,SMALL(Dong2,ROWS($1:24)),)))</f>
        <v/>
      </c>
      <c r="F35" s="961" t="str">
        <f ca="1">IF(ROWS($1:24)&gt;COUNT(Dong2),"",IF(AND(IF($M$9="Q4",LEFT(OFFSET(TH!G$1,SMALL(Dong2,ROWS($1:24)),),2)=$M$9,LEFT(OFFSET(TH!G$1,SMALL(Dong2,ROWS($1:24)),),3)=$M$9),OFFSET(TH!N$1,SMALL(Dong2,ROWS($1:24)),)=$I$6),IF($I$6="1121",OFFSET(TH!M$1,SMALL(Dong2,ROWS($1:24)),),OFFSET(TH!K$1,SMALL(Dong2,ROWS($1:24)),)),0))</f>
        <v/>
      </c>
      <c r="G35" s="961" t="str">
        <f ca="1">IF(ROWS($1:24)&gt;COUNT(Dong2),"",IF(AND(IF($M$9="Q4",RIGHT(OFFSET(TH!G$1,SMALL(Dong2,ROWS($1:24)),),2)=$M$9,RIGHT(OFFSET(TH!G$1,SMALL(Dong2,ROWS($1:24)),),3)=$M$9),OFFSET(TH!O$1,SMALL(Dong2,ROWS($1:24)),)=$I$6),IF($I$6="1121",OFFSET(TH!M$1,SMALL(Dong2,ROWS($1:24)),),OFFSET(TH!K$1,SMALL(Dong2,ROWS($1:24)),)),0))</f>
        <v/>
      </c>
      <c r="H35" s="958">
        <f t="shared" ca="1" si="1"/>
        <v>0</v>
      </c>
      <c r="I35" s="958"/>
      <c r="L35" s="185"/>
    </row>
    <row r="36" spans="1:12" s="192" customFormat="1" ht="20.25" customHeight="1">
      <c r="A36" s="203" t="str">
        <f ca="1">IF(ROWS($1:25)&gt;COUNT(Dong2),"",OFFSET(TH!C$1,SMALL(Dong2,ROWS($1:25)),))</f>
        <v/>
      </c>
      <c r="B36" s="203" t="str">
        <f ca="1">IF(ROWS($1:25)&gt;COUNT(Dong2),"",OFFSET(TH!D$1,SMALL(Dong2,ROWS($1:25)),))</f>
        <v/>
      </c>
      <c r="C36" s="203" t="str">
        <f ca="1">IF(ROWS($1:25)&gt;COUNT(Dong2),"",OFFSET(TH!E$1,SMALL(Dong2,ROWS($1:25)),))</f>
        <v/>
      </c>
      <c r="D36" s="389" t="str">
        <f ca="1">IF(ROWS($1:25)&gt;COUNT(Dong2),"",OFFSET(TH!F$1,SMALL(Dong2,ROWS($1:25)),))</f>
        <v/>
      </c>
      <c r="E36" s="203" t="str">
        <f ca="1">IF(ROWS($1:25)&gt;COUNT(Dong2),"",IF(OFFSET(TH!O$1,SMALL(Dong2,ROWS($1:25)),)=$I$6,OFFSET(TH!N$1,SMALL(Dong2,ROWS($1:25)),),OFFSET(TH!O$1,SMALL(Dong2,ROWS($1:25)),)))</f>
        <v/>
      </c>
      <c r="F36" s="961" t="str">
        <f ca="1">IF(ROWS($1:25)&gt;COUNT(Dong2),"",IF(AND(IF($M$9="Q4",LEFT(OFFSET(TH!G$1,SMALL(Dong2,ROWS($1:25)),),2)=$M$9,LEFT(OFFSET(TH!G$1,SMALL(Dong2,ROWS($1:25)),),3)=$M$9),OFFSET(TH!N$1,SMALL(Dong2,ROWS($1:25)),)=$I$6),IF($I$6="1121",OFFSET(TH!M$1,SMALL(Dong2,ROWS($1:25)),),OFFSET(TH!K$1,SMALL(Dong2,ROWS($1:25)),)),0))</f>
        <v/>
      </c>
      <c r="G36" s="961" t="str">
        <f ca="1">IF(ROWS($1:25)&gt;COUNT(Dong2),"",IF(AND(IF($M$9="Q4",RIGHT(OFFSET(TH!G$1,SMALL(Dong2,ROWS($1:25)),),2)=$M$9,RIGHT(OFFSET(TH!G$1,SMALL(Dong2,ROWS($1:25)),),3)=$M$9),OFFSET(TH!O$1,SMALL(Dong2,ROWS($1:25)),)=$I$6),IF($I$6="1121",OFFSET(TH!M$1,SMALL(Dong2,ROWS($1:25)),),OFFSET(TH!K$1,SMALL(Dong2,ROWS($1:25)),)),0))</f>
        <v/>
      </c>
      <c r="H36" s="958">
        <f t="shared" ca="1" si="1"/>
        <v>0</v>
      </c>
      <c r="I36" s="958"/>
      <c r="L36" s="185"/>
    </row>
    <row r="37" spans="1:12" s="192" customFormat="1" ht="20.25" customHeight="1">
      <c r="A37" s="203" t="str">
        <f ca="1">IF(ROWS($1:26)&gt;COUNT(Dong2),"",OFFSET(TH!C$1,SMALL(Dong2,ROWS($1:26)),))</f>
        <v/>
      </c>
      <c r="B37" s="203" t="str">
        <f ca="1">IF(ROWS($1:26)&gt;COUNT(Dong2),"",OFFSET(TH!D$1,SMALL(Dong2,ROWS($1:26)),))</f>
        <v/>
      </c>
      <c r="C37" s="203" t="str">
        <f ca="1">IF(ROWS($1:26)&gt;COUNT(Dong2),"",OFFSET(TH!E$1,SMALL(Dong2,ROWS($1:26)),))</f>
        <v/>
      </c>
      <c r="D37" s="389" t="str">
        <f ca="1">IF(ROWS($1:26)&gt;COUNT(Dong2),"",OFFSET(TH!F$1,SMALL(Dong2,ROWS($1:26)),))</f>
        <v/>
      </c>
      <c r="E37" s="203" t="str">
        <f ca="1">IF(ROWS($1:26)&gt;COUNT(Dong2),"",IF(OFFSET(TH!O$1,SMALL(Dong2,ROWS($1:26)),)=$I$6,OFFSET(TH!N$1,SMALL(Dong2,ROWS($1:26)),),OFFSET(TH!O$1,SMALL(Dong2,ROWS($1:26)),)))</f>
        <v/>
      </c>
      <c r="F37" s="961" t="str">
        <f ca="1">IF(ROWS($1:26)&gt;COUNT(Dong2),"",IF(AND(IF($M$9="Q4",LEFT(OFFSET(TH!G$1,SMALL(Dong2,ROWS($1:26)),),2)=$M$9,LEFT(OFFSET(TH!G$1,SMALL(Dong2,ROWS($1:26)),),3)=$M$9),OFFSET(TH!N$1,SMALL(Dong2,ROWS($1:26)),)=$I$6),IF($I$6="1121",OFFSET(TH!M$1,SMALL(Dong2,ROWS($1:26)),),OFFSET(TH!K$1,SMALL(Dong2,ROWS($1:26)),)),0))</f>
        <v/>
      </c>
      <c r="G37" s="961" t="str">
        <f ca="1">IF(ROWS($1:26)&gt;COUNT(Dong2),"",IF(AND(IF($M$9="Q4",RIGHT(OFFSET(TH!G$1,SMALL(Dong2,ROWS($1:26)),),2)=$M$9,RIGHT(OFFSET(TH!G$1,SMALL(Dong2,ROWS($1:26)),),3)=$M$9),OFFSET(TH!O$1,SMALL(Dong2,ROWS($1:26)),)=$I$6),IF($I$6="1121",OFFSET(TH!M$1,SMALL(Dong2,ROWS($1:26)),),OFFSET(TH!K$1,SMALL(Dong2,ROWS($1:26)),)),0))</f>
        <v/>
      </c>
      <c r="H37" s="958">
        <f t="shared" ca="1" si="1"/>
        <v>0</v>
      </c>
      <c r="I37" s="958"/>
      <c r="L37" s="185"/>
    </row>
    <row r="38" spans="1:12" s="192" customFormat="1" ht="20.25" customHeight="1">
      <c r="A38" s="203" t="str">
        <f ca="1">IF(ROWS($1:27)&gt;COUNT(Dong2),"",OFFSET(TH!C$1,SMALL(Dong2,ROWS($1:27)),))</f>
        <v/>
      </c>
      <c r="B38" s="203" t="str">
        <f ca="1">IF(ROWS($1:27)&gt;COUNT(Dong2),"",OFFSET(TH!D$1,SMALL(Dong2,ROWS($1:27)),))</f>
        <v/>
      </c>
      <c r="C38" s="203" t="str">
        <f ca="1">IF(ROWS($1:27)&gt;COUNT(Dong2),"",OFFSET(TH!E$1,SMALL(Dong2,ROWS($1:27)),))</f>
        <v/>
      </c>
      <c r="D38" s="389" t="str">
        <f ca="1">IF(ROWS($1:27)&gt;COUNT(Dong2),"",OFFSET(TH!F$1,SMALL(Dong2,ROWS($1:27)),))</f>
        <v/>
      </c>
      <c r="E38" s="203" t="str">
        <f ca="1">IF(ROWS($1:27)&gt;COUNT(Dong2),"",IF(OFFSET(TH!O$1,SMALL(Dong2,ROWS($1:27)),)=$I$6,OFFSET(TH!N$1,SMALL(Dong2,ROWS($1:27)),),OFFSET(TH!O$1,SMALL(Dong2,ROWS($1:27)),)))</f>
        <v/>
      </c>
      <c r="F38" s="961" t="str">
        <f ca="1">IF(ROWS($1:27)&gt;COUNT(Dong2),"",IF(AND(IF($M$9="Q4",LEFT(OFFSET(TH!G$1,SMALL(Dong2,ROWS($1:27)),),2)=$M$9,LEFT(OFFSET(TH!G$1,SMALL(Dong2,ROWS($1:27)),),3)=$M$9),OFFSET(TH!N$1,SMALL(Dong2,ROWS($1:27)),)=$I$6),IF($I$6="1121",OFFSET(TH!M$1,SMALL(Dong2,ROWS($1:27)),),OFFSET(TH!K$1,SMALL(Dong2,ROWS($1:27)),)),0))</f>
        <v/>
      </c>
      <c r="G38" s="961" t="str">
        <f ca="1">IF(ROWS($1:27)&gt;COUNT(Dong2),"",IF(AND(IF($M$9="Q4",RIGHT(OFFSET(TH!G$1,SMALL(Dong2,ROWS($1:27)),),2)=$M$9,RIGHT(OFFSET(TH!G$1,SMALL(Dong2,ROWS($1:27)),),3)=$M$9),OFFSET(TH!O$1,SMALL(Dong2,ROWS($1:27)),)=$I$6),IF($I$6="1121",OFFSET(TH!M$1,SMALL(Dong2,ROWS($1:27)),),OFFSET(TH!K$1,SMALL(Dong2,ROWS($1:27)),)),0))</f>
        <v/>
      </c>
      <c r="H38" s="958">
        <f t="shared" ca="1" si="1"/>
        <v>0</v>
      </c>
      <c r="I38" s="958"/>
      <c r="L38" s="185"/>
    </row>
    <row r="39" spans="1:12" s="192" customFormat="1" ht="20.25" customHeight="1">
      <c r="A39" s="203" t="str">
        <f ca="1">IF(ROWS($1:28)&gt;COUNT(Dong2),"",OFFSET(TH!C$1,SMALL(Dong2,ROWS($1:28)),))</f>
        <v/>
      </c>
      <c r="B39" s="203" t="str">
        <f ca="1">IF(ROWS($1:28)&gt;COUNT(Dong2),"",OFFSET(TH!D$1,SMALL(Dong2,ROWS($1:28)),))</f>
        <v/>
      </c>
      <c r="C39" s="203" t="str">
        <f ca="1">IF(ROWS($1:28)&gt;COUNT(Dong2),"",OFFSET(TH!E$1,SMALL(Dong2,ROWS($1:28)),))</f>
        <v/>
      </c>
      <c r="D39" s="389" t="str">
        <f ca="1">IF(ROWS($1:28)&gt;COUNT(Dong2),"",OFFSET(TH!F$1,SMALL(Dong2,ROWS($1:28)),))</f>
        <v/>
      </c>
      <c r="E39" s="203" t="str">
        <f ca="1">IF(ROWS($1:28)&gt;COUNT(Dong2),"",IF(OFFSET(TH!O$1,SMALL(Dong2,ROWS($1:28)),)=$I$6,OFFSET(TH!N$1,SMALL(Dong2,ROWS($1:28)),),OFFSET(TH!O$1,SMALL(Dong2,ROWS($1:28)),)))</f>
        <v/>
      </c>
      <c r="F39" s="961" t="str">
        <f ca="1">IF(ROWS($1:28)&gt;COUNT(Dong2),"",IF(AND(IF($M$9="Q4",LEFT(OFFSET(TH!G$1,SMALL(Dong2,ROWS($1:28)),),2)=$M$9,LEFT(OFFSET(TH!G$1,SMALL(Dong2,ROWS($1:28)),),3)=$M$9),OFFSET(TH!N$1,SMALL(Dong2,ROWS($1:28)),)=$I$6),IF($I$6="1121",OFFSET(TH!M$1,SMALL(Dong2,ROWS($1:28)),),OFFSET(TH!K$1,SMALL(Dong2,ROWS($1:28)),)),0))</f>
        <v/>
      </c>
      <c r="G39" s="961" t="str">
        <f ca="1">IF(ROWS($1:28)&gt;COUNT(Dong2),"",IF(AND(IF($M$9="Q4",RIGHT(OFFSET(TH!G$1,SMALL(Dong2,ROWS($1:28)),),2)=$M$9,RIGHT(OFFSET(TH!G$1,SMALL(Dong2,ROWS($1:28)),),3)=$M$9),OFFSET(TH!O$1,SMALL(Dong2,ROWS($1:28)),)=$I$6),IF($I$6="1121",OFFSET(TH!M$1,SMALL(Dong2,ROWS($1:28)),),OFFSET(TH!K$1,SMALL(Dong2,ROWS($1:28)),)),0))</f>
        <v/>
      </c>
      <c r="H39" s="958">
        <f t="shared" ca="1" si="1"/>
        <v>0</v>
      </c>
      <c r="I39" s="958"/>
      <c r="L39" s="185"/>
    </row>
    <row r="40" spans="1:12" s="192" customFormat="1" ht="20.25" customHeight="1">
      <c r="A40" s="203" t="str">
        <f ca="1">IF(ROWS($1:29)&gt;COUNT(Dong2),"",OFFSET(TH!C$1,SMALL(Dong2,ROWS($1:29)),))</f>
        <v/>
      </c>
      <c r="B40" s="203" t="str">
        <f ca="1">IF(ROWS($1:29)&gt;COUNT(Dong2),"",OFFSET(TH!D$1,SMALL(Dong2,ROWS($1:29)),))</f>
        <v/>
      </c>
      <c r="C40" s="203" t="str">
        <f ca="1">IF(ROWS($1:29)&gt;COUNT(Dong2),"",OFFSET(TH!E$1,SMALL(Dong2,ROWS($1:29)),))</f>
        <v/>
      </c>
      <c r="D40" s="389" t="str">
        <f ca="1">IF(ROWS($1:29)&gt;COUNT(Dong2),"",OFFSET(TH!F$1,SMALL(Dong2,ROWS($1:29)),))</f>
        <v/>
      </c>
      <c r="E40" s="203" t="str">
        <f ca="1">IF(ROWS($1:29)&gt;COUNT(Dong2),"",IF(OFFSET(TH!O$1,SMALL(Dong2,ROWS($1:29)),)=$I$6,OFFSET(TH!N$1,SMALL(Dong2,ROWS($1:29)),),OFFSET(TH!O$1,SMALL(Dong2,ROWS($1:29)),)))</f>
        <v/>
      </c>
      <c r="F40" s="961" t="str">
        <f ca="1">IF(ROWS($1:29)&gt;COUNT(Dong2),"",IF(AND(IF($M$9="Q4",LEFT(OFFSET(TH!G$1,SMALL(Dong2,ROWS($1:29)),),2)=$M$9,LEFT(OFFSET(TH!G$1,SMALL(Dong2,ROWS($1:29)),),3)=$M$9),OFFSET(TH!N$1,SMALL(Dong2,ROWS($1:29)),)=$I$6),IF($I$6="1121",OFFSET(TH!M$1,SMALL(Dong2,ROWS($1:29)),),OFFSET(TH!K$1,SMALL(Dong2,ROWS($1:29)),)),0))</f>
        <v/>
      </c>
      <c r="G40" s="961" t="str">
        <f ca="1">IF(ROWS($1:29)&gt;COUNT(Dong2),"",IF(AND(IF($M$9="Q4",RIGHT(OFFSET(TH!G$1,SMALL(Dong2,ROWS($1:29)),),2)=$M$9,RIGHT(OFFSET(TH!G$1,SMALL(Dong2,ROWS($1:29)),),3)=$M$9),OFFSET(TH!O$1,SMALL(Dong2,ROWS($1:29)),)=$I$6),IF($I$6="1121",OFFSET(TH!M$1,SMALL(Dong2,ROWS($1:29)),),OFFSET(TH!K$1,SMALL(Dong2,ROWS($1:29)),)),0))</f>
        <v/>
      </c>
      <c r="H40" s="958">
        <f t="shared" ca="1" si="1"/>
        <v>0</v>
      </c>
      <c r="I40" s="958"/>
    </row>
    <row r="41" spans="1:12" s="192" customFormat="1" ht="20.25" customHeight="1">
      <c r="A41" s="203" t="str">
        <f ca="1">IF(ROWS($1:30)&gt;COUNT(Dong2),"",OFFSET(TH!C$1,SMALL(Dong2,ROWS($1:30)),))</f>
        <v/>
      </c>
      <c r="B41" s="203" t="str">
        <f ca="1">IF(ROWS($1:30)&gt;COUNT(Dong2),"",OFFSET(TH!D$1,SMALL(Dong2,ROWS($1:30)),))</f>
        <v/>
      </c>
      <c r="C41" s="203" t="str">
        <f ca="1">IF(ROWS($1:30)&gt;COUNT(Dong2),"",OFFSET(TH!E$1,SMALL(Dong2,ROWS($1:30)),))</f>
        <v/>
      </c>
      <c r="D41" s="389" t="str">
        <f ca="1">IF(ROWS($1:30)&gt;COUNT(Dong2),"",OFFSET(TH!F$1,SMALL(Dong2,ROWS($1:30)),))</f>
        <v/>
      </c>
      <c r="E41" s="203" t="str">
        <f ca="1">IF(ROWS($1:30)&gt;COUNT(Dong2),"",IF(OFFSET(TH!O$1,SMALL(Dong2,ROWS($1:30)),)=$I$6,OFFSET(TH!N$1,SMALL(Dong2,ROWS($1:30)),),OFFSET(TH!O$1,SMALL(Dong2,ROWS($1:30)),)))</f>
        <v/>
      </c>
      <c r="F41" s="961" t="str">
        <f ca="1">IF(ROWS($1:30)&gt;COUNT(Dong2),"",IF(AND(IF($M$9="Q4",LEFT(OFFSET(TH!G$1,SMALL(Dong2,ROWS($1:30)),),2)=$M$9,LEFT(OFFSET(TH!G$1,SMALL(Dong2,ROWS($1:30)),),3)=$M$9),OFFSET(TH!N$1,SMALL(Dong2,ROWS($1:30)),)=$I$6),IF($I$6="1121",OFFSET(TH!M$1,SMALL(Dong2,ROWS($1:30)),),OFFSET(TH!K$1,SMALL(Dong2,ROWS($1:30)),)),0))</f>
        <v/>
      </c>
      <c r="G41" s="961" t="str">
        <f ca="1">IF(ROWS($1:30)&gt;COUNT(Dong2),"",IF(AND(IF($M$9="Q4",RIGHT(OFFSET(TH!G$1,SMALL(Dong2,ROWS($1:30)),),2)=$M$9,RIGHT(OFFSET(TH!G$1,SMALL(Dong2,ROWS($1:30)),),3)=$M$9),OFFSET(TH!O$1,SMALL(Dong2,ROWS($1:30)),)=$I$6),IF($I$6="1121",OFFSET(TH!M$1,SMALL(Dong2,ROWS($1:30)),),OFFSET(TH!K$1,SMALL(Dong2,ROWS($1:30)),)),0))</f>
        <v/>
      </c>
      <c r="H41" s="958">
        <f t="shared" ca="1" si="1"/>
        <v>0</v>
      </c>
      <c r="I41" s="958"/>
    </row>
    <row r="42" spans="1:12" s="192" customFormat="1" ht="20.25" customHeight="1">
      <c r="A42" s="203" t="str">
        <f ca="1">IF(ROWS($1:31)&gt;COUNT(Dong2),"",OFFSET(TH!C$1,SMALL(Dong2,ROWS($1:31)),))</f>
        <v/>
      </c>
      <c r="B42" s="203" t="str">
        <f ca="1">IF(ROWS($1:31)&gt;COUNT(Dong2),"",OFFSET(TH!D$1,SMALL(Dong2,ROWS($1:31)),))</f>
        <v/>
      </c>
      <c r="C42" s="203" t="str">
        <f ca="1">IF(ROWS($1:31)&gt;COUNT(Dong2),"",OFFSET(TH!E$1,SMALL(Dong2,ROWS($1:31)),))</f>
        <v/>
      </c>
      <c r="D42" s="389" t="str">
        <f ca="1">IF(ROWS($1:31)&gt;COUNT(Dong2),"",OFFSET(TH!F$1,SMALL(Dong2,ROWS($1:31)),))</f>
        <v/>
      </c>
      <c r="E42" s="203" t="str">
        <f ca="1">IF(ROWS($1:31)&gt;COUNT(Dong2),"",IF(OFFSET(TH!O$1,SMALL(Dong2,ROWS($1:31)),)=$I$6,OFFSET(TH!N$1,SMALL(Dong2,ROWS($1:31)),),OFFSET(TH!O$1,SMALL(Dong2,ROWS($1:31)),)))</f>
        <v/>
      </c>
      <c r="F42" s="961" t="str">
        <f ca="1">IF(ROWS($1:31)&gt;COUNT(Dong2),"",IF(AND(IF($M$9="Q4",LEFT(OFFSET(TH!G$1,SMALL(Dong2,ROWS($1:31)),),2)=$M$9,LEFT(OFFSET(TH!G$1,SMALL(Dong2,ROWS($1:31)),),3)=$M$9),OFFSET(TH!N$1,SMALL(Dong2,ROWS($1:31)),)=$I$6),IF($I$6="1121",OFFSET(TH!M$1,SMALL(Dong2,ROWS($1:31)),),OFFSET(TH!K$1,SMALL(Dong2,ROWS($1:31)),)),0))</f>
        <v/>
      </c>
      <c r="G42" s="961" t="str">
        <f ca="1">IF(ROWS($1:31)&gt;COUNT(Dong2),"",IF(AND(IF($M$9="Q4",RIGHT(OFFSET(TH!G$1,SMALL(Dong2,ROWS($1:31)),),2)=$M$9,RIGHT(OFFSET(TH!G$1,SMALL(Dong2,ROWS($1:31)),),3)=$M$9),OFFSET(TH!O$1,SMALL(Dong2,ROWS($1:31)),)=$I$6),IF($I$6="1121",OFFSET(TH!M$1,SMALL(Dong2,ROWS($1:31)),),OFFSET(TH!K$1,SMALL(Dong2,ROWS($1:31)),)),0))</f>
        <v/>
      </c>
      <c r="H42" s="958">
        <f t="shared" ca="1" si="1"/>
        <v>0</v>
      </c>
      <c r="I42" s="958"/>
    </row>
    <row r="43" spans="1:12" s="192" customFormat="1" ht="20.25" customHeight="1">
      <c r="A43" s="203" t="str">
        <f ca="1">IF(ROWS($1:32)&gt;COUNT(Dong2),"",OFFSET(TH!C$1,SMALL(Dong2,ROWS($1:32)),))</f>
        <v/>
      </c>
      <c r="B43" s="203" t="str">
        <f ca="1">IF(ROWS($1:32)&gt;COUNT(Dong2),"",OFFSET(TH!D$1,SMALL(Dong2,ROWS($1:32)),))</f>
        <v/>
      </c>
      <c r="C43" s="203" t="str">
        <f ca="1">IF(ROWS($1:32)&gt;COUNT(Dong2),"",OFFSET(TH!E$1,SMALL(Dong2,ROWS($1:32)),))</f>
        <v/>
      </c>
      <c r="D43" s="389" t="str">
        <f ca="1">IF(ROWS($1:32)&gt;COUNT(Dong2),"",OFFSET(TH!F$1,SMALL(Dong2,ROWS($1:32)),))</f>
        <v/>
      </c>
      <c r="E43" s="203" t="str">
        <f ca="1">IF(ROWS($1:32)&gt;COUNT(Dong2),"",IF(OFFSET(TH!O$1,SMALL(Dong2,ROWS($1:32)),)=$I$6,OFFSET(TH!N$1,SMALL(Dong2,ROWS($1:32)),),OFFSET(TH!O$1,SMALL(Dong2,ROWS($1:32)),)))</f>
        <v/>
      </c>
      <c r="F43" s="961" t="str">
        <f ca="1">IF(ROWS($1:32)&gt;COUNT(Dong2),"",IF(AND(IF($M$9="Q4",LEFT(OFFSET(TH!G$1,SMALL(Dong2,ROWS($1:32)),),2)=$M$9,LEFT(OFFSET(TH!G$1,SMALL(Dong2,ROWS($1:32)),),3)=$M$9),OFFSET(TH!N$1,SMALL(Dong2,ROWS($1:32)),)=$I$6),IF($I$6="1121",OFFSET(TH!M$1,SMALL(Dong2,ROWS($1:32)),),OFFSET(TH!K$1,SMALL(Dong2,ROWS($1:32)),)),0))</f>
        <v/>
      </c>
      <c r="G43" s="961" t="str">
        <f ca="1">IF(ROWS($1:32)&gt;COUNT(Dong2),"",IF(AND(IF($M$9="Q4",RIGHT(OFFSET(TH!G$1,SMALL(Dong2,ROWS($1:32)),),2)=$M$9,RIGHT(OFFSET(TH!G$1,SMALL(Dong2,ROWS($1:32)),),3)=$M$9),OFFSET(TH!O$1,SMALL(Dong2,ROWS($1:32)),)=$I$6),IF($I$6="1121",OFFSET(TH!M$1,SMALL(Dong2,ROWS($1:32)),),OFFSET(TH!K$1,SMALL(Dong2,ROWS($1:32)),)),0))</f>
        <v/>
      </c>
      <c r="H43" s="958">
        <f t="shared" ca="1" si="1"/>
        <v>0</v>
      </c>
      <c r="I43" s="958"/>
    </row>
    <row r="44" spans="1:12" s="192" customFormat="1" ht="20.25" customHeight="1">
      <c r="A44" s="203" t="str">
        <f ca="1">IF(ROWS($1:33)&gt;COUNT(Dong2),"",OFFSET(TH!C$1,SMALL(Dong2,ROWS($1:33)),))</f>
        <v/>
      </c>
      <c r="B44" s="203" t="str">
        <f ca="1">IF(ROWS($1:33)&gt;COUNT(Dong2),"",OFFSET(TH!D$1,SMALL(Dong2,ROWS($1:33)),))</f>
        <v/>
      </c>
      <c r="C44" s="203" t="str">
        <f ca="1">IF(ROWS($1:33)&gt;COUNT(Dong2),"",OFFSET(TH!E$1,SMALL(Dong2,ROWS($1:33)),))</f>
        <v/>
      </c>
      <c r="D44" s="389" t="str">
        <f ca="1">IF(ROWS($1:33)&gt;COUNT(Dong2),"",OFFSET(TH!F$1,SMALL(Dong2,ROWS($1:33)),))</f>
        <v/>
      </c>
      <c r="E44" s="203" t="str">
        <f ca="1">IF(ROWS($1:33)&gt;COUNT(Dong2),"",IF(OFFSET(TH!O$1,SMALL(Dong2,ROWS($1:33)),)=$I$6,OFFSET(TH!N$1,SMALL(Dong2,ROWS($1:33)),),OFFSET(TH!O$1,SMALL(Dong2,ROWS($1:33)),)))</f>
        <v/>
      </c>
      <c r="F44" s="961" t="str">
        <f ca="1">IF(ROWS($1:33)&gt;COUNT(Dong2),"",IF(AND(IF($M$9="Q4",LEFT(OFFSET(TH!G$1,SMALL(Dong2,ROWS($1:33)),),2)=$M$9,LEFT(OFFSET(TH!G$1,SMALL(Dong2,ROWS($1:33)),),3)=$M$9),OFFSET(TH!N$1,SMALL(Dong2,ROWS($1:33)),)=$I$6),IF($I$6="1121",OFFSET(TH!M$1,SMALL(Dong2,ROWS($1:33)),),OFFSET(TH!K$1,SMALL(Dong2,ROWS($1:33)),)),0))</f>
        <v/>
      </c>
      <c r="G44" s="961" t="str">
        <f ca="1">IF(ROWS($1:33)&gt;COUNT(Dong2),"",IF(AND(IF($M$9="Q4",RIGHT(OFFSET(TH!G$1,SMALL(Dong2,ROWS($1:33)),),2)=$M$9,RIGHT(OFFSET(TH!G$1,SMALL(Dong2,ROWS($1:33)),),3)=$M$9),OFFSET(TH!O$1,SMALL(Dong2,ROWS($1:33)),)=$I$6),IF($I$6="1121",OFFSET(TH!M$1,SMALL(Dong2,ROWS($1:33)),),OFFSET(TH!K$1,SMALL(Dong2,ROWS($1:33)),)),0))</f>
        <v/>
      </c>
      <c r="H44" s="958">
        <f t="shared" ca="1" si="1"/>
        <v>0</v>
      </c>
      <c r="I44" s="958"/>
    </row>
    <row r="45" spans="1:12" s="192" customFormat="1" ht="20.25" customHeight="1">
      <c r="A45" s="203" t="str">
        <f ca="1">IF(ROWS($1:34)&gt;COUNT(Dong2),"",OFFSET(TH!C$1,SMALL(Dong2,ROWS($1:34)),))</f>
        <v/>
      </c>
      <c r="B45" s="203" t="str">
        <f ca="1">IF(ROWS($1:34)&gt;COUNT(Dong2),"",OFFSET(TH!D$1,SMALL(Dong2,ROWS($1:34)),))</f>
        <v/>
      </c>
      <c r="C45" s="203" t="str">
        <f ca="1">IF(ROWS($1:34)&gt;COUNT(Dong2),"",OFFSET(TH!E$1,SMALL(Dong2,ROWS($1:34)),))</f>
        <v/>
      </c>
      <c r="D45" s="389" t="str">
        <f ca="1">IF(ROWS($1:34)&gt;COUNT(Dong2),"",OFFSET(TH!F$1,SMALL(Dong2,ROWS($1:34)),))</f>
        <v/>
      </c>
      <c r="E45" s="203" t="str">
        <f ca="1">IF(ROWS($1:34)&gt;COUNT(Dong2),"",IF(OFFSET(TH!O$1,SMALL(Dong2,ROWS($1:34)),)=$I$6,OFFSET(TH!N$1,SMALL(Dong2,ROWS($1:34)),),OFFSET(TH!O$1,SMALL(Dong2,ROWS($1:34)),)))</f>
        <v/>
      </c>
      <c r="F45" s="961" t="str">
        <f ca="1">IF(ROWS($1:34)&gt;COUNT(Dong2),"",IF(AND(IF($M$9="Q4",LEFT(OFFSET(TH!G$1,SMALL(Dong2,ROWS($1:34)),),2)=$M$9,LEFT(OFFSET(TH!G$1,SMALL(Dong2,ROWS($1:34)),),3)=$M$9),OFFSET(TH!N$1,SMALL(Dong2,ROWS($1:34)),)=$I$6),IF($I$6="1121",OFFSET(TH!M$1,SMALL(Dong2,ROWS($1:34)),),OFFSET(TH!K$1,SMALL(Dong2,ROWS($1:34)),)),0))</f>
        <v/>
      </c>
      <c r="G45" s="961" t="str">
        <f ca="1">IF(ROWS($1:34)&gt;COUNT(Dong2),"",IF(AND(IF($M$9="Q4",RIGHT(OFFSET(TH!G$1,SMALL(Dong2,ROWS($1:34)),),2)=$M$9,RIGHT(OFFSET(TH!G$1,SMALL(Dong2,ROWS($1:34)),),3)=$M$9),OFFSET(TH!O$1,SMALL(Dong2,ROWS($1:34)),)=$I$6),IF($I$6="1121",OFFSET(TH!M$1,SMALL(Dong2,ROWS($1:34)),),OFFSET(TH!K$1,SMALL(Dong2,ROWS($1:34)),)),0))</f>
        <v/>
      </c>
      <c r="H45" s="958">
        <f t="shared" ca="1" si="1"/>
        <v>0</v>
      </c>
      <c r="I45" s="958"/>
    </row>
    <row r="46" spans="1:12" s="192" customFormat="1" ht="20.25" customHeight="1">
      <c r="A46" s="203" t="str">
        <f ca="1">IF(ROWS($1:35)&gt;COUNT(Dong2),"",OFFSET(TH!C$1,SMALL(Dong2,ROWS($1:35)),))</f>
        <v/>
      </c>
      <c r="B46" s="203" t="str">
        <f ca="1">IF(ROWS($1:35)&gt;COUNT(Dong2),"",OFFSET(TH!D$1,SMALL(Dong2,ROWS($1:35)),))</f>
        <v/>
      </c>
      <c r="C46" s="203" t="str">
        <f ca="1">IF(ROWS($1:35)&gt;COUNT(Dong2),"",OFFSET(TH!E$1,SMALL(Dong2,ROWS($1:35)),))</f>
        <v/>
      </c>
      <c r="D46" s="389" t="str">
        <f ca="1">IF(ROWS($1:35)&gt;COUNT(Dong2),"",OFFSET(TH!F$1,SMALL(Dong2,ROWS($1:35)),))</f>
        <v/>
      </c>
      <c r="E46" s="203" t="str">
        <f ca="1">IF(ROWS($1:35)&gt;COUNT(Dong2),"",IF(OFFSET(TH!O$1,SMALL(Dong2,ROWS($1:35)),)=$I$6,OFFSET(TH!N$1,SMALL(Dong2,ROWS($1:35)),),OFFSET(TH!O$1,SMALL(Dong2,ROWS($1:35)),)))</f>
        <v/>
      </c>
      <c r="F46" s="961" t="str">
        <f ca="1">IF(ROWS($1:35)&gt;COUNT(Dong2),"",IF(AND(IF($M$9="Q4",LEFT(OFFSET(TH!G$1,SMALL(Dong2,ROWS($1:35)),),2)=$M$9,LEFT(OFFSET(TH!G$1,SMALL(Dong2,ROWS($1:35)),),3)=$M$9),OFFSET(TH!N$1,SMALL(Dong2,ROWS($1:35)),)=$I$6),IF($I$6="1121",OFFSET(TH!M$1,SMALL(Dong2,ROWS($1:35)),),OFFSET(TH!K$1,SMALL(Dong2,ROWS($1:35)),)),0))</f>
        <v/>
      </c>
      <c r="G46" s="961" t="str">
        <f ca="1">IF(ROWS($1:35)&gt;COUNT(Dong2),"",IF(AND(IF($M$9="Q4",RIGHT(OFFSET(TH!G$1,SMALL(Dong2,ROWS($1:35)),),2)=$M$9,RIGHT(OFFSET(TH!G$1,SMALL(Dong2,ROWS($1:35)),),3)=$M$9),OFFSET(TH!O$1,SMALL(Dong2,ROWS($1:35)),)=$I$6),IF($I$6="1121",OFFSET(TH!M$1,SMALL(Dong2,ROWS($1:35)),),OFFSET(TH!K$1,SMALL(Dong2,ROWS($1:35)),)),0))</f>
        <v/>
      </c>
      <c r="H46" s="958">
        <f t="shared" ca="1" si="1"/>
        <v>0</v>
      </c>
      <c r="I46" s="958"/>
    </row>
    <row r="47" spans="1:12" s="192" customFormat="1" ht="20.25" customHeight="1">
      <c r="A47" s="203" t="str">
        <f ca="1">IF(ROWS($1:36)&gt;COUNT(Dong2),"",OFFSET(TH!C$1,SMALL(Dong2,ROWS($1:36)),))</f>
        <v/>
      </c>
      <c r="B47" s="203" t="str">
        <f ca="1">IF(ROWS($1:36)&gt;COUNT(Dong2),"",OFFSET(TH!D$1,SMALL(Dong2,ROWS($1:36)),))</f>
        <v/>
      </c>
      <c r="C47" s="203" t="str">
        <f ca="1">IF(ROWS($1:36)&gt;COUNT(Dong2),"",OFFSET(TH!E$1,SMALL(Dong2,ROWS($1:36)),))</f>
        <v/>
      </c>
      <c r="D47" s="389" t="str">
        <f ca="1">IF(ROWS($1:36)&gt;COUNT(Dong2),"",OFFSET(TH!F$1,SMALL(Dong2,ROWS($1:36)),))</f>
        <v/>
      </c>
      <c r="E47" s="203" t="str">
        <f ca="1">IF(ROWS($1:36)&gt;COUNT(Dong2),"",IF(OFFSET(TH!O$1,SMALL(Dong2,ROWS($1:36)),)=$I$6,OFFSET(TH!N$1,SMALL(Dong2,ROWS($1:36)),),OFFSET(TH!O$1,SMALL(Dong2,ROWS($1:36)),)))</f>
        <v/>
      </c>
      <c r="F47" s="961" t="str">
        <f ca="1">IF(ROWS($1:36)&gt;COUNT(Dong2),"",IF(AND(IF($M$9="Q4",LEFT(OFFSET(TH!G$1,SMALL(Dong2,ROWS($1:36)),),2)=$M$9,LEFT(OFFSET(TH!G$1,SMALL(Dong2,ROWS($1:36)),),3)=$M$9),OFFSET(TH!N$1,SMALL(Dong2,ROWS($1:36)),)=$I$6),IF($I$6="1121",OFFSET(TH!M$1,SMALL(Dong2,ROWS($1:36)),),OFFSET(TH!K$1,SMALL(Dong2,ROWS($1:36)),)),0))</f>
        <v/>
      </c>
      <c r="G47" s="961" t="str">
        <f ca="1">IF(ROWS($1:36)&gt;COUNT(Dong2),"",IF(AND(IF($M$9="Q4",RIGHT(OFFSET(TH!G$1,SMALL(Dong2,ROWS($1:36)),),2)=$M$9,RIGHT(OFFSET(TH!G$1,SMALL(Dong2,ROWS($1:36)),),3)=$M$9),OFFSET(TH!O$1,SMALL(Dong2,ROWS($1:36)),)=$I$6),IF($I$6="1121",OFFSET(TH!M$1,SMALL(Dong2,ROWS($1:36)),),OFFSET(TH!K$1,SMALL(Dong2,ROWS($1:36)),)),0))</f>
        <v/>
      </c>
      <c r="H47" s="958">
        <f t="shared" ca="1" si="1"/>
        <v>0</v>
      </c>
      <c r="I47" s="958"/>
    </row>
    <row r="48" spans="1:12" s="192" customFormat="1" ht="20.25" customHeight="1">
      <c r="A48" s="203" t="str">
        <f ca="1">IF(ROWS($1:37)&gt;COUNT(Dong2),"",OFFSET(TH!C$1,SMALL(Dong2,ROWS($1:37)),))</f>
        <v/>
      </c>
      <c r="B48" s="203" t="str">
        <f ca="1">IF(ROWS($1:37)&gt;COUNT(Dong2),"",OFFSET(TH!D$1,SMALL(Dong2,ROWS($1:37)),))</f>
        <v/>
      </c>
      <c r="C48" s="203" t="str">
        <f ca="1">IF(ROWS($1:37)&gt;COUNT(Dong2),"",OFFSET(TH!E$1,SMALL(Dong2,ROWS($1:37)),))</f>
        <v/>
      </c>
      <c r="D48" s="389" t="str">
        <f ca="1">IF(ROWS($1:37)&gt;COUNT(Dong2),"",OFFSET(TH!F$1,SMALL(Dong2,ROWS($1:37)),))</f>
        <v/>
      </c>
      <c r="E48" s="203" t="str">
        <f ca="1">IF(ROWS($1:37)&gt;COUNT(Dong2),"",IF(OFFSET(TH!O$1,SMALL(Dong2,ROWS($1:37)),)=$I$6,OFFSET(TH!N$1,SMALL(Dong2,ROWS($1:37)),),OFFSET(TH!O$1,SMALL(Dong2,ROWS($1:37)),)))</f>
        <v/>
      </c>
      <c r="F48" s="961" t="str">
        <f ca="1">IF(ROWS($1:37)&gt;COUNT(Dong2),"",IF(AND(IF($M$9="Q4",LEFT(OFFSET(TH!G$1,SMALL(Dong2,ROWS($1:37)),),2)=$M$9,LEFT(OFFSET(TH!G$1,SMALL(Dong2,ROWS($1:37)),),3)=$M$9),OFFSET(TH!N$1,SMALL(Dong2,ROWS($1:37)),)=$I$6),IF($I$6="1121",OFFSET(TH!M$1,SMALL(Dong2,ROWS($1:37)),),OFFSET(TH!K$1,SMALL(Dong2,ROWS($1:37)),)),0))</f>
        <v/>
      </c>
      <c r="G48" s="961" t="str">
        <f ca="1">IF(ROWS($1:37)&gt;COUNT(Dong2),"",IF(AND(IF($M$9="Q4",RIGHT(OFFSET(TH!G$1,SMALL(Dong2,ROWS($1:37)),),2)=$M$9,RIGHT(OFFSET(TH!G$1,SMALL(Dong2,ROWS($1:37)),),3)=$M$9),OFFSET(TH!O$1,SMALL(Dong2,ROWS($1:37)),)=$I$6),IF($I$6="1121",OFFSET(TH!M$1,SMALL(Dong2,ROWS($1:37)),),OFFSET(TH!K$1,SMALL(Dong2,ROWS($1:37)),)),0))</f>
        <v/>
      </c>
      <c r="H48" s="958">
        <f t="shared" ca="1" si="1"/>
        <v>0</v>
      </c>
      <c r="I48" s="958"/>
    </row>
    <row r="49" spans="1:9" s="192" customFormat="1" ht="20.25" customHeight="1">
      <c r="A49" s="203" t="str">
        <f ca="1">IF(ROWS($1:38)&gt;COUNT(Dong2),"",OFFSET(TH!C$1,SMALL(Dong2,ROWS($1:38)),))</f>
        <v/>
      </c>
      <c r="B49" s="203" t="str">
        <f ca="1">IF(ROWS($1:38)&gt;COUNT(Dong2),"",OFFSET(TH!D$1,SMALL(Dong2,ROWS($1:38)),))</f>
        <v/>
      </c>
      <c r="C49" s="203" t="str">
        <f ca="1">IF(ROWS($1:38)&gt;COUNT(Dong2),"",OFFSET(TH!E$1,SMALL(Dong2,ROWS($1:38)),))</f>
        <v/>
      </c>
      <c r="D49" s="389" t="str">
        <f ca="1">IF(ROWS($1:38)&gt;COUNT(Dong2),"",OFFSET(TH!F$1,SMALL(Dong2,ROWS($1:38)),))</f>
        <v/>
      </c>
      <c r="E49" s="203" t="str">
        <f ca="1">IF(ROWS($1:38)&gt;COUNT(Dong2),"",IF(OFFSET(TH!O$1,SMALL(Dong2,ROWS($1:38)),)=$I$6,OFFSET(TH!N$1,SMALL(Dong2,ROWS($1:38)),),OFFSET(TH!O$1,SMALL(Dong2,ROWS($1:38)),)))</f>
        <v/>
      </c>
      <c r="F49" s="961" t="str">
        <f ca="1">IF(ROWS($1:38)&gt;COUNT(Dong2),"",IF(AND(IF($M$9="Q4",LEFT(OFFSET(TH!G$1,SMALL(Dong2,ROWS($1:38)),),2)=$M$9,LEFT(OFFSET(TH!G$1,SMALL(Dong2,ROWS($1:38)),),3)=$M$9),OFFSET(TH!N$1,SMALL(Dong2,ROWS($1:38)),)=$I$6),IF($I$6="1121",OFFSET(TH!M$1,SMALL(Dong2,ROWS($1:38)),),OFFSET(TH!K$1,SMALL(Dong2,ROWS($1:38)),)),0))</f>
        <v/>
      </c>
      <c r="G49" s="961" t="str">
        <f ca="1">IF(ROWS($1:38)&gt;COUNT(Dong2),"",IF(AND(IF($M$9="Q4",RIGHT(OFFSET(TH!G$1,SMALL(Dong2,ROWS($1:38)),),2)=$M$9,RIGHT(OFFSET(TH!G$1,SMALL(Dong2,ROWS($1:38)),),3)=$M$9),OFFSET(TH!O$1,SMALL(Dong2,ROWS($1:38)),)=$I$6),IF($I$6="1121",OFFSET(TH!M$1,SMALL(Dong2,ROWS($1:38)),),OFFSET(TH!K$1,SMALL(Dong2,ROWS($1:38)),)),0))</f>
        <v/>
      </c>
      <c r="H49" s="958">
        <f t="shared" ca="1" si="1"/>
        <v>0</v>
      </c>
      <c r="I49" s="958"/>
    </row>
    <row r="50" spans="1:9" s="192" customFormat="1" ht="20.25" customHeight="1">
      <c r="A50" s="203" t="str">
        <f ca="1">IF(ROWS($1:39)&gt;COUNT(Dong2),"",OFFSET(TH!C$1,SMALL(Dong2,ROWS($1:39)),))</f>
        <v/>
      </c>
      <c r="B50" s="203" t="str">
        <f ca="1">IF(ROWS($1:39)&gt;COUNT(Dong2),"",OFFSET(TH!D$1,SMALL(Dong2,ROWS($1:39)),))</f>
        <v/>
      </c>
      <c r="C50" s="203" t="str">
        <f ca="1">IF(ROWS($1:39)&gt;COUNT(Dong2),"",OFFSET(TH!E$1,SMALL(Dong2,ROWS($1:39)),))</f>
        <v/>
      </c>
      <c r="D50" s="389" t="str">
        <f ca="1">IF(ROWS($1:39)&gt;COUNT(Dong2),"",OFFSET(TH!F$1,SMALL(Dong2,ROWS($1:39)),))</f>
        <v/>
      </c>
      <c r="E50" s="203" t="str">
        <f ca="1">IF(ROWS($1:39)&gt;COUNT(Dong2),"",IF(OFFSET(TH!O$1,SMALL(Dong2,ROWS($1:39)),)=$I$6,OFFSET(TH!N$1,SMALL(Dong2,ROWS($1:39)),),OFFSET(TH!O$1,SMALL(Dong2,ROWS($1:39)),)))</f>
        <v/>
      </c>
      <c r="F50" s="961" t="str">
        <f ca="1">IF(ROWS($1:39)&gt;COUNT(Dong2),"",IF(AND(IF($M$9="Q4",LEFT(OFFSET(TH!G$1,SMALL(Dong2,ROWS($1:39)),),2)=$M$9,LEFT(OFFSET(TH!G$1,SMALL(Dong2,ROWS($1:39)),),3)=$M$9),OFFSET(TH!N$1,SMALL(Dong2,ROWS($1:39)),)=$I$6),IF($I$6="1121",OFFSET(TH!M$1,SMALL(Dong2,ROWS($1:39)),),OFFSET(TH!K$1,SMALL(Dong2,ROWS($1:39)),)),0))</f>
        <v/>
      </c>
      <c r="G50" s="961" t="str">
        <f ca="1">IF(ROWS($1:39)&gt;COUNT(Dong2),"",IF(AND(IF($M$9="Q4",RIGHT(OFFSET(TH!G$1,SMALL(Dong2,ROWS($1:39)),),2)=$M$9,RIGHT(OFFSET(TH!G$1,SMALL(Dong2,ROWS($1:39)),),3)=$M$9),OFFSET(TH!O$1,SMALL(Dong2,ROWS($1:39)),)=$I$6),IF($I$6="1121",OFFSET(TH!M$1,SMALL(Dong2,ROWS($1:39)),),OFFSET(TH!K$1,SMALL(Dong2,ROWS($1:39)),)),0))</f>
        <v/>
      </c>
      <c r="H50" s="958">
        <f t="shared" ca="1" si="1"/>
        <v>0</v>
      </c>
      <c r="I50" s="958"/>
    </row>
    <row r="51" spans="1:9" s="192" customFormat="1" ht="20.25" customHeight="1">
      <c r="A51" s="203" t="str">
        <f ca="1">IF(ROWS($1:40)&gt;COUNT(Dong2),"",OFFSET(TH!C$1,SMALL(Dong2,ROWS($1:40)),))</f>
        <v/>
      </c>
      <c r="B51" s="203" t="str">
        <f ca="1">IF(ROWS($1:40)&gt;COUNT(Dong2),"",OFFSET(TH!D$1,SMALL(Dong2,ROWS($1:40)),))</f>
        <v/>
      </c>
      <c r="C51" s="203" t="str">
        <f ca="1">IF(ROWS($1:40)&gt;COUNT(Dong2),"",OFFSET(TH!E$1,SMALL(Dong2,ROWS($1:40)),))</f>
        <v/>
      </c>
      <c r="D51" s="389" t="str">
        <f ca="1">IF(ROWS($1:40)&gt;COUNT(Dong2),"",OFFSET(TH!F$1,SMALL(Dong2,ROWS($1:40)),))</f>
        <v/>
      </c>
      <c r="E51" s="203" t="str">
        <f ca="1">IF(ROWS($1:40)&gt;COUNT(Dong2),"",IF(OFFSET(TH!O$1,SMALL(Dong2,ROWS($1:40)),)=$I$6,OFFSET(TH!N$1,SMALL(Dong2,ROWS($1:40)),),OFFSET(TH!O$1,SMALL(Dong2,ROWS($1:40)),)))</f>
        <v/>
      </c>
      <c r="F51" s="961" t="str">
        <f ca="1">IF(ROWS($1:40)&gt;COUNT(Dong2),"",IF(AND(IF($M$9="Q4",LEFT(OFFSET(TH!G$1,SMALL(Dong2,ROWS($1:40)),),2)=$M$9,LEFT(OFFSET(TH!G$1,SMALL(Dong2,ROWS($1:40)),),3)=$M$9),OFFSET(TH!N$1,SMALL(Dong2,ROWS($1:40)),)=$I$6),IF($I$6="1121",OFFSET(TH!M$1,SMALL(Dong2,ROWS($1:40)),),OFFSET(TH!K$1,SMALL(Dong2,ROWS($1:40)),)),0))</f>
        <v/>
      </c>
      <c r="G51" s="961" t="str">
        <f ca="1">IF(ROWS($1:40)&gt;COUNT(Dong2),"",IF(AND(IF($M$9="Q4",RIGHT(OFFSET(TH!G$1,SMALL(Dong2,ROWS($1:40)),),2)=$M$9,RIGHT(OFFSET(TH!G$1,SMALL(Dong2,ROWS($1:40)),),3)=$M$9),OFFSET(TH!O$1,SMALL(Dong2,ROWS($1:40)),)=$I$6),IF($I$6="1121",OFFSET(TH!M$1,SMALL(Dong2,ROWS($1:40)),),OFFSET(TH!K$1,SMALL(Dong2,ROWS($1:40)),)),0))</f>
        <v/>
      </c>
      <c r="H51" s="958">
        <f t="shared" ca="1" si="1"/>
        <v>0</v>
      </c>
      <c r="I51" s="958"/>
    </row>
    <row r="52" spans="1:9" s="192" customFormat="1" ht="20.25" customHeight="1">
      <c r="A52" s="203" t="str">
        <f ca="1">IF(ROWS($1:41)&gt;COUNT(Dong2),"",OFFSET(TH!C$1,SMALL(Dong2,ROWS($1:41)),))</f>
        <v/>
      </c>
      <c r="B52" s="203" t="str">
        <f ca="1">IF(ROWS($1:41)&gt;COUNT(Dong2),"",OFFSET(TH!D$1,SMALL(Dong2,ROWS($1:41)),))</f>
        <v/>
      </c>
      <c r="C52" s="203" t="str">
        <f ca="1">IF(ROWS($1:41)&gt;COUNT(Dong2),"",OFFSET(TH!E$1,SMALL(Dong2,ROWS($1:41)),))</f>
        <v/>
      </c>
      <c r="D52" s="389" t="str">
        <f ca="1">IF(ROWS($1:41)&gt;COUNT(Dong2),"",OFFSET(TH!F$1,SMALL(Dong2,ROWS($1:41)),))</f>
        <v/>
      </c>
      <c r="E52" s="203" t="str">
        <f ca="1">IF(ROWS($1:41)&gt;COUNT(Dong2),"",IF(OFFSET(TH!O$1,SMALL(Dong2,ROWS($1:41)),)=$I$6,OFFSET(TH!N$1,SMALL(Dong2,ROWS($1:41)),),OFFSET(TH!O$1,SMALL(Dong2,ROWS($1:41)),)))</f>
        <v/>
      </c>
      <c r="F52" s="961" t="str">
        <f ca="1">IF(ROWS($1:41)&gt;COUNT(Dong2),"",IF(AND(IF($M$9="Q4",LEFT(OFFSET(TH!G$1,SMALL(Dong2,ROWS($1:41)),),2)=$M$9,LEFT(OFFSET(TH!G$1,SMALL(Dong2,ROWS($1:41)),),3)=$M$9),OFFSET(TH!N$1,SMALL(Dong2,ROWS($1:41)),)=$I$6),IF($I$6="1121",OFFSET(TH!M$1,SMALL(Dong2,ROWS($1:41)),),OFFSET(TH!K$1,SMALL(Dong2,ROWS($1:41)),)),0))</f>
        <v/>
      </c>
      <c r="G52" s="961" t="str">
        <f ca="1">IF(ROWS($1:41)&gt;COUNT(Dong2),"",IF(AND(IF($M$9="Q4",RIGHT(OFFSET(TH!G$1,SMALL(Dong2,ROWS($1:41)),),2)=$M$9,RIGHT(OFFSET(TH!G$1,SMALL(Dong2,ROWS($1:41)),),3)=$M$9),OFFSET(TH!O$1,SMALL(Dong2,ROWS($1:41)),)=$I$6),IF($I$6="1121",OFFSET(TH!M$1,SMALL(Dong2,ROWS($1:41)),),OFFSET(TH!K$1,SMALL(Dong2,ROWS($1:41)),)),0))</f>
        <v/>
      </c>
      <c r="H52" s="958">
        <f t="shared" ca="1" si="1"/>
        <v>0</v>
      </c>
      <c r="I52" s="958"/>
    </row>
    <row r="53" spans="1:9" s="192" customFormat="1" ht="20.25" customHeight="1">
      <c r="A53" s="203" t="str">
        <f ca="1">IF(ROWS($1:42)&gt;COUNT(Dong2),"",OFFSET(TH!C$1,SMALL(Dong2,ROWS($1:42)),))</f>
        <v/>
      </c>
      <c r="B53" s="203" t="str">
        <f ca="1">IF(ROWS($1:42)&gt;COUNT(Dong2),"",OFFSET(TH!D$1,SMALL(Dong2,ROWS($1:42)),))</f>
        <v/>
      </c>
      <c r="C53" s="203" t="str">
        <f ca="1">IF(ROWS($1:42)&gt;COUNT(Dong2),"",OFFSET(TH!E$1,SMALL(Dong2,ROWS($1:42)),))</f>
        <v/>
      </c>
      <c r="D53" s="389" t="str">
        <f ca="1">IF(ROWS($1:42)&gt;COUNT(Dong2),"",OFFSET(TH!F$1,SMALL(Dong2,ROWS($1:42)),))</f>
        <v/>
      </c>
      <c r="E53" s="203" t="str">
        <f ca="1">IF(ROWS($1:42)&gt;COUNT(Dong2),"",IF(OFFSET(TH!O$1,SMALL(Dong2,ROWS($1:42)),)=$I$6,OFFSET(TH!N$1,SMALL(Dong2,ROWS($1:42)),),OFFSET(TH!O$1,SMALL(Dong2,ROWS($1:42)),)))</f>
        <v/>
      </c>
      <c r="F53" s="961" t="str">
        <f ca="1">IF(ROWS($1:42)&gt;COUNT(Dong2),"",IF(AND(IF($M$9="Q4",LEFT(OFFSET(TH!G$1,SMALL(Dong2,ROWS($1:42)),),2)=$M$9,LEFT(OFFSET(TH!G$1,SMALL(Dong2,ROWS($1:42)),),3)=$M$9),OFFSET(TH!N$1,SMALL(Dong2,ROWS($1:42)),)=$I$6),IF($I$6="1121",OFFSET(TH!M$1,SMALL(Dong2,ROWS($1:42)),),OFFSET(TH!K$1,SMALL(Dong2,ROWS($1:42)),)),0))</f>
        <v/>
      </c>
      <c r="G53" s="961" t="str">
        <f ca="1">IF(ROWS($1:42)&gt;COUNT(Dong2),"",IF(AND(IF($M$9="Q4",RIGHT(OFFSET(TH!G$1,SMALL(Dong2,ROWS($1:42)),),2)=$M$9,RIGHT(OFFSET(TH!G$1,SMALL(Dong2,ROWS($1:42)),),3)=$M$9),OFFSET(TH!O$1,SMALL(Dong2,ROWS($1:42)),)=$I$6),IF($I$6="1121",OFFSET(TH!M$1,SMALL(Dong2,ROWS($1:42)),),OFFSET(TH!K$1,SMALL(Dong2,ROWS($1:42)),)),0))</f>
        <v/>
      </c>
      <c r="H53" s="958">
        <f t="shared" ref="H53:H82" ca="1" si="2">IF(A53&lt;&gt;"",H52+F53-G53,0)</f>
        <v>0</v>
      </c>
      <c r="I53" s="958"/>
    </row>
    <row r="54" spans="1:9" s="192" customFormat="1" ht="20.25" customHeight="1">
      <c r="A54" s="203" t="str">
        <f ca="1">IF(ROWS($1:43)&gt;COUNT(Dong2),"",OFFSET(TH!C$1,SMALL(Dong2,ROWS($1:43)),))</f>
        <v/>
      </c>
      <c r="B54" s="203" t="str">
        <f ca="1">IF(ROWS($1:43)&gt;COUNT(Dong2),"",OFFSET(TH!D$1,SMALL(Dong2,ROWS($1:43)),))</f>
        <v/>
      </c>
      <c r="C54" s="203" t="str">
        <f ca="1">IF(ROWS($1:43)&gt;COUNT(Dong2),"",OFFSET(TH!E$1,SMALL(Dong2,ROWS($1:43)),))</f>
        <v/>
      </c>
      <c r="D54" s="389" t="str">
        <f ca="1">IF(ROWS($1:43)&gt;COUNT(Dong2),"",OFFSET(TH!F$1,SMALL(Dong2,ROWS($1:43)),))</f>
        <v/>
      </c>
      <c r="E54" s="203" t="str">
        <f ca="1">IF(ROWS($1:43)&gt;COUNT(Dong2),"",IF(OFFSET(TH!O$1,SMALL(Dong2,ROWS($1:43)),)=$I$6,OFFSET(TH!N$1,SMALL(Dong2,ROWS($1:43)),),OFFSET(TH!O$1,SMALL(Dong2,ROWS($1:43)),)))</f>
        <v/>
      </c>
      <c r="F54" s="961" t="str">
        <f ca="1">IF(ROWS($1:43)&gt;COUNT(Dong2),"",IF(AND(IF($M$9="Q4",LEFT(OFFSET(TH!G$1,SMALL(Dong2,ROWS($1:43)),),2)=$M$9,LEFT(OFFSET(TH!G$1,SMALL(Dong2,ROWS($1:43)),),3)=$M$9),OFFSET(TH!N$1,SMALL(Dong2,ROWS($1:43)),)=$I$6),IF($I$6="1121",OFFSET(TH!M$1,SMALL(Dong2,ROWS($1:43)),),OFFSET(TH!K$1,SMALL(Dong2,ROWS($1:43)),)),0))</f>
        <v/>
      </c>
      <c r="G54" s="961" t="str">
        <f ca="1">IF(ROWS($1:43)&gt;COUNT(Dong2),"",IF(AND(IF($M$9="Q4",RIGHT(OFFSET(TH!G$1,SMALL(Dong2,ROWS($1:43)),),2)=$M$9,RIGHT(OFFSET(TH!G$1,SMALL(Dong2,ROWS($1:43)),),3)=$M$9),OFFSET(TH!O$1,SMALL(Dong2,ROWS($1:43)),)=$I$6),IF($I$6="1121",OFFSET(TH!M$1,SMALL(Dong2,ROWS($1:43)),),OFFSET(TH!K$1,SMALL(Dong2,ROWS($1:43)),)),0))</f>
        <v/>
      </c>
      <c r="H54" s="958">
        <f t="shared" ca="1" si="2"/>
        <v>0</v>
      </c>
      <c r="I54" s="958"/>
    </row>
    <row r="55" spans="1:9" s="192" customFormat="1" ht="20.25" customHeight="1">
      <c r="A55" s="203" t="str">
        <f ca="1">IF(ROWS($1:44)&gt;COUNT(Dong2),"",OFFSET(TH!C$1,SMALL(Dong2,ROWS($1:44)),))</f>
        <v/>
      </c>
      <c r="B55" s="203" t="str">
        <f ca="1">IF(ROWS($1:44)&gt;COUNT(Dong2),"",OFFSET(TH!D$1,SMALL(Dong2,ROWS($1:44)),))</f>
        <v/>
      </c>
      <c r="C55" s="203" t="str">
        <f ca="1">IF(ROWS($1:44)&gt;COUNT(Dong2),"",OFFSET(TH!E$1,SMALL(Dong2,ROWS($1:44)),))</f>
        <v/>
      </c>
      <c r="D55" s="389" t="str">
        <f ca="1">IF(ROWS($1:44)&gt;COUNT(Dong2),"",OFFSET(TH!F$1,SMALL(Dong2,ROWS($1:44)),))</f>
        <v/>
      </c>
      <c r="E55" s="203" t="str">
        <f ca="1">IF(ROWS($1:44)&gt;COUNT(Dong2),"",IF(OFFSET(TH!O$1,SMALL(Dong2,ROWS($1:44)),)=$I$6,OFFSET(TH!N$1,SMALL(Dong2,ROWS($1:44)),),OFFSET(TH!O$1,SMALL(Dong2,ROWS($1:44)),)))</f>
        <v/>
      </c>
      <c r="F55" s="961" t="str">
        <f ca="1">IF(ROWS($1:44)&gt;COUNT(Dong2),"",IF(AND(IF($M$9="Q4",LEFT(OFFSET(TH!G$1,SMALL(Dong2,ROWS($1:44)),),2)=$M$9,LEFT(OFFSET(TH!G$1,SMALL(Dong2,ROWS($1:44)),),3)=$M$9),OFFSET(TH!N$1,SMALL(Dong2,ROWS($1:44)),)=$I$6),IF($I$6="1121",OFFSET(TH!M$1,SMALL(Dong2,ROWS($1:44)),),OFFSET(TH!K$1,SMALL(Dong2,ROWS($1:44)),)),0))</f>
        <v/>
      </c>
      <c r="G55" s="961" t="str">
        <f ca="1">IF(ROWS($1:44)&gt;COUNT(Dong2),"",IF(AND(IF($M$9="Q4",RIGHT(OFFSET(TH!G$1,SMALL(Dong2,ROWS($1:44)),),2)=$M$9,RIGHT(OFFSET(TH!G$1,SMALL(Dong2,ROWS($1:44)),),3)=$M$9),OFFSET(TH!O$1,SMALL(Dong2,ROWS($1:44)),)=$I$6),IF($I$6="1121",OFFSET(TH!M$1,SMALL(Dong2,ROWS($1:44)),),OFFSET(TH!K$1,SMALL(Dong2,ROWS($1:44)),)),0))</f>
        <v/>
      </c>
      <c r="H55" s="958">
        <f t="shared" ca="1" si="2"/>
        <v>0</v>
      </c>
      <c r="I55" s="958"/>
    </row>
    <row r="56" spans="1:9" s="192" customFormat="1" ht="20.25" customHeight="1">
      <c r="A56" s="203" t="str">
        <f ca="1">IF(ROWS($1:45)&gt;COUNT(Dong2),"",OFFSET(TH!C$1,SMALL(Dong2,ROWS($1:45)),))</f>
        <v/>
      </c>
      <c r="B56" s="203" t="str">
        <f ca="1">IF(ROWS($1:45)&gt;COUNT(Dong2),"",OFFSET(TH!D$1,SMALL(Dong2,ROWS($1:45)),))</f>
        <v/>
      </c>
      <c r="C56" s="203" t="str">
        <f ca="1">IF(ROWS($1:45)&gt;COUNT(Dong2),"",OFFSET(TH!E$1,SMALL(Dong2,ROWS($1:45)),))</f>
        <v/>
      </c>
      <c r="D56" s="389" t="str">
        <f ca="1">IF(ROWS($1:45)&gt;COUNT(Dong2),"",OFFSET(TH!F$1,SMALL(Dong2,ROWS($1:45)),))</f>
        <v/>
      </c>
      <c r="E56" s="203" t="str">
        <f ca="1">IF(ROWS($1:45)&gt;COUNT(Dong2),"",IF(OFFSET(TH!O$1,SMALL(Dong2,ROWS($1:45)),)=$I$6,OFFSET(TH!N$1,SMALL(Dong2,ROWS($1:45)),),OFFSET(TH!O$1,SMALL(Dong2,ROWS($1:45)),)))</f>
        <v/>
      </c>
      <c r="F56" s="961" t="str">
        <f ca="1">IF(ROWS($1:45)&gt;COUNT(Dong2),"",IF(AND(IF($M$9="Q4",LEFT(OFFSET(TH!G$1,SMALL(Dong2,ROWS($1:45)),),2)=$M$9,LEFT(OFFSET(TH!G$1,SMALL(Dong2,ROWS($1:45)),),3)=$M$9),OFFSET(TH!N$1,SMALL(Dong2,ROWS($1:45)),)=$I$6),IF($I$6="1121",OFFSET(TH!M$1,SMALL(Dong2,ROWS($1:45)),),OFFSET(TH!K$1,SMALL(Dong2,ROWS($1:45)),)),0))</f>
        <v/>
      </c>
      <c r="G56" s="961" t="str">
        <f ca="1">IF(ROWS($1:45)&gt;COUNT(Dong2),"",IF(AND(IF($M$9="Q4",RIGHT(OFFSET(TH!G$1,SMALL(Dong2,ROWS($1:45)),),2)=$M$9,RIGHT(OFFSET(TH!G$1,SMALL(Dong2,ROWS($1:45)),),3)=$M$9),OFFSET(TH!O$1,SMALL(Dong2,ROWS($1:45)),)=$I$6),IF($I$6="1121",OFFSET(TH!M$1,SMALL(Dong2,ROWS($1:45)),),OFFSET(TH!K$1,SMALL(Dong2,ROWS($1:45)),)),0))</f>
        <v/>
      </c>
      <c r="H56" s="958">
        <f t="shared" ca="1" si="2"/>
        <v>0</v>
      </c>
      <c r="I56" s="958"/>
    </row>
    <row r="57" spans="1:9" s="192" customFormat="1" ht="20.25" customHeight="1">
      <c r="A57" s="203" t="str">
        <f ca="1">IF(ROWS($1:46)&gt;COUNT(Dong2),"",OFFSET(TH!C$1,SMALL(Dong2,ROWS($1:46)),))</f>
        <v/>
      </c>
      <c r="B57" s="203" t="str">
        <f ca="1">IF(ROWS($1:46)&gt;COUNT(Dong2),"",OFFSET(TH!D$1,SMALL(Dong2,ROWS($1:46)),))</f>
        <v/>
      </c>
      <c r="C57" s="203" t="str">
        <f ca="1">IF(ROWS($1:46)&gt;COUNT(Dong2),"",OFFSET(TH!E$1,SMALL(Dong2,ROWS($1:46)),))</f>
        <v/>
      </c>
      <c r="D57" s="389" t="str">
        <f ca="1">IF(ROWS($1:46)&gt;COUNT(Dong2),"",OFFSET(TH!F$1,SMALL(Dong2,ROWS($1:46)),))</f>
        <v/>
      </c>
      <c r="E57" s="203" t="str">
        <f ca="1">IF(ROWS($1:46)&gt;COUNT(Dong2),"",IF(OFFSET(TH!O$1,SMALL(Dong2,ROWS($1:46)),)=$I$6,OFFSET(TH!N$1,SMALL(Dong2,ROWS($1:46)),),OFFSET(TH!O$1,SMALL(Dong2,ROWS($1:46)),)))</f>
        <v/>
      </c>
      <c r="F57" s="961" t="str">
        <f ca="1">IF(ROWS($1:46)&gt;COUNT(Dong2),"",IF(AND(IF($M$9="Q4",LEFT(OFFSET(TH!G$1,SMALL(Dong2,ROWS($1:46)),),2)=$M$9,LEFT(OFFSET(TH!G$1,SMALL(Dong2,ROWS($1:46)),),3)=$M$9),OFFSET(TH!N$1,SMALL(Dong2,ROWS($1:46)),)=$I$6),IF($I$6="1121",OFFSET(TH!M$1,SMALL(Dong2,ROWS($1:46)),),OFFSET(TH!K$1,SMALL(Dong2,ROWS($1:46)),)),0))</f>
        <v/>
      </c>
      <c r="G57" s="961" t="str">
        <f ca="1">IF(ROWS($1:46)&gt;COUNT(Dong2),"",IF(AND(IF($M$9="Q4",RIGHT(OFFSET(TH!G$1,SMALL(Dong2,ROWS($1:46)),),2)=$M$9,RIGHT(OFFSET(TH!G$1,SMALL(Dong2,ROWS($1:46)),),3)=$M$9),OFFSET(TH!O$1,SMALL(Dong2,ROWS($1:46)),)=$I$6),IF($I$6="1121",OFFSET(TH!M$1,SMALL(Dong2,ROWS($1:46)),),OFFSET(TH!K$1,SMALL(Dong2,ROWS($1:46)),)),0))</f>
        <v/>
      </c>
      <c r="H57" s="958">
        <f t="shared" ca="1" si="2"/>
        <v>0</v>
      </c>
      <c r="I57" s="958"/>
    </row>
    <row r="58" spans="1:9" s="192" customFormat="1" ht="20.25" customHeight="1">
      <c r="A58" s="203" t="str">
        <f ca="1">IF(ROWS($1:47)&gt;COUNT(Dong2),"",OFFSET(TH!C$1,SMALL(Dong2,ROWS($1:47)),))</f>
        <v/>
      </c>
      <c r="B58" s="203" t="str">
        <f ca="1">IF(ROWS($1:47)&gt;COUNT(Dong2),"",OFFSET(TH!D$1,SMALL(Dong2,ROWS($1:47)),))</f>
        <v/>
      </c>
      <c r="C58" s="203" t="str">
        <f ca="1">IF(ROWS($1:47)&gt;COUNT(Dong2),"",OFFSET(TH!E$1,SMALL(Dong2,ROWS($1:47)),))</f>
        <v/>
      </c>
      <c r="D58" s="389" t="str">
        <f ca="1">IF(ROWS($1:47)&gt;COUNT(Dong2),"",OFFSET(TH!F$1,SMALL(Dong2,ROWS($1:47)),))</f>
        <v/>
      </c>
      <c r="E58" s="203" t="str">
        <f ca="1">IF(ROWS($1:47)&gt;COUNT(Dong2),"",IF(OFFSET(TH!O$1,SMALL(Dong2,ROWS($1:47)),)=$I$6,OFFSET(TH!N$1,SMALL(Dong2,ROWS($1:47)),),OFFSET(TH!O$1,SMALL(Dong2,ROWS($1:47)),)))</f>
        <v/>
      </c>
      <c r="F58" s="961" t="str">
        <f ca="1">IF(ROWS($1:47)&gt;COUNT(Dong2),"",IF(AND(IF($M$9="Q4",LEFT(OFFSET(TH!G$1,SMALL(Dong2,ROWS($1:47)),),2)=$M$9,LEFT(OFFSET(TH!G$1,SMALL(Dong2,ROWS($1:47)),),3)=$M$9),OFFSET(TH!N$1,SMALL(Dong2,ROWS($1:47)),)=$I$6),IF($I$6="1121",OFFSET(TH!M$1,SMALL(Dong2,ROWS($1:47)),),OFFSET(TH!K$1,SMALL(Dong2,ROWS($1:47)),)),0))</f>
        <v/>
      </c>
      <c r="G58" s="961" t="str">
        <f ca="1">IF(ROWS($1:47)&gt;COUNT(Dong2),"",IF(AND(IF($M$9="Q4",RIGHT(OFFSET(TH!G$1,SMALL(Dong2,ROWS($1:47)),),2)=$M$9,RIGHT(OFFSET(TH!G$1,SMALL(Dong2,ROWS($1:47)),),3)=$M$9),OFFSET(TH!O$1,SMALL(Dong2,ROWS($1:47)),)=$I$6),IF($I$6="1121",OFFSET(TH!M$1,SMALL(Dong2,ROWS($1:47)),),OFFSET(TH!K$1,SMALL(Dong2,ROWS($1:47)),)),0))</f>
        <v/>
      </c>
      <c r="H58" s="958">
        <f t="shared" ca="1" si="2"/>
        <v>0</v>
      </c>
      <c r="I58" s="958"/>
    </row>
    <row r="59" spans="1:9" s="192" customFormat="1" ht="20.25" customHeight="1">
      <c r="A59" s="203" t="str">
        <f ca="1">IF(ROWS($1:48)&gt;COUNT(Dong2),"",OFFSET(TH!C$1,SMALL(Dong2,ROWS($1:48)),))</f>
        <v/>
      </c>
      <c r="B59" s="203" t="str">
        <f ca="1">IF(ROWS($1:48)&gt;COUNT(Dong2),"",OFFSET(TH!D$1,SMALL(Dong2,ROWS($1:48)),))</f>
        <v/>
      </c>
      <c r="C59" s="203" t="str">
        <f ca="1">IF(ROWS($1:48)&gt;COUNT(Dong2),"",OFFSET(TH!E$1,SMALL(Dong2,ROWS($1:48)),))</f>
        <v/>
      </c>
      <c r="D59" s="389" t="str">
        <f ca="1">IF(ROWS($1:48)&gt;COUNT(Dong2),"",OFFSET(TH!F$1,SMALL(Dong2,ROWS($1:48)),))</f>
        <v/>
      </c>
      <c r="E59" s="203" t="str">
        <f ca="1">IF(ROWS($1:48)&gt;COUNT(Dong2),"",IF(OFFSET(TH!O$1,SMALL(Dong2,ROWS($1:48)),)=$I$6,OFFSET(TH!N$1,SMALL(Dong2,ROWS($1:48)),),OFFSET(TH!O$1,SMALL(Dong2,ROWS($1:48)),)))</f>
        <v/>
      </c>
      <c r="F59" s="961" t="str">
        <f ca="1">IF(ROWS($1:48)&gt;COUNT(Dong2),"",IF(AND(IF($M$9="Q4",LEFT(OFFSET(TH!G$1,SMALL(Dong2,ROWS($1:48)),),2)=$M$9,LEFT(OFFSET(TH!G$1,SMALL(Dong2,ROWS($1:48)),),3)=$M$9),OFFSET(TH!N$1,SMALL(Dong2,ROWS($1:48)),)=$I$6),IF($I$6="1121",OFFSET(TH!M$1,SMALL(Dong2,ROWS($1:48)),),OFFSET(TH!K$1,SMALL(Dong2,ROWS($1:48)),)),0))</f>
        <v/>
      </c>
      <c r="G59" s="961" t="str">
        <f ca="1">IF(ROWS($1:48)&gt;COUNT(Dong2),"",IF(AND(IF($M$9="Q4",RIGHT(OFFSET(TH!G$1,SMALL(Dong2,ROWS($1:48)),),2)=$M$9,RIGHT(OFFSET(TH!G$1,SMALL(Dong2,ROWS($1:48)),),3)=$M$9),OFFSET(TH!O$1,SMALL(Dong2,ROWS($1:48)),)=$I$6),IF($I$6="1121",OFFSET(TH!M$1,SMALL(Dong2,ROWS($1:48)),),OFFSET(TH!K$1,SMALL(Dong2,ROWS($1:48)),)),0))</f>
        <v/>
      </c>
      <c r="H59" s="958">
        <f t="shared" ca="1" si="2"/>
        <v>0</v>
      </c>
      <c r="I59" s="958"/>
    </row>
    <row r="60" spans="1:9" s="192" customFormat="1" ht="20.25" customHeight="1">
      <c r="A60" s="203" t="str">
        <f ca="1">IF(ROWS($1:49)&gt;COUNT(Dong2),"",OFFSET(TH!C$1,SMALL(Dong2,ROWS($1:49)),))</f>
        <v/>
      </c>
      <c r="B60" s="203" t="str">
        <f ca="1">IF(ROWS($1:49)&gt;COUNT(Dong2),"",OFFSET(TH!D$1,SMALL(Dong2,ROWS($1:49)),))</f>
        <v/>
      </c>
      <c r="C60" s="203" t="str">
        <f ca="1">IF(ROWS($1:49)&gt;COUNT(Dong2),"",OFFSET(TH!E$1,SMALL(Dong2,ROWS($1:49)),))</f>
        <v/>
      </c>
      <c r="D60" s="389" t="str">
        <f ca="1">IF(ROWS($1:49)&gt;COUNT(Dong2),"",OFFSET(TH!F$1,SMALL(Dong2,ROWS($1:49)),))</f>
        <v/>
      </c>
      <c r="E60" s="203" t="str">
        <f ca="1">IF(ROWS($1:49)&gt;COUNT(Dong2),"",IF(OFFSET(TH!O$1,SMALL(Dong2,ROWS($1:49)),)=$I$6,OFFSET(TH!N$1,SMALL(Dong2,ROWS($1:49)),),OFFSET(TH!O$1,SMALL(Dong2,ROWS($1:49)),)))</f>
        <v/>
      </c>
      <c r="F60" s="961" t="str">
        <f ca="1">IF(ROWS($1:49)&gt;COUNT(Dong2),"",IF(AND(IF($M$9="Q4",LEFT(OFFSET(TH!G$1,SMALL(Dong2,ROWS($1:49)),),2)=$M$9,LEFT(OFFSET(TH!G$1,SMALL(Dong2,ROWS($1:49)),),3)=$M$9),OFFSET(TH!N$1,SMALL(Dong2,ROWS($1:49)),)=$I$6),IF($I$6="1121",OFFSET(TH!M$1,SMALL(Dong2,ROWS($1:49)),),OFFSET(TH!K$1,SMALL(Dong2,ROWS($1:49)),)),0))</f>
        <v/>
      </c>
      <c r="G60" s="961" t="str">
        <f ca="1">IF(ROWS($1:49)&gt;COUNT(Dong2),"",IF(AND(IF($M$9="Q4",RIGHT(OFFSET(TH!G$1,SMALL(Dong2,ROWS($1:49)),),2)=$M$9,RIGHT(OFFSET(TH!G$1,SMALL(Dong2,ROWS($1:49)),),3)=$M$9),OFFSET(TH!O$1,SMALL(Dong2,ROWS($1:49)),)=$I$6),IF($I$6="1121",OFFSET(TH!M$1,SMALL(Dong2,ROWS($1:49)),),OFFSET(TH!K$1,SMALL(Dong2,ROWS($1:49)),)),0))</f>
        <v/>
      </c>
      <c r="H60" s="958">
        <f t="shared" ca="1" si="2"/>
        <v>0</v>
      </c>
      <c r="I60" s="958"/>
    </row>
    <row r="61" spans="1:9" s="192" customFormat="1" ht="20.25" customHeight="1">
      <c r="A61" s="203" t="str">
        <f ca="1">IF(ROWS($1:50)&gt;COUNT(Dong2),"",OFFSET(TH!C$1,SMALL(Dong2,ROWS($1:50)),))</f>
        <v/>
      </c>
      <c r="B61" s="203" t="str">
        <f ca="1">IF(ROWS($1:50)&gt;COUNT(Dong2),"",OFFSET(TH!D$1,SMALL(Dong2,ROWS($1:50)),))</f>
        <v/>
      </c>
      <c r="C61" s="203" t="str">
        <f ca="1">IF(ROWS($1:50)&gt;COUNT(Dong2),"",OFFSET(TH!E$1,SMALL(Dong2,ROWS($1:50)),))</f>
        <v/>
      </c>
      <c r="D61" s="389" t="str">
        <f ca="1">IF(ROWS($1:50)&gt;COUNT(Dong2),"",OFFSET(TH!F$1,SMALL(Dong2,ROWS($1:50)),))</f>
        <v/>
      </c>
      <c r="E61" s="203" t="str">
        <f ca="1">IF(ROWS($1:50)&gt;COUNT(Dong2),"",IF(OFFSET(TH!O$1,SMALL(Dong2,ROWS($1:50)),)=$I$6,OFFSET(TH!N$1,SMALL(Dong2,ROWS($1:50)),),OFFSET(TH!O$1,SMALL(Dong2,ROWS($1:50)),)))</f>
        <v/>
      </c>
      <c r="F61" s="961" t="str">
        <f ca="1">IF(ROWS($1:50)&gt;COUNT(Dong2),"",IF(AND(IF($M$9="Q4",LEFT(OFFSET(TH!G$1,SMALL(Dong2,ROWS($1:50)),),2)=$M$9,LEFT(OFFSET(TH!G$1,SMALL(Dong2,ROWS($1:50)),),3)=$M$9),OFFSET(TH!N$1,SMALL(Dong2,ROWS($1:50)),)=$I$6),IF($I$6="1121",OFFSET(TH!M$1,SMALL(Dong2,ROWS($1:50)),),OFFSET(TH!K$1,SMALL(Dong2,ROWS($1:50)),)),0))</f>
        <v/>
      </c>
      <c r="G61" s="961" t="str">
        <f ca="1">IF(ROWS($1:50)&gt;COUNT(Dong2),"",IF(AND(IF($M$9="Q4",RIGHT(OFFSET(TH!G$1,SMALL(Dong2,ROWS($1:50)),),2)=$M$9,RIGHT(OFFSET(TH!G$1,SMALL(Dong2,ROWS($1:50)),),3)=$M$9),OFFSET(TH!O$1,SMALL(Dong2,ROWS($1:50)),)=$I$6),IF($I$6="1121",OFFSET(TH!M$1,SMALL(Dong2,ROWS($1:50)),),OFFSET(TH!K$1,SMALL(Dong2,ROWS($1:50)),)),0))</f>
        <v/>
      </c>
      <c r="H61" s="958">
        <f t="shared" ca="1" si="2"/>
        <v>0</v>
      </c>
      <c r="I61" s="958"/>
    </row>
    <row r="62" spans="1:9" s="192" customFormat="1" ht="20.25" customHeight="1">
      <c r="A62" s="203" t="str">
        <f ca="1">IF(ROWS($1:51)&gt;COUNT(Dong2),"",OFFSET(TH!C$1,SMALL(Dong2,ROWS($1:51)),))</f>
        <v/>
      </c>
      <c r="B62" s="203" t="str">
        <f ca="1">IF(ROWS($1:51)&gt;COUNT(Dong2),"",OFFSET(TH!D$1,SMALL(Dong2,ROWS($1:51)),))</f>
        <v/>
      </c>
      <c r="C62" s="203" t="str">
        <f ca="1">IF(ROWS($1:51)&gt;COUNT(Dong2),"",OFFSET(TH!E$1,SMALL(Dong2,ROWS($1:51)),))</f>
        <v/>
      </c>
      <c r="D62" s="389" t="str">
        <f ca="1">IF(ROWS($1:51)&gt;COUNT(Dong2),"",OFFSET(TH!F$1,SMALL(Dong2,ROWS($1:51)),))</f>
        <v/>
      </c>
      <c r="E62" s="203" t="str">
        <f ca="1">IF(ROWS($1:51)&gt;COUNT(Dong2),"",IF(OFFSET(TH!O$1,SMALL(Dong2,ROWS($1:51)),)=$I$6,OFFSET(TH!N$1,SMALL(Dong2,ROWS($1:51)),),OFFSET(TH!O$1,SMALL(Dong2,ROWS($1:51)),)))</f>
        <v/>
      </c>
      <c r="F62" s="961" t="str">
        <f ca="1">IF(ROWS($1:51)&gt;COUNT(Dong2),"",IF(AND(IF($M$9="Q4",LEFT(OFFSET(TH!G$1,SMALL(Dong2,ROWS($1:51)),),2)=$M$9,LEFT(OFFSET(TH!G$1,SMALL(Dong2,ROWS($1:51)),),3)=$M$9),OFFSET(TH!N$1,SMALL(Dong2,ROWS($1:51)),)=$I$6),IF($I$6="1121",OFFSET(TH!M$1,SMALL(Dong2,ROWS($1:51)),),OFFSET(TH!K$1,SMALL(Dong2,ROWS($1:51)),)),0))</f>
        <v/>
      </c>
      <c r="G62" s="961" t="str">
        <f ca="1">IF(ROWS($1:51)&gt;COUNT(Dong2),"",IF(AND(IF($M$9="Q4",RIGHT(OFFSET(TH!G$1,SMALL(Dong2,ROWS($1:51)),),2)=$M$9,RIGHT(OFFSET(TH!G$1,SMALL(Dong2,ROWS($1:51)),),3)=$M$9),OFFSET(TH!O$1,SMALL(Dong2,ROWS($1:51)),)=$I$6),IF($I$6="1121",OFFSET(TH!M$1,SMALL(Dong2,ROWS($1:51)),),OFFSET(TH!K$1,SMALL(Dong2,ROWS($1:51)),)),0))</f>
        <v/>
      </c>
      <c r="H62" s="958">
        <f t="shared" ca="1" si="2"/>
        <v>0</v>
      </c>
      <c r="I62" s="958"/>
    </row>
    <row r="63" spans="1:9" s="192" customFormat="1" ht="20.25" customHeight="1">
      <c r="A63" s="203" t="str">
        <f ca="1">IF(ROWS($1:52)&gt;COUNT(Dong2),"",OFFSET(TH!C$1,SMALL(Dong2,ROWS($1:52)),))</f>
        <v/>
      </c>
      <c r="B63" s="203" t="str">
        <f ca="1">IF(ROWS($1:52)&gt;COUNT(Dong2),"",OFFSET(TH!D$1,SMALL(Dong2,ROWS($1:52)),))</f>
        <v/>
      </c>
      <c r="C63" s="203" t="str">
        <f ca="1">IF(ROWS($1:52)&gt;COUNT(Dong2),"",OFFSET(TH!E$1,SMALL(Dong2,ROWS($1:52)),))</f>
        <v/>
      </c>
      <c r="D63" s="389" t="str">
        <f ca="1">IF(ROWS($1:52)&gt;COUNT(Dong2),"",OFFSET(TH!F$1,SMALL(Dong2,ROWS($1:52)),))</f>
        <v/>
      </c>
      <c r="E63" s="203" t="str">
        <f ca="1">IF(ROWS($1:52)&gt;COUNT(Dong2),"",IF(OFFSET(TH!O$1,SMALL(Dong2,ROWS($1:52)),)=$I$6,OFFSET(TH!N$1,SMALL(Dong2,ROWS($1:52)),),OFFSET(TH!O$1,SMALL(Dong2,ROWS($1:52)),)))</f>
        <v/>
      </c>
      <c r="F63" s="961" t="str">
        <f ca="1">IF(ROWS($1:52)&gt;COUNT(Dong2),"",IF(AND(IF($M$9="Q4",LEFT(OFFSET(TH!G$1,SMALL(Dong2,ROWS($1:52)),),2)=$M$9,LEFT(OFFSET(TH!G$1,SMALL(Dong2,ROWS($1:52)),),3)=$M$9),OFFSET(TH!N$1,SMALL(Dong2,ROWS($1:52)),)=$I$6),IF($I$6="1121",OFFSET(TH!M$1,SMALL(Dong2,ROWS($1:52)),),OFFSET(TH!K$1,SMALL(Dong2,ROWS($1:52)),)),0))</f>
        <v/>
      </c>
      <c r="G63" s="961" t="str">
        <f ca="1">IF(ROWS($1:52)&gt;COUNT(Dong2),"",IF(AND(IF($M$9="Q4",RIGHT(OFFSET(TH!G$1,SMALL(Dong2,ROWS($1:52)),),2)=$M$9,RIGHT(OFFSET(TH!G$1,SMALL(Dong2,ROWS($1:52)),),3)=$M$9),OFFSET(TH!O$1,SMALL(Dong2,ROWS($1:52)),)=$I$6),IF($I$6="1121",OFFSET(TH!M$1,SMALL(Dong2,ROWS($1:52)),),OFFSET(TH!K$1,SMALL(Dong2,ROWS($1:52)),)),0))</f>
        <v/>
      </c>
      <c r="H63" s="958">
        <f t="shared" ca="1" si="2"/>
        <v>0</v>
      </c>
      <c r="I63" s="958"/>
    </row>
    <row r="64" spans="1:9" s="192" customFormat="1" ht="20.25" customHeight="1">
      <c r="A64" s="203" t="str">
        <f ca="1">IF(ROWS($1:53)&gt;COUNT(Dong2),"",OFFSET(TH!C$1,SMALL(Dong2,ROWS($1:53)),))</f>
        <v/>
      </c>
      <c r="B64" s="203" t="str">
        <f ca="1">IF(ROWS($1:53)&gt;COUNT(Dong2),"",OFFSET(TH!D$1,SMALL(Dong2,ROWS($1:53)),))</f>
        <v/>
      </c>
      <c r="C64" s="203" t="str">
        <f ca="1">IF(ROWS($1:53)&gt;COUNT(Dong2),"",OFFSET(TH!E$1,SMALL(Dong2,ROWS($1:53)),))</f>
        <v/>
      </c>
      <c r="D64" s="389" t="str">
        <f ca="1">IF(ROWS($1:53)&gt;COUNT(Dong2),"",OFFSET(TH!F$1,SMALL(Dong2,ROWS($1:53)),))</f>
        <v/>
      </c>
      <c r="E64" s="203" t="str">
        <f ca="1">IF(ROWS($1:53)&gt;COUNT(Dong2),"",IF(OFFSET(TH!O$1,SMALL(Dong2,ROWS($1:53)),)=$I$6,OFFSET(TH!N$1,SMALL(Dong2,ROWS($1:53)),),OFFSET(TH!O$1,SMALL(Dong2,ROWS($1:53)),)))</f>
        <v/>
      </c>
      <c r="F64" s="961" t="str">
        <f ca="1">IF(ROWS($1:53)&gt;COUNT(Dong2),"",IF(AND(IF($M$9="Q4",LEFT(OFFSET(TH!G$1,SMALL(Dong2,ROWS($1:53)),),2)=$M$9,LEFT(OFFSET(TH!G$1,SMALL(Dong2,ROWS($1:53)),),3)=$M$9),OFFSET(TH!N$1,SMALL(Dong2,ROWS($1:53)),)=$I$6),IF($I$6="1121",OFFSET(TH!M$1,SMALL(Dong2,ROWS($1:53)),),OFFSET(TH!K$1,SMALL(Dong2,ROWS($1:53)),)),0))</f>
        <v/>
      </c>
      <c r="G64" s="961" t="str">
        <f ca="1">IF(ROWS($1:53)&gt;COUNT(Dong2),"",IF(AND(IF($M$9="Q4",RIGHT(OFFSET(TH!G$1,SMALL(Dong2,ROWS($1:53)),),2)=$M$9,RIGHT(OFFSET(TH!G$1,SMALL(Dong2,ROWS($1:53)),),3)=$M$9),OFFSET(TH!O$1,SMALL(Dong2,ROWS($1:53)),)=$I$6),IF($I$6="1121",OFFSET(TH!M$1,SMALL(Dong2,ROWS($1:53)),),OFFSET(TH!K$1,SMALL(Dong2,ROWS($1:53)),)),0))</f>
        <v/>
      </c>
      <c r="H64" s="958">
        <f t="shared" ca="1" si="2"/>
        <v>0</v>
      </c>
      <c r="I64" s="958"/>
    </row>
    <row r="65" spans="1:9" s="192" customFormat="1" ht="20.25" customHeight="1">
      <c r="A65" s="203" t="str">
        <f ca="1">IF(ROWS($1:54)&gt;COUNT(Dong2),"",OFFSET(TH!C$1,SMALL(Dong2,ROWS($1:54)),))</f>
        <v/>
      </c>
      <c r="B65" s="203" t="str">
        <f ca="1">IF(ROWS($1:54)&gt;COUNT(Dong2),"",OFFSET(TH!D$1,SMALL(Dong2,ROWS($1:54)),))</f>
        <v/>
      </c>
      <c r="C65" s="203" t="str">
        <f ca="1">IF(ROWS($1:54)&gt;COUNT(Dong2),"",OFFSET(TH!E$1,SMALL(Dong2,ROWS($1:54)),))</f>
        <v/>
      </c>
      <c r="D65" s="389" t="str">
        <f ca="1">IF(ROWS($1:54)&gt;COUNT(Dong2),"",OFFSET(TH!F$1,SMALL(Dong2,ROWS($1:54)),))</f>
        <v/>
      </c>
      <c r="E65" s="203" t="str">
        <f ca="1">IF(ROWS($1:54)&gt;COUNT(Dong2),"",IF(OFFSET(TH!O$1,SMALL(Dong2,ROWS($1:54)),)=$I$6,OFFSET(TH!N$1,SMALL(Dong2,ROWS($1:54)),),OFFSET(TH!O$1,SMALL(Dong2,ROWS($1:54)),)))</f>
        <v/>
      </c>
      <c r="F65" s="961" t="str">
        <f ca="1">IF(ROWS($1:54)&gt;COUNT(Dong2),"",IF(AND(IF($M$9="Q4",LEFT(OFFSET(TH!G$1,SMALL(Dong2,ROWS($1:54)),),2)=$M$9,LEFT(OFFSET(TH!G$1,SMALL(Dong2,ROWS($1:54)),),3)=$M$9),OFFSET(TH!N$1,SMALL(Dong2,ROWS($1:54)),)=$I$6),IF($I$6="1121",OFFSET(TH!M$1,SMALL(Dong2,ROWS($1:54)),),OFFSET(TH!K$1,SMALL(Dong2,ROWS($1:54)),)),0))</f>
        <v/>
      </c>
      <c r="G65" s="961" t="str">
        <f ca="1">IF(ROWS($1:54)&gt;COUNT(Dong2),"",IF(AND(IF($M$9="Q4",RIGHT(OFFSET(TH!G$1,SMALL(Dong2,ROWS($1:54)),),2)=$M$9,RIGHT(OFFSET(TH!G$1,SMALL(Dong2,ROWS($1:54)),),3)=$M$9),OFFSET(TH!O$1,SMALL(Dong2,ROWS($1:54)),)=$I$6),IF($I$6="1121",OFFSET(TH!M$1,SMALL(Dong2,ROWS($1:54)),),OFFSET(TH!K$1,SMALL(Dong2,ROWS($1:54)),)),0))</f>
        <v/>
      </c>
      <c r="H65" s="958">
        <f t="shared" ca="1" si="2"/>
        <v>0</v>
      </c>
      <c r="I65" s="958"/>
    </row>
    <row r="66" spans="1:9" s="192" customFormat="1" ht="20.25" customHeight="1">
      <c r="A66" s="203" t="str">
        <f ca="1">IF(ROWS($1:55)&gt;COUNT(Dong2),"",OFFSET(TH!C$1,SMALL(Dong2,ROWS($1:55)),))</f>
        <v/>
      </c>
      <c r="B66" s="203" t="str">
        <f ca="1">IF(ROWS($1:55)&gt;COUNT(Dong2),"",OFFSET(TH!D$1,SMALL(Dong2,ROWS($1:55)),))</f>
        <v/>
      </c>
      <c r="C66" s="203" t="str">
        <f ca="1">IF(ROWS($1:55)&gt;COUNT(Dong2),"",OFFSET(TH!E$1,SMALL(Dong2,ROWS($1:55)),))</f>
        <v/>
      </c>
      <c r="D66" s="389" t="str">
        <f ca="1">IF(ROWS($1:55)&gt;COUNT(Dong2),"",OFFSET(TH!F$1,SMALL(Dong2,ROWS($1:55)),))</f>
        <v/>
      </c>
      <c r="E66" s="203" t="str">
        <f ca="1">IF(ROWS($1:55)&gt;COUNT(Dong2),"",IF(OFFSET(TH!O$1,SMALL(Dong2,ROWS($1:55)),)=$I$6,OFFSET(TH!N$1,SMALL(Dong2,ROWS($1:55)),),OFFSET(TH!O$1,SMALL(Dong2,ROWS($1:55)),)))</f>
        <v/>
      </c>
      <c r="F66" s="961" t="str">
        <f ca="1">IF(ROWS($1:55)&gt;COUNT(Dong2),"",IF(AND(IF($M$9="Q4",LEFT(OFFSET(TH!G$1,SMALL(Dong2,ROWS($1:55)),),2)=$M$9,LEFT(OFFSET(TH!G$1,SMALL(Dong2,ROWS($1:55)),),3)=$M$9),OFFSET(TH!N$1,SMALL(Dong2,ROWS($1:55)),)=$I$6),IF($I$6="1121",OFFSET(TH!M$1,SMALL(Dong2,ROWS($1:55)),),OFFSET(TH!K$1,SMALL(Dong2,ROWS($1:55)),)),0))</f>
        <v/>
      </c>
      <c r="G66" s="961" t="str">
        <f ca="1">IF(ROWS($1:55)&gt;COUNT(Dong2),"",IF(AND(IF($M$9="Q4",RIGHT(OFFSET(TH!G$1,SMALL(Dong2,ROWS($1:55)),),2)=$M$9,RIGHT(OFFSET(TH!G$1,SMALL(Dong2,ROWS($1:55)),),3)=$M$9),OFFSET(TH!O$1,SMALL(Dong2,ROWS($1:55)),)=$I$6),IF($I$6="1121",OFFSET(TH!M$1,SMALL(Dong2,ROWS($1:55)),),OFFSET(TH!K$1,SMALL(Dong2,ROWS($1:55)),)),0))</f>
        <v/>
      </c>
      <c r="H66" s="958">
        <f t="shared" ca="1" si="2"/>
        <v>0</v>
      </c>
      <c r="I66" s="958"/>
    </row>
    <row r="67" spans="1:9" s="192" customFormat="1" ht="20.25" customHeight="1">
      <c r="A67" s="203" t="str">
        <f ca="1">IF(ROWS($1:56)&gt;COUNT(Dong2),"",OFFSET(TH!C$1,SMALL(Dong2,ROWS($1:56)),))</f>
        <v/>
      </c>
      <c r="B67" s="203" t="str">
        <f ca="1">IF(ROWS($1:56)&gt;COUNT(Dong2),"",OFFSET(TH!D$1,SMALL(Dong2,ROWS($1:56)),))</f>
        <v/>
      </c>
      <c r="C67" s="203" t="str">
        <f ca="1">IF(ROWS($1:56)&gt;COUNT(Dong2),"",OFFSET(TH!E$1,SMALL(Dong2,ROWS($1:56)),))</f>
        <v/>
      </c>
      <c r="D67" s="389" t="str">
        <f ca="1">IF(ROWS($1:56)&gt;COUNT(Dong2),"",OFFSET(TH!F$1,SMALL(Dong2,ROWS($1:56)),))</f>
        <v/>
      </c>
      <c r="E67" s="203" t="str">
        <f ca="1">IF(ROWS($1:56)&gt;COUNT(Dong2),"",IF(OFFSET(TH!O$1,SMALL(Dong2,ROWS($1:56)),)=$I$6,OFFSET(TH!N$1,SMALL(Dong2,ROWS($1:56)),),OFFSET(TH!O$1,SMALL(Dong2,ROWS($1:56)),)))</f>
        <v/>
      </c>
      <c r="F67" s="961" t="str">
        <f ca="1">IF(ROWS($1:56)&gt;COUNT(Dong2),"",IF(AND(IF($M$9="Q4",LEFT(OFFSET(TH!G$1,SMALL(Dong2,ROWS($1:56)),),2)=$M$9,LEFT(OFFSET(TH!G$1,SMALL(Dong2,ROWS($1:56)),),3)=$M$9),OFFSET(TH!N$1,SMALL(Dong2,ROWS($1:56)),)=$I$6),IF($I$6="1121",OFFSET(TH!M$1,SMALL(Dong2,ROWS($1:56)),),OFFSET(TH!K$1,SMALL(Dong2,ROWS($1:56)),)),0))</f>
        <v/>
      </c>
      <c r="G67" s="961" t="str">
        <f ca="1">IF(ROWS($1:56)&gt;COUNT(Dong2),"",IF(AND(IF($M$9="Q4",RIGHT(OFFSET(TH!G$1,SMALL(Dong2,ROWS($1:56)),),2)=$M$9,RIGHT(OFFSET(TH!G$1,SMALL(Dong2,ROWS($1:56)),),3)=$M$9),OFFSET(TH!O$1,SMALL(Dong2,ROWS($1:56)),)=$I$6),IF($I$6="1121",OFFSET(TH!M$1,SMALL(Dong2,ROWS($1:56)),),OFFSET(TH!K$1,SMALL(Dong2,ROWS($1:56)),)),0))</f>
        <v/>
      </c>
      <c r="H67" s="958">
        <f t="shared" ca="1" si="2"/>
        <v>0</v>
      </c>
      <c r="I67" s="958"/>
    </row>
    <row r="68" spans="1:9" s="192" customFormat="1" ht="20.25" customHeight="1">
      <c r="A68" s="203" t="str">
        <f ca="1">IF(ROWS($1:57)&gt;COUNT(Dong2),"",OFFSET(TH!C$1,SMALL(Dong2,ROWS($1:57)),))</f>
        <v/>
      </c>
      <c r="B68" s="203" t="str">
        <f ca="1">IF(ROWS($1:57)&gt;COUNT(Dong2),"",OFFSET(TH!D$1,SMALL(Dong2,ROWS($1:57)),))</f>
        <v/>
      </c>
      <c r="C68" s="203" t="str">
        <f ca="1">IF(ROWS($1:57)&gt;COUNT(Dong2),"",OFFSET(TH!E$1,SMALL(Dong2,ROWS($1:57)),))</f>
        <v/>
      </c>
      <c r="D68" s="389" t="str">
        <f ca="1">IF(ROWS($1:57)&gt;COUNT(Dong2),"",OFFSET(TH!F$1,SMALL(Dong2,ROWS($1:57)),))</f>
        <v/>
      </c>
      <c r="E68" s="203" t="str">
        <f ca="1">IF(ROWS($1:57)&gt;COUNT(Dong2),"",IF(OFFSET(TH!O$1,SMALL(Dong2,ROWS($1:57)),)=$I$6,OFFSET(TH!N$1,SMALL(Dong2,ROWS($1:57)),),OFFSET(TH!O$1,SMALL(Dong2,ROWS($1:57)),)))</f>
        <v/>
      </c>
      <c r="F68" s="961" t="str">
        <f ca="1">IF(ROWS($1:57)&gt;COUNT(Dong2),"",IF(AND(IF($M$9="Q4",LEFT(OFFSET(TH!G$1,SMALL(Dong2,ROWS($1:57)),),2)=$M$9,LEFT(OFFSET(TH!G$1,SMALL(Dong2,ROWS($1:57)),),3)=$M$9),OFFSET(TH!N$1,SMALL(Dong2,ROWS($1:57)),)=$I$6),IF($I$6="1121",OFFSET(TH!M$1,SMALL(Dong2,ROWS($1:57)),),OFFSET(TH!K$1,SMALL(Dong2,ROWS($1:57)),)),0))</f>
        <v/>
      </c>
      <c r="G68" s="961" t="str">
        <f ca="1">IF(ROWS($1:57)&gt;COUNT(Dong2),"",IF(AND(IF($M$9="Q4",RIGHT(OFFSET(TH!G$1,SMALL(Dong2,ROWS($1:57)),),2)=$M$9,RIGHT(OFFSET(TH!G$1,SMALL(Dong2,ROWS($1:57)),),3)=$M$9),OFFSET(TH!O$1,SMALL(Dong2,ROWS($1:57)),)=$I$6),IF($I$6="1121",OFFSET(TH!M$1,SMALL(Dong2,ROWS($1:57)),),OFFSET(TH!K$1,SMALL(Dong2,ROWS($1:57)),)),0))</f>
        <v/>
      </c>
      <c r="H68" s="958">
        <f t="shared" ca="1" si="2"/>
        <v>0</v>
      </c>
      <c r="I68" s="958"/>
    </row>
    <row r="69" spans="1:9" s="192" customFormat="1" ht="20.25" customHeight="1">
      <c r="A69" s="203" t="str">
        <f ca="1">IF(ROWS($1:58)&gt;COUNT(Dong2),"",OFFSET(TH!C$1,SMALL(Dong2,ROWS($1:58)),))</f>
        <v/>
      </c>
      <c r="B69" s="203" t="str">
        <f ca="1">IF(ROWS($1:58)&gt;COUNT(Dong2),"",OFFSET(TH!D$1,SMALL(Dong2,ROWS($1:58)),))</f>
        <v/>
      </c>
      <c r="C69" s="203" t="str">
        <f ca="1">IF(ROWS($1:58)&gt;COUNT(Dong2),"",OFFSET(TH!E$1,SMALL(Dong2,ROWS($1:58)),))</f>
        <v/>
      </c>
      <c r="D69" s="389" t="str">
        <f ca="1">IF(ROWS($1:58)&gt;COUNT(Dong2),"",OFFSET(TH!F$1,SMALL(Dong2,ROWS($1:58)),))</f>
        <v/>
      </c>
      <c r="E69" s="203" t="str">
        <f ca="1">IF(ROWS($1:58)&gt;COUNT(Dong2),"",IF(OFFSET(TH!O$1,SMALL(Dong2,ROWS($1:58)),)=$I$6,OFFSET(TH!N$1,SMALL(Dong2,ROWS($1:58)),),OFFSET(TH!O$1,SMALL(Dong2,ROWS($1:58)),)))</f>
        <v/>
      </c>
      <c r="F69" s="961" t="str">
        <f ca="1">IF(ROWS($1:58)&gt;COUNT(Dong2),"",IF(AND(IF($M$9="Q4",LEFT(OFFSET(TH!G$1,SMALL(Dong2,ROWS($1:58)),),2)=$M$9,LEFT(OFFSET(TH!G$1,SMALL(Dong2,ROWS($1:58)),),3)=$M$9),OFFSET(TH!N$1,SMALL(Dong2,ROWS($1:58)),)=$I$6),IF($I$6="1121",OFFSET(TH!M$1,SMALL(Dong2,ROWS($1:58)),),OFFSET(TH!K$1,SMALL(Dong2,ROWS($1:58)),)),0))</f>
        <v/>
      </c>
      <c r="G69" s="961" t="str">
        <f ca="1">IF(ROWS($1:58)&gt;COUNT(Dong2),"",IF(AND(IF($M$9="Q4",RIGHT(OFFSET(TH!G$1,SMALL(Dong2,ROWS($1:58)),),2)=$M$9,RIGHT(OFFSET(TH!G$1,SMALL(Dong2,ROWS($1:58)),),3)=$M$9),OFFSET(TH!O$1,SMALL(Dong2,ROWS($1:58)),)=$I$6),IF($I$6="1121",OFFSET(TH!M$1,SMALL(Dong2,ROWS($1:58)),),OFFSET(TH!K$1,SMALL(Dong2,ROWS($1:58)),)),0))</f>
        <v/>
      </c>
      <c r="H69" s="958">
        <f t="shared" ca="1" si="2"/>
        <v>0</v>
      </c>
      <c r="I69" s="958"/>
    </row>
    <row r="70" spans="1:9" s="192" customFormat="1" ht="20.25" customHeight="1">
      <c r="A70" s="203" t="str">
        <f ca="1">IF(ROWS($1:59)&gt;COUNT(Dong2),"",OFFSET(TH!C$1,SMALL(Dong2,ROWS($1:59)),))</f>
        <v/>
      </c>
      <c r="B70" s="203" t="str">
        <f ca="1">IF(ROWS($1:59)&gt;COUNT(Dong2),"",OFFSET(TH!D$1,SMALL(Dong2,ROWS($1:59)),))</f>
        <v/>
      </c>
      <c r="C70" s="203" t="str">
        <f ca="1">IF(ROWS($1:59)&gt;COUNT(Dong2),"",OFFSET(TH!E$1,SMALL(Dong2,ROWS($1:59)),))</f>
        <v/>
      </c>
      <c r="D70" s="389" t="str">
        <f ca="1">IF(ROWS($1:59)&gt;COUNT(Dong2),"",OFFSET(TH!F$1,SMALL(Dong2,ROWS($1:59)),))</f>
        <v/>
      </c>
      <c r="E70" s="203" t="str">
        <f ca="1">IF(ROWS($1:59)&gt;COUNT(Dong2),"",IF(OFFSET(TH!O$1,SMALL(Dong2,ROWS($1:59)),)=$I$6,OFFSET(TH!N$1,SMALL(Dong2,ROWS($1:59)),),OFFSET(TH!O$1,SMALL(Dong2,ROWS($1:59)),)))</f>
        <v/>
      </c>
      <c r="F70" s="961" t="str">
        <f ca="1">IF(ROWS($1:59)&gt;COUNT(Dong2),"",IF(AND(IF($M$9="Q4",LEFT(OFFSET(TH!G$1,SMALL(Dong2,ROWS($1:59)),),2)=$M$9,LEFT(OFFSET(TH!G$1,SMALL(Dong2,ROWS($1:59)),),3)=$M$9),OFFSET(TH!N$1,SMALL(Dong2,ROWS($1:59)),)=$I$6),IF($I$6="1121",OFFSET(TH!M$1,SMALL(Dong2,ROWS($1:59)),),OFFSET(TH!K$1,SMALL(Dong2,ROWS($1:59)),)),0))</f>
        <v/>
      </c>
      <c r="G70" s="961" t="str">
        <f ca="1">IF(ROWS($1:59)&gt;COUNT(Dong2),"",IF(AND(IF($M$9="Q4",RIGHT(OFFSET(TH!G$1,SMALL(Dong2,ROWS($1:59)),),2)=$M$9,RIGHT(OFFSET(TH!G$1,SMALL(Dong2,ROWS($1:59)),),3)=$M$9),OFFSET(TH!O$1,SMALL(Dong2,ROWS($1:59)),)=$I$6),IF($I$6="1121",OFFSET(TH!M$1,SMALL(Dong2,ROWS($1:59)),),OFFSET(TH!K$1,SMALL(Dong2,ROWS($1:59)),)),0))</f>
        <v/>
      </c>
      <c r="H70" s="958">
        <f t="shared" ca="1" si="2"/>
        <v>0</v>
      </c>
      <c r="I70" s="958"/>
    </row>
    <row r="71" spans="1:9" s="192" customFormat="1" ht="20.25" customHeight="1">
      <c r="A71" s="203" t="str">
        <f ca="1">IF(ROWS($1:60)&gt;COUNT(Dong2),"",OFFSET(TH!C$1,SMALL(Dong2,ROWS($1:60)),))</f>
        <v/>
      </c>
      <c r="B71" s="203" t="str">
        <f ca="1">IF(ROWS($1:60)&gt;COUNT(Dong2),"",OFFSET(TH!D$1,SMALL(Dong2,ROWS($1:60)),))</f>
        <v/>
      </c>
      <c r="C71" s="203" t="str">
        <f ca="1">IF(ROWS($1:60)&gt;COUNT(Dong2),"",OFFSET(TH!E$1,SMALL(Dong2,ROWS($1:60)),))</f>
        <v/>
      </c>
      <c r="D71" s="389" t="str">
        <f ca="1">IF(ROWS($1:60)&gt;COUNT(Dong2),"",OFFSET(TH!F$1,SMALL(Dong2,ROWS($1:60)),))</f>
        <v/>
      </c>
      <c r="E71" s="203" t="str">
        <f ca="1">IF(ROWS($1:60)&gt;COUNT(Dong2),"",IF(OFFSET(TH!O$1,SMALL(Dong2,ROWS($1:60)),)=$I$6,OFFSET(TH!N$1,SMALL(Dong2,ROWS($1:60)),),OFFSET(TH!O$1,SMALL(Dong2,ROWS($1:60)),)))</f>
        <v/>
      </c>
      <c r="F71" s="961" t="str">
        <f ca="1">IF(ROWS($1:60)&gt;COUNT(Dong2),"",IF(AND(IF($M$9="Q4",LEFT(OFFSET(TH!G$1,SMALL(Dong2,ROWS($1:60)),),2)=$M$9,LEFT(OFFSET(TH!G$1,SMALL(Dong2,ROWS($1:60)),),3)=$M$9),OFFSET(TH!N$1,SMALL(Dong2,ROWS($1:60)),)=$I$6),IF($I$6="1121",OFFSET(TH!M$1,SMALL(Dong2,ROWS($1:60)),),OFFSET(TH!K$1,SMALL(Dong2,ROWS($1:60)),)),0))</f>
        <v/>
      </c>
      <c r="G71" s="961" t="str">
        <f ca="1">IF(ROWS($1:60)&gt;COUNT(Dong2),"",IF(AND(IF($M$9="Q4",RIGHT(OFFSET(TH!G$1,SMALL(Dong2,ROWS($1:60)),),2)=$M$9,RIGHT(OFFSET(TH!G$1,SMALL(Dong2,ROWS($1:60)),),3)=$M$9),OFFSET(TH!O$1,SMALL(Dong2,ROWS($1:60)),)=$I$6),IF($I$6="1121",OFFSET(TH!M$1,SMALL(Dong2,ROWS($1:60)),),OFFSET(TH!K$1,SMALL(Dong2,ROWS($1:60)),)),0))</f>
        <v/>
      </c>
      <c r="H71" s="958">
        <f t="shared" ca="1" si="2"/>
        <v>0</v>
      </c>
      <c r="I71" s="958"/>
    </row>
    <row r="72" spans="1:9" s="192" customFormat="1" ht="20.25" customHeight="1">
      <c r="A72" s="203" t="str">
        <f ca="1">IF(ROWS($1:61)&gt;COUNT(Dong2),"",OFFSET(TH!C$1,SMALL(Dong2,ROWS($1:61)),))</f>
        <v/>
      </c>
      <c r="B72" s="203" t="str">
        <f ca="1">IF(ROWS($1:61)&gt;COUNT(Dong2),"",OFFSET(TH!D$1,SMALL(Dong2,ROWS($1:61)),))</f>
        <v/>
      </c>
      <c r="C72" s="203" t="str">
        <f ca="1">IF(ROWS($1:61)&gt;COUNT(Dong2),"",OFFSET(TH!E$1,SMALL(Dong2,ROWS($1:61)),))</f>
        <v/>
      </c>
      <c r="D72" s="389" t="str">
        <f ca="1">IF(ROWS($1:61)&gt;COUNT(Dong2),"",OFFSET(TH!F$1,SMALL(Dong2,ROWS($1:61)),))</f>
        <v/>
      </c>
      <c r="E72" s="203" t="str">
        <f ca="1">IF(ROWS($1:61)&gt;COUNT(Dong2),"",IF(OFFSET(TH!O$1,SMALL(Dong2,ROWS($1:61)),)=$I$6,OFFSET(TH!N$1,SMALL(Dong2,ROWS($1:61)),),OFFSET(TH!O$1,SMALL(Dong2,ROWS($1:61)),)))</f>
        <v/>
      </c>
      <c r="F72" s="961" t="str">
        <f ca="1">IF(ROWS($1:61)&gt;COUNT(Dong2),"",IF(AND(IF($M$9="Q4",LEFT(OFFSET(TH!G$1,SMALL(Dong2,ROWS($1:61)),),2)=$M$9,LEFT(OFFSET(TH!G$1,SMALL(Dong2,ROWS($1:61)),),3)=$M$9),OFFSET(TH!N$1,SMALL(Dong2,ROWS($1:61)),)=$I$6),IF($I$6="1121",OFFSET(TH!M$1,SMALL(Dong2,ROWS($1:61)),),OFFSET(TH!K$1,SMALL(Dong2,ROWS($1:61)),)),0))</f>
        <v/>
      </c>
      <c r="G72" s="961" t="str">
        <f ca="1">IF(ROWS($1:61)&gt;COUNT(Dong2),"",IF(AND(IF($M$9="Q4",RIGHT(OFFSET(TH!G$1,SMALL(Dong2,ROWS($1:61)),),2)=$M$9,RIGHT(OFFSET(TH!G$1,SMALL(Dong2,ROWS($1:61)),),3)=$M$9),OFFSET(TH!O$1,SMALL(Dong2,ROWS($1:61)),)=$I$6),IF($I$6="1121",OFFSET(TH!M$1,SMALL(Dong2,ROWS($1:61)),),OFFSET(TH!K$1,SMALL(Dong2,ROWS($1:61)),)),0))</f>
        <v/>
      </c>
      <c r="H72" s="958">
        <f t="shared" ca="1" si="2"/>
        <v>0</v>
      </c>
      <c r="I72" s="958"/>
    </row>
    <row r="73" spans="1:9" s="192" customFormat="1" ht="20.25" customHeight="1">
      <c r="A73" s="203" t="str">
        <f ca="1">IF(ROWS($1:62)&gt;COUNT(Dong2),"",OFFSET(TH!C$1,SMALL(Dong2,ROWS($1:62)),))</f>
        <v/>
      </c>
      <c r="B73" s="203" t="str">
        <f ca="1">IF(ROWS($1:62)&gt;COUNT(Dong2),"",OFFSET(TH!D$1,SMALL(Dong2,ROWS($1:62)),))</f>
        <v/>
      </c>
      <c r="C73" s="203" t="str">
        <f ca="1">IF(ROWS($1:62)&gt;COUNT(Dong2),"",OFFSET(TH!E$1,SMALL(Dong2,ROWS($1:62)),))</f>
        <v/>
      </c>
      <c r="D73" s="389" t="str">
        <f ca="1">IF(ROWS($1:62)&gt;COUNT(Dong2),"",OFFSET(TH!F$1,SMALL(Dong2,ROWS($1:62)),))</f>
        <v/>
      </c>
      <c r="E73" s="203" t="str">
        <f ca="1">IF(ROWS($1:62)&gt;COUNT(Dong2),"",IF(OFFSET(TH!O$1,SMALL(Dong2,ROWS($1:62)),)=$I$6,OFFSET(TH!N$1,SMALL(Dong2,ROWS($1:62)),),OFFSET(TH!O$1,SMALL(Dong2,ROWS($1:62)),)))</f>
        <v/>
      </c>
      <c r="F73" s="961" t="str">
        <f ca="1">IF(ROWS($1:62)&gt;COUNT(Dong2),"",IF(AND(IF($M$9="Q4",LEFT(OFFSET(TH!G$1,SMALL(Dong2,ROWS($1:62)),),2)=$M$9,LEFT(OFFSET(TH!G$1,SMALL(Dong2,ROWS($1:62)),),3)=$M$9),OFFSET(TH!N$1,SMALL(Dong2,ROWS($1:62)),)=$I$6),IF($I$6="1121",OFFSET(TH!M$1,SMALL(Dong2,ROWS($1:62)),),OFFSET(TH!K$1,SMALL(Dong2,ROWS($1:62)),)),0))</f>
        <v/>
      </c>
      <c r="G73" s="961" t="str">
        <f ca="1">IF(ROWS($1:62)&gt;COUNT(Dong2),"",IF(AND(IF($M$9="Q4",RIGHT(OFFSET(TH!G$1,SMALL(Dong2,ROWS($1:62)),),2)=$M$9,RIGHT(OFFSET(TH!G$1,SMALL(Dong2,ROWS($1:62)),),3)=$M$9),OFFSET(TH!O$1,SMALL(Dong2,ROWS($1:62)),)=$I$6),IF($I$6="1121",OFFSET(TH!M$1,SMALL(Dong2,ROWS($1:62)),),OFFSET(TH!K$1,SMALL(Dong2,ROWS($1:62)),)),0))</f>
        <v/>
      </c>
      <c r="H73" s="958">
        <f t="shared" ca="1" si="2"/>
        <v>0</v>
      </c>
      <c r="I73" s="958"/>
    </row>
    <row r="74" spans="1:9" s="192" customFormat="1" ht="20.25" customHeight="1">
      <c r="A74" s="203" t="str">
        <f ca="1">IF(ROWS($1:63)&gt;COUNT(Dong2),"",OFFSET(TH!C$1,SMALL(Dong2,ROWS($1:63)),))</f>
        <v/>
      </c>
      <c r="B74" s="203" t="str">
        <f ca="1">IF(ROWS($1:63)&gt;COUNT(Dong2),"",OFFSET(TH!D$1,SMALL(Dong2,ROWS($1:63)),))</f>
        <v/>
      </c>
      <c r="C74" s="203" t="str">
        <f ca="1">IF(ROWS($1:63)&gt;COUNT(Dong2),"",OFFSET(TH!E$1,SMALL(Dong2,ROWS($1:63)),))</f>
        <v/>
      </c>
      <c r="D74" s="389" t="str">
        <f ca="1">IF(ROWS($1:63)&gt;COUNT(Dong2),"",OFFSET(TH!F$1,SMALL(Dong2,ROWS($1:63)),))</f>
        <v/>
      </c>
      <c r="E74" s="203" t="str">
        <f ca="1">IF(ROWS($1:63)&gt;COUNT(Dong2),"",IF(OFFSET(TH!O$1,SMALL(Dong2,ROWS($1:63)),)=$I$6,OFFSET(TH!N$1,SMALL(Dong2,ROWS($1:63)),),OFFSET(TH!O$1,SMALL(Dong2,ROWS($1:63)),)))</f>
        <v/>
      </c>
      <c r="F74" s="961" t="str">
        <f ca="1">IF(ROWS($1:63)&gt;COUNT(Dong2),"",IF(AND(IF($M$9="Q4",LEFT(OFFSET(TH!G$1,SMALL(Dong2,ROWS($1:63)),),2)=$M$9,LEFT(OFFSET(TH!G$1,SMALL(Dong2,ROWS($1:63)),),3)=$M$9),OFFSET(TH!N$1,SMALL(Dong2,ROWS($1:63)),)=$I$6),IF($I$6="1121",OFFSET(TH!M$1,SMALL(Dong2,ROWS($1:63)),),OFFSET(TH!K$1,SMALL(Dong2,ROWS($1:63)),)),0))</f>
        <v/>
      </c>
      <c r="G74" s="961" t="str">
        <f ca="1">IF(ROWS($1:63)&gt;COUNT(Dong2),"",IF(AND(IF($M$9="Q4",RIGHT(OFFSET(TH!G$1,SMALL(Dong2,ROWS($1:63)),),2)=$M$9,RIGHT(OFFSET(TH!G$1,SMALL(Dong2,ROWS($1:63)),),3)=$M$9),OFFSET(TH!O$1,SMALL(Dong2,ROWS($1:63)),)=$I$6),IF($I$6="1121",OFFSET(TH!M$1,SMALL(Dong2,ROWS($1:63)),),OFFSET(TH!K$1,SMALL(Dong2,ROWS($1:63)),)),0))</f>
        <v/>
      </c>
      <c r="H74" s="958">
        <f t="shared" ca="1" si="2"/>
        <v>0</v>
      </c>
      <c r="I74" s="958"/>
    </row>
    <row r="75" spans="1:9" s="192" customFormat="1" ht="20.25" customHeight="1">
      <c r="A75" s="203" t="str">
        <f ca="1">IF(ROWS($1:64)&gt;COUNT(Dong2),"",OFFSET(TH!C$1,SMALL(Dong2,ROWS($1:64)),))</f>
        <v/>
      </c>
      <c r="B75" s="203" t="str">
        <f ca="1">IF(ROWS($1:64)&gt;COUNT(Dong2),"",OFFSET(TH!D$1,SMALL(Dong2,ROWS($1:64)),))</f>
        <v/>
      </c>
      <c r="C75" s="203" t="str">
        <f ca="1">IF(ROWS($1:64)&gt;COUNT(Dong2),"",OFFSET(TH!E$1,SMALL(Dong2,ROWS($1:64)),))</f>
        <v/>
      </c>
      <c r="D75" s="389" t="str">
        <f ca="1">IF(ROWS($1:64)&gt;COUNT(Dong2),"",OFFSET(TH!F$1,SMALL(Dong2,ROWS($1:64)),))</f>
        <v/>
      </c>
      <c r="E75" s="203" t="str">
        <f ca="1">IF(ROWS($1:64)&gt;COUNT(Dong2),"",IF(OFFSET(TH!O$1,SMALL(Dong2,ROWS($1:64)),)=$I$6,OFFSET(TH!N$1,SMALL(Dong2,ROWS($1:64)),),OFFSET(TH!O$1,SMALL(Dong2,ROWS($1:64)),)))</f>
        <v/>
      </c>
      <c r="F75" s="961" t="str">
        <f ca="1">IF(ROWS($1:64)&gt;COUNT(Dong2),"",IF(AND(IF($M$9="Q4",LEFT(OFFSET(TH!G$1,SMALL(Dong2,ROWS($1:64)),),2)=$M$9,LEFT(OFFSET(TH!G$1,SMALL(Dong2,ROWS($1:64)),),3)=$M$9),OFFSET(TH!N$1,SMALL(Dong2,ROWS($1:64)),)=$I$6),IF($I$6="1121",OFFSET(TH!M$1,SMALL(Dong2,ROWS($1:64)),),OFFSET(TH!K$1,SMALL(Dong2,ROWS($1:64)),)),0))</f>
        <v/>
      </c>
      <c r="G75" s="961" t="str">
        <f ca="1">IF(ROWS($1:64)&gt;COUNT(Dong2),"",IF(AND(IF($M$9="Q4",RIGHT(OFFSET(TH!G$1,SMALL(Dong2,ROWS($1:64)),),2)=$M$9,RIGHT(OFFSET(TH!G$1,SMALL(Dong2,ROWS($1:64)),),3)=$M$9),OFFSET(TH!O$1,SMALL(Dong2,ROWS($1:64)),)=$I$6),IF($I$6="1121",OFFSET(TH!M$1,SMALL(Dong2,ROWS($1:64)),),OFFSET(TH!K$1,SMALL(Dong2,ROWS($1:64)),)),0))</f>
        <v/>
      </c>
      <c r="H75" s="958">
        <f t="shared" ca="1" si="2"/>
        <v>0</v>
      </c>
      <c r="I75" s="958"/>
    </row>
    <row r="76" spans="1:9" s="192" customFormat="1" ht="20.25" customHeight="1">
      <c r="A76" s="203" t="str">
        <f ca="1">IF(ROWS($1:65)&gt;COUNT(Dong2),"",OFFSET(TH!C$1,SMALL(Dong2,ROWS($1:65)),))</f>
        <v/>
      </c>
      <c r="B76" s="203" t="str">
        <f ca="1">IF(ROWS($1:65)&gt;COUNT(Dong2),"",OFFSET(TH!D$1,SMALL(Dong2,ROWS($1:65)),))</f>
        <v/>
      </c>
      <c r="C76" s="203" t="str">
        <f ca="1">IF(ROWS($1:65)&gt;COUNT(Dong2),"",OFFSET(TH!E$1,SMALL(Dong2,ROWS($1:65)),))</f>
        <v/>
      </c>
      <c r="D76" s="389" t="str">
        <f ca="1">IF(ROWS($1:65)&gt;COUNT(Dong2),"",OFFSET(TH!F$1,SMALL(Dong2,ROWS($1:65)),))</f>
        <v/>
      </c>
      <c r="E76" s="203" t="str">
        <f ca="1">IF(ROWS($1:65)&gt;COUNT(Dong2),"",IF(OFFSET(TH!O$1,SMALL(Dong2,ROWS($1:65)),)=$I$6,OFFSET(TH!N$1,SMALL(Dong2,ROWS($1:65)),),OFFSET(TH!O$1,SMALL(Dong2,ROWS($1:65)),)))</f>
        <v/>
      </c>
      <c r="F76" s="961" t="str">
        <f ca="1">IF(ROWS($1:65)&gt;COUNT(Dong2),"",IF(AND(IF($M$9="Q4",LEFT(OFFSET(TH!G$1,SMALL(Dong2,ROWS($1:65)),),2)=$M$9,LEFT(OFFSET(TH!G$1,SMALL(Dong2,ROWS($1:65)),),3)=$M$9),OFFSET(TH!N$1,SMALL(Dong2,ROWS($1:65)),)=$I$6),IF($I$6="1121",OFFSET(TH!M$1,SMALL(Dong2,ROWS($1:65)),),OFFSET(TH!K$1,SMALL(Dong2,ROWS($1:65)),)),0))</f>
        <v/>
      </c>
      <c r="G76" s="961" t="str">
        <f ca="1">IF(ROWS($1:65)&gt;COUNT(Dong2),"",IF(AND(IF($M$9="Q4",RIGHT(OFFSET(TH!G$1,SMALL(Dong2,ROWS($1:65)),),2)=$M$9,RIGHT(OFFSET(TH!G$1,SMALL(Dong2,ROWS($1:65)),),3)=$M$9),OFFSET(TH!O$1,SMALL(Dong2,ROWS($1:65)),)=$I$6),IF($I$6="1121",OFFSET(TH!M$1,SMALL(Dong2,ROWS($1:65)),),OFFSET(TH!K$1,SMALL(Dong2,ROWS($1:65)),)),0))</f>
        <v/>
      </c>
      <c r="H76" s="958">
        <f t="shared" ca="1" si="2"/>
        <v>0</v>
      </c>
      <c r="I76" s="958"/>
    </row>
    <row r="77" spans="1:9" s="192" customFormat="1" ht="20.25" customHeight="1">
      <c r="A77" s="203" t="str">
        <f ca="1">IF(ROWS($1:66)&gt;COUNT(Dong2),"",OFFSET(TH!C$1,SMALL(Dong2,ROWS($1:66)),))</f>
        <v/>
      </c>
      <c r="B77" s="203" t="str">
        <f ca="1">IF(ROWS($1:66)&gt;COUNT(Dong2),"",OFFSET(TH!D$1,SMALL(Dong2,ROWS($1:66)),))</f>
        <v/>
      </c>
      <c r="C77" s="203" t="str">
        <f ca="1">IF(ROWS($1:66)&gt;COUNT(Dong2),"",OFFSET(TH!E$1,SMALL(Dong2,ROWS($1:66)),))</f>
        <v/>
      </c>
      <c r="D77" s="389" t="str">
        <f ca="1">IF(ROWS($1:66)&gt;COUNT(Dong2),"",OFFSET(TH!F$1,SMALL(Dong2,ROWS($1:66)),))</f>
        <v/>
      </c>
      <c r="E77" s="203" t="str">
        <f ca="1">IF(ROWS($1:66)&gt;COUNT(Dong2),"",IF(OFFSET(TH!O$1,SMALL(Dong2,ROWS($1:66)),)=$I$6,OFFSET(TH!N$1,SMALL(Dong2,ROWS($1:66)),),OFFSET(TH!O$1,SMALL(Dong2,ROWS($1:66)),)))</f>
        <v/>
      </c>
      <c r="F77" s="961" t="str">
        <f ca="1">IF(ROWS($1:66)&gt;COUNT(Dong2),"",IF(AND(IF($M$9="Q4",LEFT(OFFSET(TH!G$1,SMALL(Dong2,ROWS($1:66)),),2)=$M$9,LEFT(OFFSET(TH!G$1,SMALL(Dong2,ROWS($1:66)),),3)=$M$9),OFFSET(TH!N$1,SMALL(Dong2,ROWS($1:66)),)=$I$6),IF($I$6="1121",OFFSET(TH!M$1,SMALL(Dong2,ROWS($1:66)),),OFFSET(TH!K$1,SMALL(Dong2,ROWS($1:66)),)),0))</f>
        <v/>
      </c>
      <c r="G77" s="961" t="str">
        <f ca="1">IF(ROWS($1:66)&gt;COUNT(Dong2),"",IF(AND(IF($M$9="Q4",RIGHT(OFFSET(TH!G$1,SMALL(Dong2,ROWS($1:66)),),2)=$M$9,RIGHT(OFFSET(TH!G$1,SMALL(Dong2,ROWS($1:66)),),3)=$M$9),OFFSET(TH!O$1,SMALL(Dong2,ROWS($1:66)),)=$I$6),IF($I$6="1121",OFFSET(TH!M$1,SMALL(Dong2,ROWS($1:66)),),OFFSET(TH!K$1,SMALL(Dong2,ROWS($1:66)),)),0))</f>
        <v/>
      </c>
      <c r="H77" s="958">
        <f t="shared" ca="1" si="2"/>
        <v>0</v>
      </c>
      <c r="I77" s="958"/>
    </row>
    <row r="78" spans="1:9" s="192" customFormat="1" ht="20.25" customHeight="1">
      <c r="A78" s="203" t="str">
        <f ca="1">IF(ROWS($1:67)&gt;COUNT(Dong2),"",OFFSET(TH!C$1,SMALL(Dong2,ROWS($1:67)),))</f>
        <v/>
      </c>
      <c r="B78" s="203" t="str">
        <f ca="1">IF(ROWS($1:67)&gt;COUNT(Dong2),"",OFFSET(TH!D$1,SMALL(Dong2,ROWS($1:67)),))</f>
        <v/>
      </c>
      <c r="C78" s="203" t="str">
        <f ca="1">IF(ROWS($1:67)&gt;COUNT(Dong2),"",OFFSET(TH!E$1,SMALL(Dong2,ROWS($1:67)),))</f>
        <v/>
      </c>
      <c r="D78" s="389" t="str">
        <f ca="1">IF(ROWS($1:67)&gt;COUNT(Dong2),"",OFFSET(TH!F$1,SMALL(Dong2,ROWS($1:67)),))</f>
        <v/>
      </c>
      <c r="E78" s="203" t="str">
        <f ca="1">IF(ROWS($1:67)&gt;COUNT(Dong2),"",IF(OFFSET(TH!O$1,SMALL(Dong2,ROWS($1:67)),)=$I$6,OFFSET(TH!N$1,SMALL(Dong2,ROWS($1:67)),),OFFSET(TH!O$1,SMALL(Dong2,ROWS($1:67)),)))</f>
        <v/>
      </c>
      <c r="F78" s="961" t="str">
        <f ca="1">IF(ROWS($1:67)&gt;COUNT(Dong2),"",IF(AND(IF($M$9="Q4",LEFT(OFFSET(TH!G$1,SMALL(Dong2,ROWS($1:67)),),2)=$M$9,LEFT(OFFSET(TH!G$1,SMALL(Dong2,ROWS($1:67)),),3)=$M$9),OFFSET(TH!N$1,SMALL(Dong2,ROWS($1:67)),)=$I$6),IF($I$6="1121",OFFSET(TH!M$1,SMALL(Dong2,ROWS($1:67)),),OFFSET(TH!K$1,SMALL(Dong2,ROWS($1:67)),)),0))</f>
        <v/>
      </c>
      <c r="G78" s="961" t="str">
        <f ca="1">IF(ROWS($1:67)&gt;COUNT(Dong2),"",IF(AND(IF($M$9="Q4",RIGHT(OFFSET(TH!G$1,SMALL(Dong2,ROWS($1:67)),),2)=$M$9,RIGHT(OFFSET(TH!G$1,SMALL(Dong2,ROWS($1:67)),),3)=$M$9),OFFSET(TH!O$1,SMALL(Dong2,ROWS($1:67)),)=$I$6),IF($I$6="1121",OFFSET(TH!M$1,SMALL(Dong2,ROWS($1:67)),),OFFSET(TH!K$1,SMALL(Dong2,ROWS($1:67)),)),0))</f>
        <v/>
      </c>
      <c r="H78" s="958">
        <f t="shared" ca="1" si="2"/>
        <v>0</v>
      </c>
      <c r="I78" s="958"/>
    </row>
    <row r="79" spans="1:9" s="192" customFormat="1" ht="20.25" customHeight="1">
      <c r="A79" s="203" t="str">
        <f ca="1">IF(ROWS($1:68)&gt;COUNT(Dong2),"",OFFSET(TH!C$1,SMALL(Dong2,ROWS($1:68)),))</f>
        <v/>
      </c>
      <c r="B79" s="203" t="str">
        <f ca="1">IF(ROWS($1:68)&gt;COUNT(Dong2),"",OFFSET(TH!D$1,SMALL(Dong2,ROWS($1:68)),))</f>
        <v/>
      </c>
      <c r="C79" s="203" t="str">
        <f ca="1">IF(ROWS($1:68)&gt;COUNT(Dong2),"",OFFSET(TH!E$1,SMALL(Dong2,ROWS($1:68)),))</f>
        <v/>
      </c>
      <c r="D79" s="389" t="str">
        <f ca="1">IF(ROWS($1:68)&gt;COUNT(Dong2),"",OFFSET(TH!F$1,SMALL(Dong2,ROWS($1:68)),))</f>
        <v/>
      </c>
      <c r="E79" s="203" t="str">
        <f ca="1">IF(ROWS($1:68)&gt;COUNT(Dong2),"",IF(OFFSET(TH!O$1,SMALL(Dong2,ROWS($1:68)),)=$I$6,OFFSET(TH!N$1,SMALL(Dong2,ROWS($1:68)),),OFFSET(TH!O$1,SMALL(Dong2,ROWS($1:68)),)))</f>
        <v/>
      </c>
      <c r="F79" s="961" t="str">
        <f ca="1">IF(ROWS($1:68)&gt;COUNT(Dong2),"",IF(AND(IF($M$9="Q4",LEFT(OFFSET(TH!G$1,SMALL(Dong2,ROWS($1:68)),),2)=$M$9,LEFT(OFFSET(TH!G$1,SMALL(Dong2,ROWS($1:68)),),3)=$M$9),OFFSET(TH!N$1,SMALL(Dong2,ROWS($1:68)),)=$I$6),IF($I$6="1121",OFFSET(TH!M$1,SMALL(Dong2,ROWS($1:68)),),OFFSET(TH!K$1,SMALL(Dong2,ROWS($1:68)),)),0))</f>
        <v/>
      </c>
      <c r="G79" s="961" t="str">
        <f ca="1">IF(ROWS($1:68)&gt;COUNT(Dong2),"",IF(AND(IF($M$9="Q4",RIGHT(OFFSET(TH!G$1,SMALL(Dong2,ROWS($1:68)),),2)=$M$9,RIGHT(OFFSET(TH!G$1,SMALL(Dong2,ROWS($1:68)),),3)=$M$9),OFFSET(TH!O$1,SMALL(Dong2,ROWS($1:68)),)=$I$6),IF($I$6="1121",OFFSET(TH!M$1,SMALL(Dong2,ROWS($1:68)),),OFFSET(TH!K$1,SMALL(Dong2,ROWS($1:68)),)),0))</f>
        <v/>
      </c>
      <c r="H79" s="958">
        <f t="shared" ca="1" si="2"/>
        <v>0</v>
      </c>
      <c r="I79" s="958"/>
    </row>
    <row r="80" spans="1:9" s="192" customFormat="1" ht="20.25" customHeight="1">
      <c r="A80" s="203" t="str">
        <f ca="1">IF(ROWS($1:69)&gt;COUNT(Dong2),"",OFFSET(TH!C$1,SMALL(Dong2,ROWS($1:69)),))</f>
        <v/>
      </c>
      <c r="B80" s="203" t="str">
        <f ca="1">IF(ROWS($1:69)&gt;COUNT(Dong2),"",OFFSET(TH!D$1,SMALL(Dong2,ROWS($1:69)),))</f>
        <v/>
      </c>
      <c r="C80" s="203" t="str">
        <f ca="1">IF(ROWS($1:69)&gt;COUNT(Dong2),"",OFFSET(TH!E$1,SMALL(Dong2,ROWS($1:69)),))</f>
        <v/>
      </c>
      <c r="D80" s="389" t="str">
        <f ca="1">IF(ROWS($1:69)&gt;COUNT(Dong2),"",OFFSET(TH!F$1,SMALL(Dong2,ROWS($1:69)),))</f>
        <v/>
      </c>
      <c r="E80" s="203" t="str">
        <f ca="1">IF(ROWS($1:69)&gt;COUNT(Dong2),"",IF(OFFSET(TH!O$1,SMALL(Dong2,ROWS($1:69)),)=$I$6,OFFSET(TH!N$1,SMALL(Dong2,ROWS($1:69)),),OFFSET(TH!O$1,SMALL(Dong2,ROWS($1:69)),)))</f>
        <v/>
      </c>
      <c r="F80" s="961" t="str">
        <f ca="1">IF(ROWS($1:69)&gt;COUNT(Dong2),"",IF(AND(IF($M$9="Q4",LEFT(OFFSET(TH!G$1,SMALL(Dong2,ROWS($1:69)),),2)=$M$9,LEFT(OFFSET(TH!G$1,SMALL(Dong2,ROWS($1:69)),),3)=$M$9),OFFSET(TH!N$1,SMALL(Dong2,ROWS($1:69)),)=$I$6),IF($I$6="1121",OFFSET(TH!M$1,SMALL(Dong2,ROWS($1:69)),),OFFSET(TH!K$1,SMALL(Dong2,ROWS($1:69)),)),0))</f>
        <v/>
      </c>
      <c r="G80" s="961" t="str">
        <f ca="1">IF(ROWS($1:69)&gt;COUNT(Dong2),"",IF(AND(IF($M$9="Q4",RIGHT(OFFSET(TH!G$1,SMALL(Dong2,ROWS($1:69)),),2)=$M$9,RIGHT(OFFSET(TH!G$1,SMALL(Dong2,ROWS($1:69)),),3)=$M$9),OFFSET(TH!O$1,SMALL(Dong2,ROWS($1:69)),)=$I$6),IF($I$6="1121",OFFSET(TH!M$1,SMALL(Dong2,ROWS($1:69)),),OFFSET(TH!K$1,SMALL(Dong2,ROWS($1:69)),)),0))</f>
        <v/>
      </c>
      <c r="H80" s="958">
        <f t="shared" ca="1" si="2"/>
        <v>0</v>
      </c>
      <c r="I80" s="958"/>
    </row>
    <row r="81" spans="1:12" s="192" customFormat="1" ht="20.25" customHeight="1">
      <c r="A81" s="203" t="str">
        <f ca="1">IF(ROWS($1:70)&gt;COUNT(Dong2),"",OFFSET(TH!C$1,SMALL(Dong2,ROWS($1:70)),))</f>
        <v/>
      </c>
      <c r="B81" s="203" t="str">
        <f ca="1">IF(ROWS($1:70)&gt;COUNT(Dong2),"",OFFSET(TH!D$1,SMALL(Dong2,ROWS($1:70)),))</f>
        <v/>
      </c>
      <c r="C81" s="203" t="str">
        <f ca="1">IF(ROWS($1:70)&gt;COUNT(Dong2),"",OFFSET(TH!E$1,SMALL(Dong2,ROWS($1:70)),))</f>
        <v/>
      </c>
      <c r="D81" s="389" t="str">
        <f ca="1">IF(ROWS($1:70)&gt;COUNT(Dong2),"",OFFSET(TH!F$1,SMALL(Dong2,ROWS($1:70)),))</f>
        <v/>
      </c>
      <c r="E81" s="203" t="str">
        <f ca="1">IF(ROWS($1:70)&gt;COUNT(Dong2),"",IF(OFFSET(TH!O$1,SMALL(Dong2,ROWS($1:70)),)=$I$6,OFFSET(TH!N$1,SMALL(Dong2,ROWS($1:70)),),OFFSET(TH!O$1,SMALL(Dong2,ROWS($1:70)),)))</f>
        <v/>
      </c>
      <c r="F81" s="961" t="str">
        <f ca="1">IF(ROWS($1:70)&gt;COUNT(Dong2),"",IF(AND(IF($M$9="Q4",LEFT(OFFSET(TH!G$1,SMALL(Dong2,ROWS($1:70)),),2)=$M$9,LEFT(OFFSET(TH!G$1,SMALL(Dong2,ROWS($1:70)),),3)=$M$9),OFFSET(TH!N$1,SMALL(Dong2,ROWS($1:70)),)=$I$6),IF($I$6="1121",OFFSET(TH!M$1,SMALL(Dong2,ROWS($1:70)),),OFFSET(TH!K$1,SMALL(Dong2,ROWS($1:70)),)),0))</f>
        <v/>
      </c>
      <c r="G81" s="961" t="str">
        <f ca="1">IF(ROWS($1:70)&gt;COUNT(Dong2),"",IF(AND(IF($M$9="Q4",RIGHT(OFFSET(TH!G$1,SMALL(Dong2,ROWS($1:70)),),2)=$M$9,RIGHT(OFFSET(TH!G$1,SMALL(Dong2,ROWS($1:70)),),3)=$M$9),OFFSET(TH!O$1,SMALL(Dong2,ROWS($1:70)),)=$I$6),IF($I$6="1121",OFFSET(TH!M$1,SMALL(Dong2,ROWS($1:70)),),OFFSET(TH!K$1,SMALL(Dong2,ROWS($1:70)),)),0))</f>
        <v/>
      </c>
      <c r="H81" s="958">
        <f t="shared" ca="1" si="2"/>
        <v>0</v>
      </c>
      <c r="I81" s="958"/>
    </row>
    <row r="82" spans="1:12" s="192" customFormat="1" ht="20.25" customHeight="1">
      <c r="A82" s="203" t="str">
        <f ca="1">IF(ROWS($1:71)&gt;COUNT(Dong2),"",OFFSET(TH!C$1,SMALL(Dong2,ROWS($1:71)),))</f>
        <v/>
      </c>
      <c r="B82" s="203" t="str">
        <f ca="1">IF(ROWS($1:71)&gt;COUNT(Dong2),"",OFFSET(TH!D$1,SMALL(Dong2,ROWS($1:71)),))</f>
        <v/>
      </c>
      <c r="C82" s="203" t="str">
        <f ca="1">IF(ROWS($1:71)&gt;COUNT(Dong2),"",OFFSET(TH!E$1,SMALL(Dong2,ROWS($1:71)),))</f>
        <v/>
      </c>
      <c r="D82" s="389" t="str">
        <f ca="1">IF(ROWS($1:71)&gt;COUNT(Dong2),"",OFFSET(TH!F$1,SMALL(Dong2,ROWS($1:71)),))</f>
        <v/>
      </c>
      <c r="E82" s="203" t="str">
        <f ca="1">IF(ROWS($1:71)&gt;COUNT(Dong2),"",IF(OFFSET(TH!O$1,SMALL(Dong2,ROWS($1:71)),)=$I$6,OFFSET(TH!N$1,SMALL(Dong2,ROWS($1:71)),),OFFSET(TH!O$1,SMALL(Dong2,ROWS($1:71)),)))</f>
        <v/>
      </c>
      <c r="F82" s="961" t="str">
        <f ca="1">IF(ROWS($1:71)&gt;COUNT(Dong2),"",IF(AND(IF($M$9="Q4",LEFT(OFFSET(TH!G$1,SMALL(Dong2,ROWS($1:71)),),2)=$M$9,LEFT(OFFSET(TH!G$1,SMALL(Dong2,ROWS($1:71)),),3)=$M$9),OFFSET(TH!N$1,SMALL(Dong2,ROWS($1:71)),)=$I$6),IF($I$6="1121",OFFSET(TH!M$1,SMALL(Dong2,ROWS($1:71)),),OFFSET(TH!K$1,SMALL(Dong2,ROWS($1:71)),)),0))</f>
        <v/>
      </c>
      <c r="G82" s="961" t="str">
        <f ca="1">IF(ROWS($1:71)&gt;COUNT(Dong2),"",IF(AND(IF($M$9="Q4",RIGHT(OFFSET(TH!G$1,SMALL(Dong2,ROWS($1:71)),),2)=$M$9,RIGHT(OFFSET(TH!G$1,SMALL(Dong2,ROWS($1:71)),),3)=$M$9),OFFSET(TH!O$1,SMALL(Dong2,ROWS($1:71)),)=$I$6),IF($I$6="1121",OFFSET(TH!M$1,SMALL(Dong2,ROWS($1:71)),),OFFSET(TH!K$1,SMALL(Dong2,ROWS($1:71)),)),0))</f>
        <v/>
      </c>
      <c r="H82" s="958">
        <f t="shared" ca="1" si="2"/>
        <v>0</v>
      </c>
      <c r="I82" s="958"/>
    </row>
    <row r="83" spans="1:12" s="192" customFormat="1" ht="20.25" customHeight="1">
      <c r="A83" s="203" t="str">
        <f ca="1">IF(ROWS($1:72)&gt;COUNT(Dong2),"",OFFSET(TH!C$1,SMALL(Dong2,ROWS($1:72)),))</f>
        <v/>
      </c>
      <c r="B83" s="203" t="str">
        <f ca="1">IF(ROWS($1:72)&gt;COUNT(Dong2),"",OFFSET(TH!D$1,SMALL(Dong2,ROWS($1:72)),))</f>
        <v/>
      </c>
      <c r="C83" s="203" t="str">
        <f ca="1">IF(ROWS($1:72)&gt;COUNT(Dong2),"",OFFSET(TH!E$1,SMALL(Dong2,ROWS($1:72)),))</f>
        <v/>
      </c>
      <c r="D83" s="389" t="str">
        <f ca="1">IF(ROWS($1:72)&gt;COUNT(Dong2),"",OFFSET(TH!F$1,SMALL(Dong2,ROWS($1:72)),))</f>
        <v/>
      </c>
      <c r="E83" s="203" t="str">
        <f ca="1">IF(ROWS($1:72)&gt;COUNT(Dong2),"",IF(OFFSET(TH!O$1,SMALL(Dong2,ROWS($1:72)),)=$I$6,OFFSET(TH!N$1,SMALL(Dong2,ROWS($1:72)),),OFFSET(TH!O$1,SMALL(Dong2,ROWS($1:72)),)))</f>
        <v/>
      </c>
      <c r="F83" s="961" t="str">
        <f ca="1">IF(ROWS($1:72)&gt;COUNT(Dong2),"",IF(AND(IF($M$9="Q4",LEFT(OFFSET(TH!G$1,SMALL(Dong2,ROWS($1:72)),),2)=$M$9,LEFT(OFFSET(TH!G$1,SMALL(Dong2,ROWS($1:72)),),3)=$M$9),OFFSET(TH!N$1,SMALL(Dong2,ROWS($1:72)),)=$I$6),IF($I$6="1121",OFFSET(TH!M$1,SMALL(Dong2,ROWS($1:72)),),OFFSET(TH!K$1,SMALL(Dong2,ROWS($1:72)),)),0))</f>
        <v/>
      </c>
      <c r="G83" s="961" t="str">
        <f ca="1">IF(ROWS($1:72)&gt;COUNT(Dong2),"",IF(AND(IF($M$9="Q4",RIGHT(OFFSET(TH!G$1,SMALL(Dong2,ROWS($1:72)),),2)=$M$9,RIGHT(OFFSET(TH!G$1,SMALL(Dong2,ROWS($1:72)),),3)=$M$9),OFFSET(TH!O$1,SMALL(Dong2,ROWS($1:72)),)=$I$6),IF($I$6="1121",OFFSET(TH!M$1,SMALL(Dong2,ROWS($1:72)),),OFFSET(TH!K$1,SMALL(Dong2,ROWS($1:72)),)),0))</f>
        <v/>
      </c>
      <c r="H83" s="958">
        <f t="shared" ref="H83:H84" ca="1" si="3">IF(A83&lt;&gt;"",H82+F83-G83,0)</f>
        <v>0</v>
      </c>
      <c r="I83" s="958"/>
    </row>
    <row r="84" spans="1:12" s="192" customFormat="1" ht="20.25" customHeight="1">
      <c r="A84" s="203" t="str">
        <f ca="1">IF(ROWS($1:73)&gt;COUNT(Dong2),"",OFFSET(TH!C$1,SMALL(Dong2,ROWS($1:73)),))</f>
        <v/>
      </c>
      <c r="B84" s="203" t="str">
        <f ca="1">IF(ROWS($1:73)&gt;COUNT(Dong2),"",OFFSET(TH!D$1,SMALL(Dong2,ROWS($1:73)),))</f>
        <v/>
      </c>
      <c r="C84" s="203" t="str">
        <f ca="1">IF(ROWS($1:73)&gt;COUNT(Dong2),"",OFFSET(TH!E$1,SMALL(Dong2,ROWS($1:73)),))</f>
        <v/>
      </c>
      <c r="D84" s="389" t="str">
        <f ca="1">IF(ROWS($1:73)&gt;COUNT(Dong2),"",OFFSET(TH!F$1,SMALL(Dong2,ROWS($1:73)),))</f>
        <v/>
      </c>
      <c r="E84" s="203" t="str">
        <f ca="1">IF(ROWS($1:73)&gt;COUNT(Dong2),"",IF(OFFSET(TH!O$1,SMALL(Dong2,ROWS($1:73)),)=$I$6,OFFSET(TH!N$1,SMALL(Dong2,ROWS($1:73)),),OFFSET(TH!O$1,SMALL(Dong2,ROWS($1:73)),)))</f>
        <v/>
      </c>
      <c r="F84" s="961" t="str">
        <f ca="1">IF(ROWS($1:73)&gt;COUNT(Dong2),"",IF(AND(IF($M$9="Q4",LEFT(OFFSET(TH!G$1,SMALL(Dong2,ROWS($1:73)),),2)=$M$9,LEFT(OFFSET(TH!G$1,SMALL(Dong2,ROWS($1:73)),),3)=$M$9),OFFSET(TH!N$1,SMALL(Dong2,ROWS($1:73)),)=$I$6),IF($I$6="1121",OFFSET(TH!M$1,SMALL(Dong2,ROWS($1:73)),),OFFSET(TH!K$1,SMALL(Dong2,ROWS($1:73)),)),0))</f>
        <v/>
      </c>
      <c r="G84" s="961" t="str">
        <f ca="1">IF(ROWS($1:73)&gt;COUNT(Dong2),"",IF(AND(IF($M$9="Q4",RIGHT(OFFSET(TH!G$1,SMALL(Dong2,ROWS($1:73)),),2)=$M$9,RIGHT(OFFSET(TH!G$1,SMALL(Dong2,ROWS($1:73)),),3)=$M$9),OFFSET(TH!O$1,SMALL(Dong2,ROWS($1:73)),)=$I$6),IF($I$6="1121",OFFSET(TH!M$1,SMALL(Dong2,ROWS($1:73)),),OFFSET(TH!K$1,SMALL(Dong2,ROWS($1:73)),)),0))</f>
        <v/>
      </c>
      <c r="H84" s="958">
        <f t="shared" ca="1" si="3"/>
        <v>0</v>
      </c>
      <c r="I84" s="958"/>
    </row>
    <row r="85" spans="1:12" s="192" customFormat="1" ht="20.25" customHeight="1">
      <c r="A85" s="203"/>
      <c r="B85" s="203"/>
      <c r="C85" s="203"/>
      <c r="D85" s="389"/>
      <c r="E85" s="203"/>
      <c r="F85" s="961"/>
      <c r="G85" s="961"/>
      <c r="H85" s="958"/>
      <c r="I85" s="958"/>
    </row>
    <row r="86" spans="1:12" s="202" customFormat="1" ht="20.25" customHeight="1">
      <c r="A86" s="204"/>
      <c r="B86" s="205"/>
      <c r="C86" s="204"/>
      <c r="D86" s="201" t="s">
        <v>158</v>
      </c>
      <c r="E86" s="206"/>
      <c r="F86" s="960">
        <f ca="1">SUM(F12:F85)</f>
        <v>57119.12</v>
      </c>
      <c r="G86" s="960">
        <f ca="1">SUM(G12:G85)</f>
        <v>154957.43</v>
      </c>
      <c r="H86" s="957">
        <f ca="1">H11+F86-G86</f>
        <v>1.9600000000209548</v>
      </c>
      <c r="I86" s="959"/>
    </row>
    <row r="87" spans="1:12" s="202" customFormat="1" ht="20.25" customHeight="1">
      <c r="A87" s="204"/>
      <c r="B87" s="205"/>
      <c r="C87" s="204"/>
      <c r="D87" s="201" t="s">
        <v>10</v>
      </c>
      <c r="E87" s="206"/>
      <c r="F87" s="207"/>
      <c r="G87" s="207"/>
      <c r="H87" s="957">
        <f ca="1">H86</f>
        <v>1.9600000000209548</v>
      </c>
      <c r="I87" s="206"/>
    </row>
    <row r="88" spans="1:12" s="202" customFormat="1" ht="22.5" customHeight="1">
      <c r="A88" s="427" t="s">
        <v>235</v>
      </c>
      <c r="B88" s="208"/>
      <c r="F88" s="209"/>
      <c r="H88" s="1182"/>
      <c r="I88" s="210"/>
    </row>
    <row r="89" spans="1:12" s="202" customFormat="1" ht="12.75">
      <c r="A89" s="229" t="str">
        <f ca="1">"- Ngày mở sổ: "&amp;DAY($A$12)&amp;"/"&amp;MONTH($A$12)&amp;"/ 2015"</f>
        <v>- Ngày mở sổ: 4/1/ 2015</v>
      </c>
      <c r="B89" s="211"/>
      <c r="F89" s="209"/>
      <c r="H89" s="1182"/>
      <c r="I89" s="210"/>
    </row>
    <row r="90" spans="1:12" s="202" customFormat="1" ht="12.75">
      <c r="A90" s="212"/>
      <c r="B90" s="213"/>
      <c r="C90" s="214"/>
      <c r="F90" s="209"/>
      <c r="G90" s="319" t="str">
        <f>"Ngày "&amp;IF(OR($K$9=4,$K$9=6,$K$9=9,$K$9=11),"30",IF($K$9=2,"28","31"))&amp;" tháng "&amp;$K$9&amp;"  năm  2016 "</f>
        <v xml:space="preserve">Ngày 31 tháng 1  năm  2016 </v>
      </c>
      <c r="H90" s="1182"/>
    </row>
    <row r="91" spans="1:12" s="202" customFormat="1" ht="17.25" customHeight="1">
      <c r="B91" s="215" t="s">
        <v>11</v>
      </c>
      <c r="D91" s="215" t="s">
        <v>12</v>
      </c>
      <c r="F91" s="216"/>
      <c r="G91" s="369" t="s">
        <v>131</v>
      </c>
      <c r="H91" s="1183"/>
      <c r="I91" s="390"/>
      <c r="J91" s="217"/>
      <c r="K91" s="212"/>
      <c r="L91" s="212"/>
    </row>
    <row r="92" spans="1:12" s="202" customFormat="1" ht="12.75">
      <c r="B92" s="370" t="s">
        <v>13</v>
      </c>
      <c r="D92" s="218" t="s">
        <v>13</v>
      </c>
      <c r="F92" s="219"/>
      <c r="G92" s="371" t="s">
        <v>161</v>
      </c>
      <c r="H92" s="1182"/>
      <c r="K92" s="220"/>
      <c r="L92" s="220"/>
    </row>
    <row r="99" spans="2:7">
      <c r="B99" s="378" t="s">
        <v>230</v>
      </c>
      <c r="G99" s="391" t="s">
        <v>125</v>
      </c>
    </row>
  </sheetData>
  <autoFilter ref="A10:K89"/>
  <mergeCells count="13">
    <mergeCell ref="I8:I9"/>
    <mergeCell ref="E6:G6"/>
    <mergeCell ref="A8:A9"/>
    <mergeCell ref="B8:C8"/>
    <mergeCell ref="D8:D9"/>
    <mergeCell ref="E8:E9"/>
    <mergeCell ref="F8:H8"/>
    <mergeCell ref="O6:O7"/>
    <mergeCell ref="P6:P7"/>
    <mergeCell ref="Q6:Q7"/>
    <mergeCell ref="R6:R7"/>
    <mergeCell ref="A4:I4"/>
    <mergeCell ref="A5:I5"/>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12" sqref="B12"/>
    </sheetView>
  </sheetViews>
  <sheetFormatPr defaultColWidth="8" defaultRowHeight="13.5"/>
  <cols>
    <col min="1" max="1" width="4.28515625" style="892" customWidth="1"/>
    <col min="2" max="2" width="34" style="892" customWidth="1"/>
    <col min="3" max="3" width="10.5703125" style="232" customWidth="1"/>
    <col min="4" max="4" width="14" style="893" customWidth="1"/>
    <col min="5" max="5" width="10.85546875" style="232" customWidth="1"/>
    <col min="6" max="6" width="14" style="893" customWidth="1"/>
    <col min="7" max="7" width="12.7109375" style="232" customWidth="1"/>
    <col min="8" max="8" width="15.7109375" style="893" customWidth="1"/>
    <col min="9" max="9" width="15.5703125" style="232" customWidth="1"/>
    <col min="10" max="10" width="14.7109375" style="893" customWidth="1"/>
    <col min="11" max="11" width="11.140625" style="232" customWidth="1"/>
    <col min="12" max="12" width="12.5703125" style="893" customWidth="1"/>
    <col min="13" max="13" width="14.5703125" style="232" customWidth="1"/>
    <col min="14" max="14" width="14.42578125" style="893" customWidth="1"/>
    <col min="15" max="16384" width="8" style="892"/>
  </cols>
  <sheetData>
    <row r="1" spans="1:14" ht="21" customHeight="1">
      <c r="A1" s="1257" t="s">
        <v>609</v>
      </c>
      <c r="B1" s="1257"/>
      <c r="C1" s="1257"/>
      <c r="D1" s="1257"/>
      <c r="E1" s="1257"/>
      <c r="F1" s="1257"/>
      <c r="G1" s="1257"/>
      <c r="H1" s="1257"/>
      <c r="I1" s="1257"/>
      <c r="J1" s="1257"/>
      <c r="K1" s="1257"/>
      <c r="L1" s="1257"/>
      <c r="M1" s="1257"/>
      <c r="N1" s="1257"/>
    </row>
    <row r="2" spans="1:14" s="10" customFormat="1" ht="15.75" customHeight="1">
      <c r="A2" s="1258" t="s">
        <v>37</v>
      </c>
      <c r="B2" s="1256" t="s">
        <v>38</v>
      </c>
      <c r="C2" s="905" t="s">
        <v>39</v>
      </c>
      <c r="D2" s="904"/>
      <c r="E2" s="905"/>
      <c r="F2" s="904"/>
      <c r="G2" s="905" t="s">
        <v>40</v>
      </c>
      <c r="H2" s="904"/>
      <c r="I2" s="905"/>
      <c r="J2" s="904"/>
      <c r="K2" s="905" t="s">
        <v>44</v>
      </c>
      <c r="L2" s="904"/>
      <c r="M2" s="905"/>
      <c r="N2" s="904"/>
    </row>
    <row r="3" spans="1:14" s="10" customFormat="1" ht="15.75" customHeight="1">
      <c r="A3" s="1258"/>
      <c r="B3" s="1256"/>
      <c r="C3" s="1256" t="s">
        <v>45</v>
      </c>
      <c r="D3" s="1256"/>
      <c r="E3" s="1256" t="s">
        <v>46</v>
      </c>
      <c r="F3" s="1256"/>
      <c r="G3" s="1256" t="s">
        <v>45</v>
      </c>
      <c r="H3" s="1256"/>
      <c r="I3" s="1256" t="s">
        <v>46</v>
      </c>
      <c r="J3" s="1256"/>
      <c r="K3" s="1256" t="s">
        <v>45</v>
      </c>
      <c r="L3" s="1256"/>
      <c r="M3" s="1256" t="s">
        <v>46</v>
      </c>
      <c r="N3" s="1256"/>
    </row>
    <row r="4" spans="1:14" s="10" customFormat="1" ht="15.75" customHeight="1">
      <c r="A4" s="1258"/>
      <c r="B4" s="1256"/>
      <c r="C4" s="1008" t="s">
        <v>247</v>
      </c>
      <c r="D4" s="903" t="s">
        <v>608</v>
      </c>
      <c r="E4" s="1008" t="s">
        <v>247</v>
      </c>
      <c r="F4" s="903" t="s">
        <v>608</v>
      </c>
      <c r="G4" s="1008" t="s">
        <v>247</v>
      </c>
      <c r="H4" s="903" t="s">
        <v>608</v>
      </c>
      <c r="I4" s="1008" t="s">
        <v>247</v>
      </c>
      <c r="J4" s="903" t="s">
        <v>608</v>
      </c>
      <c r="K4" s="1008" t="s">
        <v>247</v>
      </c>
      <c r="L4" s="903" t="s">
        <v>608</v>
      </c>
      <c r="M4" s="1008" t="s">
        <v>247</v>
      </c>
      <c r="N4" s="903" t="s">
        <v>608</v>
      </c>
    </row>
    <row r="5" spans="1:14" s="10" customFormat="1" ht="18" customHeight="1">
      <c r="A5" s="902">
        <f>IF(B5&lt;&gt;"",ROW()-4,"")</f>
        <v>1</v>
      </c>
      <c r="B5" s="1017" t="s">
        <v>607</v>
      </c>
      <c r="C5" s="1018">
        <v>0</v>
      </c>
      <c r="D5" s="1019">
        <v>0</v>
      </c>
      <c r="E5" s="1018">
        <v>0</v>
      </c>
      <c r="F5" s="1019">
        <v>0</v>
      </c>
      <c r="G5" s="1018">
        <f t="array" ref="G5">SUM(IF("131"&amp;B5=KHN&amp;KH,_TH))</f>
        <v>0</v>
      </c>
      <c r="H5" s="1019">
        <f t="array" ref="H5">SUM(IF("131"&amp;B5=KHN&amp;KH,TH))</f>
        <v>0</v>
      </c>
      <c r="I5" s="1018">
        <f t="array" ref="I5">SUM(IF("131"&amp;B5=KHC&amp;KH,_TH))</f>
        <v>0</v>
      </c>
      <c r="J5" s="1019">
        <f t="array" ref="J5">SUM(IF("131"&amp;B5=KHC&amp;KH,TH))</f>
        <v>0</v>
      </c>
      <c r="K5" s="901">
        <f t="shared" ref="K5:K11" si="0">ROUND(MAX(C5+G5-E5-I5,0),2)</f>
        <v>0</v>
      </c>
      <c r="L5" s="900">
        <f t="shared" ref="L5:L11" si="1">ROUND(MAX(D5+H5-F5-J5,0),0)</f>
        <v>0</v>
      </c>
      <c r="M5" s="901">
        <f t="shared" ref="M5:M11" si="2">ROUND(MAX(E5+I5-C5-G5,0),2)</f>
        <v>0</v>
      </c>
      <c r="N5" s="900">
        <f t="shared" ref="N5:N11" si="3">ROUND(MAX(F5+J5-D5-H5,0),0)</f>
        <v>0</v>
      </c>
    </row>
    <row r="6" spans="1:14" s="10" customFormat="1" ht="18" customHeight="1">
      <c r="A6" s="902">
        <f t="shared" ref="A6:A16" si="4">IF(B6&lt;&gt;"",ROW()-4,"")</f>
        <v>2</v>
      </c>
      <c r="B6" s="7" t="s">
        <v>606</v>
      </c>
      <c r="C6" s="898">
        <v>0</v>
      </c>
      <c r="D6" s="897">
        <v>0</v>
      </c>
      <c r="E6" s="898">
        <v>0</v>
      </c>
      <c r="F6" s="897">
        <v>0</v>
      </c>
      <c r="G6" s="898">
        <f t="array" ref="G6">SUM(IF("131"&amp;B6=KHN&amp;KH,_TH))</f>
        <v>0</v>
      </c>
      <c r="H6" s="897">
        <f t="array" ref="H6">SUM(IF("131"&amp;B6=KHN&amp;KH,TH))</f>
        <v>0</v>
      </c>
      <c r="I6" s="898">
        <f t="array" ref="I6">SUM(IF("131"&amp;B6=KHC&amp;KH,_TH))</f>
        <v>0</v>
      </c>
      <c r="J6" s="897">
        <f t="array" ref="J6">SUM(IF("131"&amp;B6=KHC&amp;KH,TH))</f>
        <v>0</v>
      </c>
      <c r="K6" s="896">
        <f t="shared" si="0"/>
        <v>0</v>
      </c>
      <c r="L6" s="422">
        <f t="shared" si="1"/>
        <v>0</v>
      </c>
      <c r="M6" s="896">
        <f t="shared" si="2"/>
        <v>0</v>
      </c>
      <c r="N6" s="422">
        <f t="shared" si="3"/>
        <v>0</v>
      </c>
    </row>
    <row r="7" spans="1:14" s="10" customFormat="1" ht="18" customHeight="1">
      <c r="A7" s="902">
        <f t="shared" si="4"/>
        <v>3</v>
      </c>
      <c r="B7" s="7" t="s">
        <v>605</v>
      </c>
      <c r="C7" s="898">
        <v>44066.42</v>
      </c>
      <c r="D7" s="897">
        <v>986296391</v>
      </c>
      <c r="E7" s="898">
        <v>0</v>
      </c>
      <c r="F7" s="897">
        <v>0</v>
      </c>
      <c r="G7" s="898">
        <f t="array" ref="G7">SUM(IF("131"&amp;B7=KHN&amp;KH,_TH))</f>
        <v>0</v>
      </c>
      <c r="H7" s="897">
        <f t="array" ref="H7">SUM(IF("131"&amp;B7=KHN&amp;KH,TH))</f>
        <v>0</v>
      </c>
      <c r="I7" s="898">
        <f t="array" ref="I7">SUM(IF("131"&amp;B7=KHC&amp;KH,_TH))</f>
        <v>0</v>
      </c>
      <c r="J7" s="897">
        <f t="array" ref="J7">SUM(IF("131"&amp;B7=KHC&amp;KH,TH))</f>
        <v>0</v>
      </c>
      <c r="K7" s="896">
        <f t="shared" si="0"/>
        <v>44066.42</v>
      </c>
      <c r="L7" s="422">
        <f t="shared" si="1"/>
        <v>986296391</v>
      </c>
      <c r="M7" s="896">
        <f t="shared" si="2"/>
        <v>0</v>
      </c>
      <c r="N7" s="422">
        <f t="shared" si="3"/>
        <v>0</v>
      </c>
    </row>
    <row r="8" spans="1:14" s="10" customFormat="1" ht="18" customHeight="1">
      <c r="A8" s="902">
        <f t="shared" si="4"/>
        <v>4</v>
      </c>
      <c r="B8" s="7" t="s">
        <v>604</v>
      </c>
      <c r="C8" s="898">
        <v>0</v>
      </c>
      <c r="D8" s="898">
        <v>0</v>
      </c>
      <c r="E8" s="898">
        <v>0</v>
      </c>
      <c r="F8" s="897">
        <v>0</v>
      </c>
      <c r="G8" s="898">
        <f t="array" ref="G8">SUM(IF("131"&amp;B8=KHN&amp;KH,_TH))</f>
        <v>79520</v>
      </c>
      <c r="H8" s="897">
        <f t="array" ref="H8">SUM(IF("131"&amp;B8=KHN&amp;KH,TH))</f>
        <v>1778464800</v>
      </c>
      <c r="I8" s="898">
        <f t="array" ref="I8">SUM(IF("131"&amp;B8=KHC&amp;KH,_TH))</f>
        <v>79520</v>
      </c>
      <c r="J8" s="897">
        <f t="array" ref="J8">SUM(IF("131"&amp;B8=KHC&amp;KH,TH))</f>
        <v>1778464800</v>
      </c>
      <c r="K8" s="896">
        <f t="shared" si="0"/>
        <v>0</v>
      </c>
      <c r="L8" s="422">
        <f t="shared" si="1"/>
        <v>0</v>
      </c>
      <c r="M8" s="896">
        <f t="shared" si="2"/>
        <v>0</v>
      </c>
      <c r="N8" s="422">
        <f t="shared" si="3"/>
        <v>0</v>
      </c>
    </row>
    <row r="9" spans="1:14" s="10" customFormat="1" ht="18" customHeight="1">
      <c r="A9" s="902">
        <f t="shared" si="4"/>
        <v>5</v>
      </c>
      <c r="B9" s="7" t="s">
        <v>603</v>
      </c>
      <c r="C9" s="898">
        <v>103545</v>
      </c>
      <c r="D9" s="898">
        <v>2233983375</v>
      </c>
      <c r="E9" s="898">
        <v>0</v>
      </c>
      <c r="F9" s="898">
        <v>0</v>
      </c>
      <c r="G9" s="898">
        <f t="array" ref="G9">SUM(IF("131"&amp;B9=KHN&amp;KH,_TH))</f>
        <v>0</v>
      </c>
      <c r="H9" s="897">
        <f t="array" ref="H9">SUM(IF("131"&amp;B9=KHN&amp;KH,TH))</f>
        <v>0</v>
      </c>
      <c r="I9" s="898">
        <f t="array" ref="I9">SUM(IF("131"&amp;B9=KHC&amp;KH,_TH))</f>
        <v>0</v>
      </c>
      <c r="J9" s="897">
        <f t="array" ref="J9">SUM(IF("131"&amp;B9=KHC&amp;KH,TH))</f>
        <v>0</v>
      </c>
      <c r="K9" s="896">
        <f t="shared" si="0"/>
        <v>103545</v>
      </c>
      <c r="L9" s="422">
        <f t="shared" si="1"/>
        <v>2233983375</v>
      </c>
      <c r="M9" s="896">
        <f t="shared" si="2"/>
        <v>0</v>
      </c>
      <c r="N9" s="422">
        <f t="shared" si="3"/>
        <v>0</v>
      </c>
    </row>
    <row r="10" spans="1:14" s="10" customFormat="1" ht="18" customHeight="1">
      <c r="A10" s="902">
        <f t="shared" si="4"/>
        <v>6</v>
      </c>
      <c r="B10" s="7" t="s">
        <v>602</v>
      </c>
      <c r="C10" s="898">
        <v>5219.6400000000003</v>
      </c>
      <c r="D10" s="898">
        <v>123101834</v>
      </c>
      <c r="E10" s="898">
        <v>0</v>
      </c>
      <c r="F10" s="898">
        <v>0</v>
      </c>
      <c r="G10" s="898">
        <f t="array" ref="G10">SUM(IF("131"&amp;B10=KHN&amp;KH,_TH))</f>
        <v>208335</v>
      </c>
      <c r="H10" s="897">
        <f t="array" ref="H10">SUM(IF("131"&amp;B10=KHN&amp;KH,TH))</f>
        <v>4636470825</v>
      </c>
      <c r="I10" s="898">
        <f t="array" ref="I10">SUM(IF("131"&amp;B10=KHC&amp;KH,_TH))</f>
        <v>213209.77000000002</v>
      </c>
      <c r="J10" s="897">
        <f t="array" ref="J10">SUM(IF("131"&amp;B10=KHC&amp;KH,TH))</f>
        <v>4756098782</v>
      </c>
      <c r="K10" s="896">
        <f t="shared" si="0"/>
        <v>344.87</v>
      </c>
      <c r="L10" s="422">
        <f t="shared" si="1"/>
        <v>3473877</v>
      </c>
      <c r="M10" s="896">
        <f t="shared" si="2"/>
        <v>0</v>
      </c>
      <c r="N10" s="422">
        <f t="shared" si="3"/>
        <v>0</v>
      </c>
    </row>
    <row r="11" spans="1:14" s="10" customFormat="1" ht="18" customHeight="1">
      <c r="A11" s="902">
        <f t="shared" si="4"/>
        <v>7</v>
      </c>
      <c r="B11" s="899" t="s">
        <v>601</v>
      </c>
      <c r="C11" s="898">
        <v>0</v>
      </c>
      <c r="D11" s="898">
        <v>0</v>
      </c>
      <c r="E11" s="898">
        <v>0</v>
      </c>
      <c r="F11" s="898">
        <v>0</v>
      </c>
      <c r="G11" s="898">
        <f t="array" ref="G11">SUM(IF("131"&amp;B11=KHN&amp;KH,_TH))</f>
        <v>41760</v>
      </c>
      <c r="H11" s="897">
        <f t="array" ref="H11">SUM(IF("131"&amp;B11=KHN&amp;KH,TH))</f>
        <v>933962400</v>
      </c>
      <c r="I11" s="898">
        <f t="array" ref="I11">SUM(IF("131"&amp;B11=KHC&amp;KH,_TH))</f>
        <v>41760.000000000007</v>
      </c>
      <c r="J11" s="897">
        <f t="array" ref="J11">SUM(IF("131"&amp;B11=KHC&amp;KH,TH))</f>
        <v>933962400</v>
      </c>
      <c r="K11" s="896">
        <f t="shared" si="0"/>
        <v>0</v>
      </c>
      <c r="L11" s="422">
        <f t="shared" si="1"/>
        <v>0</v>
      </c>
      <c r="M11" s="896">
        <f t="shared" si="2"/>
        <v>0</v>
      </c>
      <c r="N11" s="422">
        <f t="shared" si="3"/>
        <v>0</v>
      </c>
    </row>
    <row r="12" spans="1:14" s="10" customFormat="1" ht="18" customHeight="1">
      <c r="A12" s="902">
        <f t="shared" si="4"/>
        <v>8</v>
      </c>
      <c r="B12" s="899" t="s">
        <v>1392</v>
      </c>
      <c r="C12" s="898">
        <v>0</v>
      </c>
      <c r="D12" s="898">
        <v>0</v>
      </c>
      <c r="E12" s="898">
        <v>0</v>
      </c>
      <c r="F12" s="898">
        <v>0</v>
      </c>
      <c r="G12" s="898">
        <f t="array" ref="G12">SUM(IF("131"&amp;B12=KHN&amp;KH,_TH))</f>
        <v>76560</v>
      </c>
      <c r="H12" s="897">
        <f t="array" ref="H12">SUM(IF("131"&amp;B12=KHN&amp;KH,TH))</f>
        <v>1703460000</v>
      </c>
      <c r="I12" s="898">
        <f t="array" ref="I12">SUM(IF("131"&amp;B12=KHC&amp;KH,_TH))</f>
        <v>0</v>
      </c>
      <c r="J12" s="897">
        <f t="array" ref="J12">SUM(IF("131"&amp;B12=KHC&amp;KH,TH))</f>
        <v>0</v>
      </c>
      <c r="K12" s="896">
        <f t="shared" ref="K12:K15" si="5">ROUND(MAX(C12+G12-E12-I12,0),2)</f>
        <v>76560</v>
      </c>
      <c r="L12" s="422">
        <f t="shared" ref="L12:L15" si="6">ROUND(MAX(D12+H12-F12-J12,0),0)</f>
        <v>1703460000</v>
      </c>
      <c r="M12" s="896">
        <f t="shared" ref="M12:M15" si="7">ROUND(MAX(E12+I12-C12-G12,0),2)</f>
        <v>0</v>
      </c>
      <c r="N12" s="422">
        <f t="shared" ref="N12:N15" si="8">ROUND(MAX(F12+J12-D12-H12,0),0)</f>
        <v>0</v>
      </c>
    </row>
    <row r="13" spans="1:14" s="10" customFormat="1" ht="18" customHeight="1">
      <c r="A13" s="902" t="str">
        <f t="shared" si="4"/>
        <v/>
      </c>
      <c r="B13" s="899"/>
      <c r="C13" s="898">
        <v>0</v>
      </c>
      <c r="D13" s="898">
        <v>0</v>
      </c>
      <c r="E13" s="898">
        <v>0</v>
      </c>
      <c r="F13" s="898">
        <v>0</v>
      </c>
      <c r="G13" s="898">
        <f t="array" ref="G13">SUM(IF("131"&amp;B13=KHN&amp;KH,_TH))</f>
        <v>0</v>
      </c>
      <c r="H13" s="897">
        <f t="array" ref="H13">SUM(IF("131"&amp;B13=KHN&amp;KH,TH))</f>
        <v>0</v>
      </c>
      <c r="I13" s="898">
        <f t="array" ref="I13">SUM(IF("131"&amp;B13=KHC&amp;KH,_TH))</f>
        <v>0</v>
      </c>
      <c r="J13" s="897">
        <f t="array" ref="J13">SUM(IF("131"&amp;B13=KHC&amp;KH,TH))</f>
        <v>0</v>
      </c>
      <c r="K13" s="896">
        <f t="shared" si="5"/>
        <v>0</v>
      </c>
      <c r="L13" s="422">
        <f t="shared" si="6"/>
        <v>0</v>
      </c>
      <c r="M13" s="896">
        <f t="shared" si="7"/>
        <v>0</v>
      </c>
      <c r="N13" s="422">
        <f t="shared" si="8"/>
        <v>0</v>
      </c>
    </row>
    <row r="14" spans="1:14" s="10" customFormat="1" ht="18" customHeight="1">
      <c r="A14" s="902" t="str">
        <f t="shared" si="4"/>
        <v/>
      </c>
      <c r="B14" s="899"/>
      <c r="C14" s="898">
        <v>0</v>
      </c>
      <c r="D14" s="898">
        <v>0</v>
      </c>
      <c r="E14" s="898">
        <v>0</v>
      </c>
      <c r="F14" s="898">
        <v>0</v>
      </c>
      <c r="G14" s="898">
        <f t="array" ref="G14">SUM(IF("131"&amp;B14=KHN&amp;KH,_TH))</f>
        <v>0</v>
      </c>
      <c r="H14" s="897">
        <f t="array" ref="H14">SUM(IF("131"&amp;B14=KHN&amp;KH,TH))</f>
        <v>0</v>
      </c>
      <c r="I14" s="898">
        <f t="array" ref="I14">SUM(IF("131"&amp;B14=KHC&amp;KH,_TH))</f>
        <v>0</v>
      </c>
      <c r="J14" s="897">
        <f t="array" ref="J14">SUM(IF("131"&amp;B14=KHC&amp;KH,TH))</f>
        <v>0</v>
      </c>
      <c r="K14" s="896">
        <f t="shared" si="5"/>
        <v>0</v>
      </c>
      <c r="L14" s="422">
        <f t="shared" si="6"/>
        <v>0</v>
      </c>
      <c r="M14" s="896">
        <f t="shared" si="7"/>
        <v>0</v>
      </c>
      <c r="N14" s="422">
        <f t="shared" si="8"/>
        <v>0</v>
      </c>
    </row>
    <row r="15" spans="1:14" s="10" customFormat="1" ht="18" customHeight="1">
      <c r="A15" s="902" t="str">
        <f t="shared" si="4"/>
        <v/>
      </c>
      <c r="B15" s="899"/>
      <c r="C15" s="898">
        <v>0</v>
      </c>
      <c r="D15" s="898">
        <v>0</v>
      </c>
      <c r="E15" s="898">
        <v>0</v>
      </c>
      <c r="F15" s="898">
        <v>0</v>
      </c>
      <c r="G15" s="898">
        <f t="array" ref="G15">SUM(IF("131"&amp;B15=KHN&amp;KH,_TH))</f>
        <v>0</v>
      </c>
      <c r="H15" s="897">
        <f t="array" ref="H15">SUM(IF("131"&amp;B15=KHN&amp;KH,TH))</f>
        <v>0</v>
      </c>
      <c r="I15" s="898">
        <f t="array" ref="I15">SUM(IF("131"&amp;B15=KHC&amp;KH,_TH))</f>
        <v>0</v>
      </c>
      <c r="J15" s="897">
        <f t="array" ref="J15">SUM(IF("131"&amp;B15=KHC&amp;KH,TH))</f>
        <v>0</v>
      </c>
      <c r="K15" s="896">
        <f t="shared" si="5"/>
        <v>0</v>
      </c>
      <c r="L15" s="422">
        <f t="shared" si="6"/>
        <v>0</v>
      </c>
      <c r="M15" s="896">
        <f t="shared" si="7"/>
        <v>0</v>
      </c>
      <c r="N15" s="422">
        <f t="shared" si="8"/>
        <v>0</v>
      </c>
    </row>
    <row r="16" spans="1:14" s="10" customFormat="1" ht="18" customHeight="1">
      <c r="A16" s="902" t="str">
        <f t="shared" si="4"/>
        <v/>
      </c>
      <c r="B16" s="1012"/>
      <c r="C16" s="1013"/>
      <c r="D16" s="1013"/>
      <c r="E16" s="1013"/>
      <c r="F16" s="1013"/>
      <c r="G16" s="1013"/>
      <c r="H16" s="1014"/>
      <c r="I16" s="1013"/>
      <c r="J16" s="1014"/>
      <c r="K16" s="1015"/>
      <c r="L16" s="1016"/>
      <c r="M16" s="1015"/>
      <c r="N16" s="1016"/>
    </row>
    <row r="17" spans="1:14" ht="18" customHeight="1">
      <c r="A17" s="11"/>
      <c r="B17" s="12" t="s">
        <v>41</v>
      </c>
      <c r="C17" s="895">
        <f t="shared" ref="C17:N17" si="9">SUM(C5:C16)</f>
        <v>152831.06</v>
      </c>
      <c r="D17" s="894">
        <f t="shared" si="9"/>
        <v>3343381600</v>
      </c>
      <c r="E17" s="895">
        <f t="shared" si="9"/>
        <v>0</v>
      </c>
      <c r="F17" s="894">
        <f t="shared" si="9"/>
        <v>0</v>
      </c>
      <c r="G17" s="895">
        <f t="shared" si="9"/>
        <v>406175</v>
      </c>
      <c r="H17" s="894">
        <f t="shared" si="9"/>
        <v>9052358025</v>
      </c>
      <c r="I17" s="895">
        <f t="shared" si="9"/>
        <v>334489.77</v>
      </c>
      <c r="J17" s="894">
        <f t="shared" si="9"/>
        <v>7468525982</v>
      </c>
      <c r="K17" s="895">
        <f t="shared" si="9"/>
        <v>224516.28999999998</v>
      </c>
      <c r="L17" s="894">
        <f t="shared" si="9"/>
        <v>4927213643</v>
      </c>
      <c r="M17" s="895">
        <f t="shared" si="9"/>
        <v>0</v>
      </c>
      <c r="N17" s="894">
        <f t="shared" si="9"/>
        <v>0</v>
      </c>
    </row>
    <row r="19" spans="1:14">
      <c r="H19" s="893">
        <f>CDPS!E15</f>
        <v>9052358025</v>
      </c>
      <c r="J19" s="893">
        <f>CDPS!F15</f>
        <v>7468525982</v>
      </c>
    </row>
    <row r="21" spans="1:14">
      <c r="H21" s="893">
        <f>H17-H19</f>
        <v>0</v>
      </c>
      <c r="I21" s="893"/>
      <c r="J21" s="893">
        <f t="shared" ref="J21" si="10">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66"/>
  <sheetViews>
    <sheetView topLeftCell="A6" zoomScale="90" zoomScaleNormal="90" workbookViewId="0">
      <pane ySplit="11" topLeftCell="A17" activePane="bottomLeft" state="frozen"/>
      <selection activeCell="B5" sqref="B5"/>
      <selection pane="bottomLeft" activeCell="J27" sqref="J27"/>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875" customFormat="1" ht="16.5" customHeight="1">
      <c r="A2" s="948" t="s">
        <v>317</v>
      </c>
      <c r="B2" s="947"/>
      <c r="C2" s="946"/>
      <c r="D2" s="493"/>
      <c r="E2" s="940"/>
      <c r="G2" s="939"/>
      <c r="H2" s="938"/>
      <c r="I2" s="945"/>
      <c r="J2" s="944"/>
      <c r="K2" s="2"/>
      <c r="L2" s="2"/>
      <c r="M2" s="874" t="s">
        <v>616</v>
      </c>
      <c r="N2" s="2"/>
      <c r="O2" s="2"/>
    </row>
    <row r="3" spans="1:15" s="875" customFormat="1" ht="16.5" customHeight="1">
      <c r="A3" s="1266" t="s">
        <v>615</v>
      </c>
      <c r="B3" s="1266"/>
      <c r="C3" s="1266"/>
      <c r="D3" s="1266"/>
      <c r="E3" s="940"/>
      <c r="G3" s="939"/>
      <c r="H3" s="938"/>
      <c r="I3" s="937"/>
      <c r="J3" s="936"/>
      <c r="K3" s="17"/>
      <c r="L3" s="17"/>
      <c r="M3" s="942" t="s">
        <v>320</v>
      </c>
      <c r="N3" s="17"/>
      <c r="O3" s="17"/>
    </row>
    <row r="4" spans="1:15" s="875" customFormat="1" ht="16.5" customHeight="1">
      <c r="A4" s="943"/>
      <c r="B4" s="943"/>
      <c r="C4" s="943"/>
      <c r="D4" s="943"/>
      <c r="E4" s="940"/>
      <c r="G4" s="939" t="s">
        <v>614</v>
      </c>
      <c r="H4" s="938"/>
      <c r="I4" s="937"/>
      <c r="J4" s="936"/>
      <c r="K4" s="17"/>
      <c r="L4" s="17"/>
      <c r="M4" s="942" t="s">
        <v>321</v>
      </c>
      <c r="N4" s="17"/>
      <c r="O4" s="17"/>
    </row>
    <row r="5" spans="1:15" s="875" customFormat="1" ht="6.75" customHeight="1">
      <c r="A5" s="941"/>
      <c r="B5" s="941"/>
      <c r="C5" s="941"/>
      <c r="E5" s="940"/>
      <c r="G5" s="939"/>
      <c r="H5" s="938"/>
      <c r="I5" s="937"/>
      <c r="J5" s="936"/>
      <c r="K5" s="935"/>
      <c r="L5" s="872"/>
      <c r="M5" s="872"/>
      <c r="N5" s="872"/>
      <c r="O5" s="872"/>
    </row>
    <row r="6" spans="1:15" s="5" customFormat="1" ht="23.25" customHeight="1">
      <c r="A6" s="1267" t="s">
        <v>613</v>
      </c>
      <c r="B6" s="1267"/>
      <c r="C6" s="1267"/>
      <c r="D6" s="1267"/>
      <c r="E6" s="1267"/>
      <c r="F6" s="1267"/>
      <c r="G6" s="1267"/>
      <c r="H6" s="1267"/>
      <c r="I6" s="1267"/>
      <c r="J6" s="1267"/>
      <c r="K6" s="1267"/>
      <c r="L6" s="1267"/>
      <c r="M6" s="1267"/>
      <c r="N6" s="1267"/>
      <c r="O6" s="1267"/>
    </row>
    <row r="7" spans="1:15" s="5" customFormat="1" ht="15">
      <c r="H7" s="873" t="s">
        <v>29</v>
      </c>
    </row>
    <row r="8" spans="1:15" s="5" customFormat="1" ht="15">
      <c r="H8" s="873" t="s">
        <v>612</v>
      </c>
    </row>
    <row r="9" spans="1:15" s="5" customFormat="1" ht="15">
      <c r="G9" s="249" t="s">
        <v>611</v>
      </c>
      <c r="H9" s="1268" t="s">
        <v>602</v>
      </c>
      <c r="I9" s="1268"/>
      <c r="J9" s="1268"/>
    </row>
    <row r="10" spans="1:15" s="5" customFormat="1" ht="15">
      <c r="H10" s="873" t="s">
        <v>245</v>
      </c>
    </row>
    <row r="11" spans="1:15" s="5" customFormat="1" ht="15">
      <c r="A11" s="4"/>
      <c r="B11" s="4"/>
      <c r="C11" s="934"/>
      <c r="D11" s="934"/>
      <c r="E11" s="934"/>
      <c r="F11" s="934"/>
      <c r="G11" s="934"/>
      <c r="H11" s="934"/>
      <c r="I11" s="934"/>
      <c r="J11" s="934"/>
      <c r="K11" s="934"/>
      <c r="L11" s="934"/>
      <c r="M11" s="934"/>
      <c r="N11" s="934"/>
      <c r="O11" s="934"/>
    </row>
    <row r="12" spans="1:15" s="873" customFormat="1" ht="15.75" customHeight="1">
      <c r="A12" s="1269" t="s">
        <v>22</v>
      </c>
      <c r="B12" s="1259" t="s">
        <v>1</v>
      </c>
      <c r="C12" s="1272"/>
      <c r="D12" s="1269" t="s">
        <v>0</v>
      </c>
      <c r="E12" s="1269" t="s">
        <v>16</v>
      </c>
      <c r="F12" s="1269" t="s">
        <v>246</v>
      </c>
      <c r="G12" s="1273" t="s">
        <v>610</v>
      </c>
      <c r="H12" s="1259" t="s">
        <v>23</v>
      </c>
      <c r="I12" s="1276"/>
      <c r="J12" s="1276"/>
      <c r="K12" s="1272"/>
      <c r="L12" s="1259" t="s">
        <v>33</v>
      </c>
      <c r="M12" s="1260"/>
      <c r="N12" s="1260"/>
      <c r="O12" s="1261"/>
    </row>
    <row r="13" spans="1:15" s="873" customFormat="1" ht="15.75" customHeight="1">
      <c r="A13" s="1270"/>
      <c r="B13" s="1262" t="s">
        <v>17</v>
      </c>
      <c r="C13" s="1262" t="s">
        <v>34</v>
      </c>
      <c r="D13" s="1270"/>
      <c r="E13" s="1270"/>
      <c r="F13" s="1270"/>
      <c r="G13" s="1274"/>
      <c r="H13" s="1264" t="s">
        <v>24</v>
      </c>
      <c r="I13" s="1265"/>
      <c r="J13" s="1264" t="s">
        <v>25</v>
      </c>
      <c r="K13" s="1265"/>
      <c r="L13" s="1264" t="s">
        <v>24</v>
      </c>
      <c r="M13" s="1261"/>
      <c r="N13" s="1264" t="s">
        <v>25</v>
      </c>
      <c r="O13" s="1261"/>
    </row>
    <row r="14" spans="1:15" s="873" customFormat="1" ht="27.75" customHeight="1">
      <c r="A14" s="1271"/>
      <c r="B14" s="1263"/>
      <c r="C14" s="1263"/>
      <c r="D14" s="1271"/>
      <c r="E14" s="1271"/>
      <c r="F14" s="1271"/>
      <c r="G14" s="1275"/>
      <c r="H14" s="933" t="s">
        <v>247</v>
      </c>
      <c r="I14" s="931" t="s">
        <v>248</v>
      </c>
      <c r="J14" s="932" t="s">
        <v>247</v>
      </c>
      <c r="K14" s="931" t="s">
        <v>248</v>
      </c>
      <c r="L14" s="930" t="s">
        <v>247</v>
      </c>
      <c r="M14" s="930" t="s">
        <v>248</v>
      </c>
      <c r="N14" s="930" t="s">
        <v>247</v>
      </c>
      <c r="O14" s="930" t="s">
        <v>248</v>
      </c>
    </row>
    <row r="15" spans="1:15" s="873" customFormat="1" ht="15">
      <c r="A15" s="912" t="s">
        <v>2</v>
      </c>
      <c r="B15" s="929" t="s">
        <v>3</v>
      </c>
      <c r="C15" s="912" t="s">
        <v>4</v>
      </c>
      <c r="D15" s="912" t="s">
        <v>5</v>
      </c>
      <c r="E15" s="912" t="s">
        <v>6</v>
      </c>
      <c r="F15" s="912">
        <v>1</v>
      </c>
      <c r="G15" s="912">
        <v>2</v>
      </c>
      <c r="H15" s="912">
        <v>3</v>
      </c>
      <c r="I15" s="912">
        <v>4</v>
      </c>
      <c r="J15" s="912">
        <v>5</v>
      </c>
      <c r="K15" s="912">
        <v>6</v>
      </c>
      <c r="L15" s="912">
        <v>7</v>
      </c>
      <c r="M15" s="912">
        <v>8</v>
      </c>
      <c r="N15" s="912">
        <v>9</v>
      </c>
      <c r="O15" s="912">
        <v>10</v>
      </c>
    </row>
    <row r="16" spans="1:15" s="5" customFormat="1" ht="16.5" customHeight="1">
      <c r="A16" s="914"/>
      <c r="B16" s="914"/>
      <c r="C16" s="914"/>
      <c r="D16" s="913" t="s">
        <v>7</v>
      </c>
      <c r="E16" s="914"/>
      <c r="F16" s="912"/>
      <c r="G16" s="927"/>
      <c r="H16" s="926"/>
      <c r="I16" s="927"/>
      <c r="J16" s="928"/>
      <c r="K16" s="927"/>
      <c r="L16" s="926">
        <f>VLOOKUP($H$9,'131'!$B$5:$F$11,2,0)</f>
        <v>5219.6400000000003</v>
      </c>
      <c r="M16" s="925">
        <f>VLOOKUP($H$9,'131'!$B$5:$F$11,3,0)</f>
        <v>123101834</v>
      </c>
      <c r="N16" s="926">
        <f>VLOOKUP($H$9,'131'!$B$5:$F$11,4,0)</f>
        <v>0</v>
      </c>
      <c r="O16" s="925">
        <f>VLOOKUP($H$9,'131'!$B$5:$F$11,5,0)</f>
        <v>0</v>
      </c>
    </row>
    <row r="17" spans="1:16" s="5" customFormat="1" ht="16.5" customHeight="1">
      <c r="A17" s="227">
        <f t="shared" ref="A17:A51" ca="1" si="0">IF(C17&lt;&gt;"",C17,"")</f>
        <v>42402</v>
      </c>
      <c r="B17" s="231" t="str">
        <f ca="1">IF(ROWS($1:1)&gt;COUNT(Dong14),"",OFFSET(TH!D$1,SMALL(Dong14,ROWS($1:1)),))</f>
        <v>X01/TP</v>
      </c>
      <c r="C17" s="227">
        <f ca="1">IF(ROWS($1:1)&gt;COUNT(Dong14),"",OFFSET(TH!E$1,SMALL(Dong14,ROWS($1:1)),))</f>
        <v>42402</v>
      </c>
      <c r="D17" s="924" t="str">
        <f ca="1">IF(ROWS($1:1)&gt;COUNT(Dong14),"",OFFSET(TH!F$1,SMALL(Dong14,ROWS($1:1)),))</f>
        <v>Cá bò khô tẩm B TP</v>
      </c>
      <c r="E17" s="922" t="str">
        <f ca="1">IF(ROWS($1:1)&gt;COUNT(Dong14),"",IF(OFFSET(TH!N$1,SMALL(Dong14,ROWS($1:1)),)="131",OFFSET(TH!O$1,SMALL(Dong14,ROWS($1:1)),),OFFSET(TH!N$1,SMALL(Dong14,ROWS($1:1)),)))</f>
        <v>5112X</v>
      </c>
      <c r="F17" s="922">
        <f ca="1">IF(ROWS($1:1)&gt;COUNT(Dong14),0,OFFSET(TH!L$1,SMALL(Dong14,ROWS($1:1)),))</f>
        <v>22215</v>
      </c>
      <c r="G17" s="922"/>
      <c r="H17" s="923">
        <f ca="1">IF(ROWS($1:1)&gt;COUNT(Dong14),0,IF(OFFSET(TH!N$1,SMALL(Dong14,ROWS($1:1)),)="131",OFFSET(TH!K$1,SMALL(Dong14,ROWS($1:1)),),0))</f>
        <v>102960</v>
      </c>
      <c r="I17" s="922">
        <f ca="1">IF(ROWS($1:1)&gt;COUNT(Dong14),0,IF(OFFSET(TH!N$1,SMALL(Dong14,ROWS($1:1)),)="131",OFFSET(TH!M$1,SMALL(Dong14,ROWS($1:1)),),0))</f>
        <v>2287256400</v>
      </c>
      <c r="J17" s="923">
        <f ca="1">IF(ROWS($1:1)&gt;COUNT(Dong14),0,IF(OFFSET(TH!O$1,SMALL(Dong14,ROWS($1:1)),)="131",OFFSET(TH!K$1,SMALL(Dong14,ROWS($1:1)),),0))</f>
        <v>0</v>
      </c>
      <c r="K17" s="922">
        <f ca="1">IF(ROWS($1:1)&gt;COUNT(Dong14),0,IF(OFFSET(TH!O$1,SMALL(Dong14,ROWS($1:1)),)="131",OFFSET(TH!M$1,SMALL(Dong14,ROWS($1:1)),),0))</f>
        <v>0</v>
      </c>
      <c r="L17" s="916">
        <f ca="1">IF(D17&lt;&gt;"",ROUND(MAX(L16+H17-J17-N16,0),2),0)</f>
        <v>108179.64</v>
      </c>
      <c r="M17" s="915">
        <f ca="1">IF(D17&lt;&gt;"",MAX(M16-O16+I17-K17,0),0)</f>
        <v>2410358234</v>
      </c>
      <c r="N17" s="916">
        <f ca="1">IF(D17&lt;&gt;"",ROUND(MAX(N16+J17-H17-L16,0),2),0)</f>
        <v>0</v>
      </c>
      <c r="O17" s="915">
        <f ca="1">IF(D17&lt;&gt;"",MAX(O16-M16+K17-I17,0),0)</f>
        <v>0</v>
      </c>
    </row>
    <row r="18" spans="1:16" s="5" customFormat="1" ht="16.5" customHeight="1">
      <c r="A18" s="227">
        <f t="shared" ca="1" si="0"/>
        <v>42443</v>
      </c>
      <c r="B18" s="231" t="str">
        <f ca="1">IF(ROWS($1:2)&gt;COUNT(Dong14),"",OFFSET(TH!D$1,SMALL(Dong14,ROWS($1:2)),))</f>
        <v>X01/TP</v>
      </c>
      <c r="C18" s="227">
        <f ca="1">IF(ROWS($1:2)&gt;COUNT(Dong14),"",OFFSET(TH!E$1,SMALL(Dong14,ROWS($1:2)),))</f>
        <v>42443</v>
      </c>
      <c r="D18" s="924" t="str">
        <f ca="1">IF(ROWS($1:2)&gt;COUNT(Dong14),"",OFFSET(TH!F$1,SMALL(Dong14,ROWS($1:2)),))</f>
        <v>Cá bò khô tẩm B TP</v>
      </c>
      <c r="E18" s="922" t="str">
        <f ca="1">IF(ROWS($1:2)&gt;COUNT(Dong14),"",IF(OFFSET(TH!N$1,SMALL(Dong14,ROWS($1:2)),)="131",OFFSET(TH!O$1,SMALL(Dong14,ROWS($1:2)),),OFFSET(TH!N$1,SMALL(Dong14,ROWS($1:2)),)))</f>
        <v>5112X</v>
      </c>
      <c r="F18" s="922">
        <f ca="1">IF(ROWS($1:2)&gt;COUNT(Dong14),0,OFFSET(TH!L$1,SMALL(Dong14,ROWS($1:2)),))</f>
        <v>22255</v>
      </c>
      <c r="G18" s="922"/>
      <c r="H18" s="923">
        <f ca="1">IF(ROWS($1:2)&gt;COUNT(Dong14),0,IF(OFFSET(TH!N$1,SMALL(Dong14,ROWS($1:2)),)="131",OFFSET(TH!K$1,SMALL(Dong14,ROWS($1:2)),),0))</f>
        <v>105375</v>
      </c>
      <c r="I18" s="922">
        <f ca="1">IF(ROWS($1:2)&gt;COUNT(Dong14),0,IF(OFFSET(TH!N$1,SMALL(Dong14,ROWS($1:2)),)="131",OFFSET(TH!M$1,SMALL(Dong14,ROWS($1:2)),),0))</f>
        <v>2345120625</v>
      </c>
      <c r="J18" s="923">
        <f ca="1">IF(ROWS($1:2)&gt;COUNT(Dong14),0,IF(OFFSET(TH!O$1,SMALL(Dong14,ROWS($1:2)),)="131",OFFSET(TH!K$1,SMALL(Dong14,ROWS($1:2)),),0))</f>
        <v>0</v>
      </c>
      <c r="K18" s="922">
        <f ca="1">IF(ROWS($1:2)&gt;COUNT(Dong14),0,IF(OFFSET(TH!O$1,SMALL(Dong14,ROWS($1:2)),)="131",OFFSET(TH!M$1,SMALL(Dong14,ROWS($1:2)),),0))</f>
        <v>0</v>
      </c>
      <c r="L18" s="916">
        <f t="shared" ref="L18:L50" ca="1" si="1">IF(D18&lt;&gt;"",ROUND(MAX(L17+H18-J18-N17,0),2),0)</f>
        <v>213554.64</v>
      </c>
      <c r="M18" s="915">
        <f t="shared" ref="M18:M50" ca="1" si="2">IF(D18&lt;&gt;"",MAX(M17-O17+I18-K18,0),0)</f>
        <v>4755478859</v>
      </c>
      <c r="N18" s="916">
        <f t="shared" ref="N18:N50" ca="1" si="3">IF(D18&lt;&gt;"",ROUND(MAX(N17+J18-H18-L17,0),2),0)</f>
        <v>0</v>
      </c>
      <c r="O18" s="915">
        <f t="shared" ref="O18:O50" ca="1" si="4">IF(D18&lt;&gt;"",MAX(O17-M17+K18-I18,0),0)</f>
        <v>0</v>
      </c>
    </row>
    <row r="19" spans="1:16" s="5" customFormat="1" ht="16.5" customHeight="1">
      <c r="A19" s="227">
        <f t="shared" ca="1" si="0"/>
        <v>42377</v>
      </c>
      <c r="B19" s="231" t="str">
        <f ca="1">IF(ROWS($1:3)&gt;COUNT(Dong14),"",OFFSET(TH!D$1,SMALL(Dong14,ROWS($1:3)),))</f>
        <v>GBC</v>
      </c>
      <c r="C19" s="227">
        <f ca="1">IF(ROWS($1:3)&gt;COUNT(Dong14),"",OFFSET(TH!E$1,SMALL(Dong14,ROWS($1:3)),))</f>
        <v>42377</v>
      </c>
      <c r="D19" s="924" t="str">
        <f ca="1">IF(ROWS($1:3)&gt;COUNT(Dong14),"",OFFSET(TH!F$1,SMALL(Dong14,ROWS($1:3)),))</f>
        <v>Q4 - Thu tiền hàng</v>
      </c>
      <c r="E19" s="922" t="str">
        <f ca="1">IF(ROWS($1:3)&gt;COUNT(Dong14),"",IF(OFFSET(TH!N$1,SMALL(Dong14,ROWS($1:3)),)="131",OFFSET(TH!O$1,SMALL(Dong14,ROWS($1:3)),),OFFSET(TH!N$1,SMALL(Dong14,ROWS($1:3)),)))</f>
        <v>1122</v>
      </c>
      <c r="F19" s="922">
        <f ca="1">IF(ROWS($1:3)&gt;COUNT(Dong14),0,OFFSET(TH!L$1,SMALL(Dong14,ROWS($1:3)),))</f>
        <v>22490</v>
      </c>
      <c r="G19" s="922"/>
      <c r="H19" s="923">
        <f ca="1">IF(ROWS($1:3)&gt;COUNT(Dong14),0,IF(OFFSET(TH!N$1,SMALL(Dong14,ROWS($1:3)),)="131",OFFSET(TH!K$1,SMALL(Dong14,ROWS($1:3)),),0))</f>
        <v>0</v>
      </c>
      <c r="I19" s="922">
        <f ca="1">IF(ROWS($1:3)&gt;COUNT(Dong14),0,IF(OFFSET(TH!N$1,SMALL(Dong14,ROWS($1:3)),)="131",OFFSET(TH!M$1,SMALL(Dong14,ROWS($1:3)),),0))</f>
        <v>0</v>
      </c>
      <c r="J19" s="923">
        <f ca="1">IF(ROWS($1:3)&gt;COUNT(Dong14),0,IF(OFFSET(TH!O$1,SMALL(Dong14,ROWS($1:3)),)="131",OFFSET(TH!K$1,SMALL(Dong14,ROWS($1:3)),),0))</f>
        <v>4819.12</v>
      </c>
      <c r="K19" s="922">
        <f ca="1">IF(ROWS($1:3)&gt;COUNT(Dong14),0,IF(OFFSET(TH!O$1,SMALL(Dong14,ROWS($1:3)),)="131",OFFSET(TH!M$1,SMALL(Dong14,ROWS($1:3)),),0))</f>
        <v>108382009</v>
      </c>
      <c r="L19" s="916">
        <f t="shared" ca="1" si="1"/>
        <v>208735.52</v>
      </c>
      <c r="M19" s="915">
        <f t="shared" ca="1" si="2"/>
        <v>4647096850</v>
      </c>
      <c r="N19" s="916">
        <f t="shared" ca="1" si="3"/>
        <v>0</v>
      </c>
      <c r="O19" s="915">
        <f t="shared" ca="1" si="4"/>
        <v>0</v>
      </c>
    </row>
    <row r="20" spans="1:16" s="5" customFormat="1" ht="16.5" customHeight="1">
      <c r="A20" s="227">
        <f t="shared" ca="1" si="0"/>
        <v>42377</v>
      </c>
      <c r="B20" s="231" t="str">
        <f ca="1">IF(ROWS($1:4)&gt;COUNT(Dong14),"",OFFSET(TH!D$1,SMALL(Dong14,ROWS($1:4)),))</f>
        <v>CTGS</v>
      </c>
      <c r="C20" s="227">
        <f ca="1">IF(ROWS($1:4)&gt;COUNT(Dong14),"",OFFSET(TH!E$1,SMALL(Dong14,ROWS($1:4)),))</f>
        <v>42377</v>
      </c>
      <c r="D20" s="924" t="str">
        <f ca="1">IF(ROWS($1:4)&gt;COUNT(Dong14),"",OFFSET(TH!F$1,SMALL(Dong14,ROWS($1:4)),))</f>
        <v>Dịch vụ thanh toán nước ngoài</v>
      </c>
      <c r="E20" s="922" t="str">
        <f ca="1">IF(ROWS($1:4)&gt;COUNT(Dong14),"",IF(OFFSET(TH!N$1,SMALL(Dong14,ROWS($1:4)),)="131",OFFSET(TH!O$1,SMALL(Dong14,ROWS($1:4)),),OFFSET(TH!N$1,SMALL(Dong14,ROWS($1:4)),)))</f>
        <v>642</v>
      </c>
      <c r="F20" s="922">
        <f ca="1">IF(ROWS($1:4)&gt;COUNT(Dong14),0,OFFSET(TH!L$1,SMALL(Dong14,ROWS($1:4)),))</f>
        <v>22490</v>
      </c>
      <c r="G20" s="922"/>
      <c r="H20" s="923">
        <f ca="1">IF(ROWS($1:4)&gt;COUNT(Dong14),0,IF(OFFSET(TH!N$1,SMALL(Dong14,ROWS($1:4)),)="131",OFFSET(TH!K$1,SMALL(Dong14,ROWS($1:4)),),0))</f>
        <v>0</v>
      </c>
      <c r="I20" s="922">
        <f ca="1">IF(ROWS($1:4)&gt;COUNT(Dong14),0,IF(OFFSET(TH!N$1,SMALL(Dong14,ROWS($1:4)),)="131",OFFSET(TH!M$1,SMALL(Dong14,ROWS($1:4)),),0))</f>
        <v>0</v>
      </c>
      <c r="J20" s="923">
        <f ca="1">IF(ROWS($1:4)&gt;COUNT(Dong14),0,IF(OFFSET(TH!O$1,SMALL(Dong14,ROWS($1:4)),)="131",OFFSET(TH!K$1,SMALL(Dong14,ROWS($1:4)),),0))</f>
        <v>169.88</v>
      </c>
      <c r="K20" s="922">
        <f ca="1">IF(ROWS($1:4)&gt;COUNT(Dong14),0,IF(OFFSET(TH!O$1,SMALL(Dong14,ROWS($1:4)),)="131",OFFSET(TH!M$1,SMALL(Dong14,ROWS($1:4)),),0))</f>
        <v>3820601</v>
      </c>
      <c r="L20" s="916">
        <f t="shared" ca="1" si="1"/>
        <v>208565.64</v>
      </c>
      <c r="M20" s="915">
        <f t="shared" ca="1" si="2"/>
        <v>4643276249</v>
      </c>
      <c r="N20" s="916">
        <f t="shared" ca="1" si="3"/>
        <v>0</v>
      </c>
      <c r="O20" s="915">
        <f t="shared" ca="1" si="4"/>
        <v>0</v>
      </c>
    </row>
    <row r="21" spans="1:16" s="5" customFormat="1" ht="16.5" customHeight="1">
      <c r="A21" s="227">
        <f t="shared" ca="1" si="0"/>
        <v>42377</v>
      </c>
      <c r="B21" s="231" t="str">
        <f ca="1">IF(ROWS($1:5)&gt;COUNT(Dong14),"",OFFSET(TH!D$1,SMALL(Dong14,ROWS($1:5)),))</f>
        <v>CTGS</v>
      </c>
      <c r="C21" s="227">
        <f ca="1">IF(ROWS($1:5)&gt;COUNT(Dong14),"",OFFSET(TH!E$1,SMALL(Dong14,ROWS($1:5)),))</f>
        <v>42377</v>
      </c>
      <c r="D21" s="924" t="str">
        <f ca="1">IF(ROWS($1:5)&gt;COUNT(Dong14),"",OFFSET(TH!F$1,SMALL(Dong14,ROWS($1:5)),))</f>
        <v>Phí thanh toán nước ngoài</v>
      </c>
      <c r="E21" s="922" t="str">
        <f ca="1">IF(ROWS($1:5)&gt;COUNT(Dong14),"",IF(OFFSET(TH!N$1,SMALL(Dong14,ROWS($1:5)),)="131",OFFSET(TH!O$1,SMALL(Dong14,ROWS($1:5)),),OFFSET(TH!N$1,SMALL(Dong14,ROWS($1:5)),)))</f>
        <v>642</v>
      </c>
      <c r="F21" s="922">
        <f ca="1">IF(ROWS($1:5)&gt;COUNT(Dong14),0,OFFSET(TH!L$1,SMALL(Dong14,ROWS($1:5)),))</f>
        <v>22490</v>
      </c>
      <c r="G21" s="922"/>
      <c r="H21" s="923">
        <f ca="1">IF(ROWS($1:5)&gt;COUNT(Dong14),0,IF(OFFSET(TH!N$1,SMALL(Dong14,ROWS($1:5)),)="131",OFFSET(TH!K$1,SMALL(Dong14,ROWS($1:5)),),0))</f>
        <v>0</v>
      </c>
      <c r="I21" s="922">
        <f ca="1">IF(ROWS($1:5)&gt;COUNT(Dong14),0,IF(OFFSET(TH!N$1,SMALL(Dong14,ROWS($1:5)),)="131",OFFSET(TH!M$1,SMALL(Dong14,ROWS($1:5)),),0))</f>
        <v>0</v>
      </c>
      <c r="J21" s="923">
        <f ca="1">IF(ROWS($1:5)&gt;COUNT(Dong14),0,IF(OFFSET(TH!O$1,SMALL(Dong14,ROWS($1:5)),)="131",OFFSET(TH!K$1,SMALL(Dong14,ROWS($1:5)),),0))</f>
        <v>230.64</v>
      </c>
      <c r="K21" s="922">
        <f ca="1">IF(ROWS($1:5)&gt;COUNT(Dong14),0,IF(OFFSET(TH!O$1,SMALL(Dong14,ROWS($1:5)),)="131",OFFSET(TH!M$1,SMALL(Dong14,ROWS($1:5)),),0))</f>
        <v>5187094</v>
      </c>
      <c r="L21" s="916">
        <f t="shared" ca="1" si="1"/>
        <v>208335</v>
      </c>
      <c r="M21" s="915">
        <f t="shared" ca="1" si="2"/>
        <v>4638089155</v>
      </c>
      <c r="N21" s="916">
        <f t="shared" ca="1" si="3"/>
        <v>0</v>
      </c>
      <c r="O21" s="915">
        <f t="shared" ca="1" si="4"/>
        <v>0</v>
      </c>
    </row>
    <row r="22" spans="1:16" s="5" customFormat="1" ht="16.5" customHeight="1">
      <c r="A22" s="227">
        <f t="shared" ca="1" si="0"/>
        <v>42377</v>
      </c>
      <c r="B22" s="231" t="str">
        <f ca="1">IF(ROWS($1:6)&gt;COUNT(Dong14),"",OFFSET(TH!D$1,SMALL(Dong14,ROWS($1:6)),))</f>
        <v>CTGS</v>
      </c>
      <c r="C22" s="227">
        <f ca="1">IF(ROWS($1:6)&gt;COUNT(Dong14),"",OFFSET(TH!E$1,SMALL(Dong14,ROWS($1:6)),))</f>
        <v>42377</v>
      </c>
      <c r="D22" s="924" t="str">
        <f ca="1">IF(ROWS($1:6)&gt;COUNT(Dong14),"",OFFSET(TH!F$1,SMALL(Dong14,ROWS($1:6)),))</f>
        <v>Chênh lệch tỷ giá</v>
      </c>
      <c r="E22" s="922" t="str">
        <f ca="1">IF(ROWS($1:6)&gt;COUNT(Dong14),"",IF(OFFSET(TH!N$1,SMALL(Dong14,ROWS($1:6)),)="131",OFFSET(TH!O$1,SMALL(Dong14,ROWS($1:6)),),OFFSET(TH!N$1,SMALL(Dong14,ROWS($1:6)),)))</f>
        <v>635</v>
      </c>
      <c r="F22" s="922">
        <f ca="1">IF(ROWS($1:6)&gt;COUNT(Dong14),0,OFFSET(TH!L$1,SMALL(Dong14,ROWS($1:6)),))</f>
        <v>0</v>
      </c>
      <c r="G22" s="922"/>
      <c r="H22" s="923">
        <f ca="1">IF(ROWS($1:6)&gt;COUNT(Dong14),0,IF(OFFSET(TH!N$1,SMALL(Dong14,ROWS($1:6)),)="131",OFFSET(TH!K$1,SMALL(Dong14,ROWS($1:6)),),0))</f>
        <v>0</v>
      </c>
      <c r="I22" s="922">
        <f ca="1">IF(ROWS($1:6)&gt;COUNT(Dong14),0,IF(OFFSET(TH!N$1,SMALL(Dong14,ROWS($1:6)),)="131",OFFSET(TH!M$1,SMALL(Dong14,ROWS($1:6)),),0))</f>
        <v>0</v>
      </c>
      <c r="J22" s="923">
        <f ca="1">IF(ROWS($1:6)&gt;COUNT(Dong14),0,IF(OFFSET(TH!O$1,SMALL(Dong14,ROWS($1:6)),)="131",OFFSET(TH!K$1,SMALL(Dong14,ROWS($1:6)),),0))</f>
        <v>0</v>
      </c>
      <c r="K22" s="922">
        <f ca="1">IF(ROWS($1:6)&gt;COUNT(Dong14),0,IF(OFFSET(TH!O$1,SMALL(Dong14,ROWS($1:6)),)="131",OFFSET(TH!M$1,SMALL(Dong14,ROWS($1:6)),),0))</f>
        <v>5712130</v>
      </c>
      <c r="L22" s="916">
        <f t="shared" ca="1" si="1"/>
        <v>208335</v>
      </c>
      <c r="M22" s="915">
        <f t="shared" ca="1" si="2"/>
        <v>4632377025</v>
      </c>
      <c r="N22" s="916">
        <f t="shared" ca="1" si="3"/>
        <v>0</v>
      </c>
      <c r="O22" s="915">
        <f t="shared" ca="1" si="4"/>
        <v>0</v>
      </c>
    </row>
    <row r="23" spans="1:16" s="5" customFormat="1" ht="16.5" customHeight="1">
      <c r="A23" s="227">
        <f t="shared" ca="1" si="0"/>
        <v>42403</v>
      </c>
      <c r="B23" s="231" t="str">
        <f ca="1">IF(ROWS($1:7)&gt;COUNT(Dong14),"",OFFSET(TH!D$1,SMALL(Dong14,ROWS($1:7)),))</f>
        <v>GBC</v>
      </c>
      <c r="C23" s="227">
        <f ca="1">IF(ROWS($1:7)&gt;COUNT(Dong14),"",OFFSET(TH!E$1,SMALL(Dong14,ROWS($1:7)),))</f>
        <v>42403</v>
      </c>
      <c r="D23" s="924" t="str">
        <f ca="1">IF(ROWS($1:7)&gt;COUNT(Dong14),"",OFFSET(TH!F$1,SMALL(Dong14,ROWS($1:7)),))</f>
        <v>Q4 - Thu tiền hàng - O.Cheon</v>
      </c>
      <c r="E23" s="922" t="str">
        <f ca="1">IF(ROWS($1:7)&gt;COUNT(Dong14),"",IF(OFFSET(TH!N$1,SMALL(Dong14,ROWS($1:7)),)="131",OFFSET(TH!O$1,SMALL(Dong14,ROWS($1:7)),),OFFSET(TH!N$1,SMALL(Dong14,ROWS($1:7)),)))</f>
        <v>1122</v>
      </c>
      <c r="F23" s="922">
        <f ca="1">IF(ROWS($1:7)&gt;COUNT(Dong14),0,OFFSET(TH!L$1,SMALL(Dong14,ROWS($1:7)),))</f>
        <v>22250</v>
      </c>
      <c r="G23" s="922"/>
      <c r="H23" s="923">
        <f ca="1">IF(ROWS($1:7)&gt;COUNT(Dong14),0,IF(OFFSET(TH!N$1,SMALL(Dong14,ROWS($1:7)),)="131",OFFSET(TH!K$1,SMALL(Dong14,ROWS($1:7)),),0))</f>
        <v>0</v>
      </c>
      <c r="I23" s="922">
        <f ca="1">IF(ROWS($1:7)&gt;COUNT(Dong14),0,IF(OFFSET(TH!N$1,SMALL(Dong14,ROWS($1:7)),)="131",OFFSET(TH!M$1,SMALL(Dong14,ROWS($1:7)),),0))</f>
        <v>0</v>
      </c>
      <c r="J23" s="923">
        <f ca="1">IF(ROWS($1:7)&gt;COUNT(Dong14),0,IF(OFFSET(TH!O$1,SMALL(Dong14,ROWS($1:7)),)="131",OFFSET(TH!K$1,SMALL(Dong14,ROWS($1:7)),),0))</f>
        <v>97740.36</v>
      </c>
      <c r="K23" s="922">
        <f ca="1">IF(ROWS($1:7)&gt;COUNT(Dong14),0,IF(OFFSET(TH!O$1,SMALL(Dong14,ROWS($1:7)),)="131",OFFSET(TH!M$1,SMALL(Dong14,ROWS($1:7)),),0))</f>
        <v>2174723010</v>
      </c>
      <c r="L23" s="916">
        <f t="shared" ca="1" si="1"/>
        <v>110594.64</v>
      </c>
      <c r="M23" s="915">
        <f t="shared" ca="1" si="2"/>
        <v>2457654015</v>
      </c>
      <c r="N23" s="916">
        <f t="shared" ca="1" si="3"/>
        <v>0</v>
      </c>
      <c r="O23" s="915">
        <f t="shared" ca="1" si="4"/>
        <v>0</v>
      </c>
    </row>
    <row r="24" spans="1:16" s="5" customFormat="1" ht="16.5" customHeight="1">
      <c r="A24" s="227">
        <f t="shared" ca="1" si="0"/>
        <v>42403</v>
      </c>
      <c r="B24" s="231" t="str">
        <f ca="1">IF(ROWS($1:8)&gt;COUNT(Dong14),"",OFFSET(TH!D$1,SMALL(Dong14,ROWS($1:8)),))</f>
        <v>CTGS</v>
      </c>
      <c r="C24" s="227">
        <f ca="1">IF(ROWS($1:8)&gt;COUNT(Dong14),"",OFFSET(TH!E$1,SMALL(Dong14,ROWS($1:8)),))</f>
        <v>42403</v>
      </c>
      <c r="D24" s="924" t="str">
        <f ca="1">IF(ROWS($1:8)&gt;COUNT(Dong14),"",OFFSET(TH!F$1,SMALL(Dong14,ROWS($1:8)),))</f>
        <v>Phí dịch vụ thanh toán, điện phí</v>
      </c>
      <c r="E24" s="922" t="str">
        <f ca="1">IF(ROWS($1:8)&gt;COUNT(Dong14),"",IF(OFFSET(TH!N$1,SMALL(Dong14,ROWS($1:8)),)="131",OFFSET(TH!O$1,SMALL(Dong14,ROWS($1:8)),),OFFSET(TH!N$1,SMALL(Dong14,ROWS($1:8)),)))</f>
        <v>642</v>
      </c>
      <c r="F24" s="922">
        <f ca="1">IF(ROWS($1:8)&gt;COUNT(Dong14),0,OFFSET(TH!L$1,SMALL(Dong14,ROWS($1:8)),))</f>
        <v>22250</v>
      </c>
      <c r="G24" s="922"/>
      <c r="H24" s="923">
        <f ca="1">IF(ROWS($1:8)&gt;COUNT(Dong14),0,IF(OFFSET(TH!N$1,SMALL(Dong14,ROWS($1:8)),)="131",OFFSET(TH!K$1,SMALL(Dong14,ROWS($1:8)),),0))</f>
        <v>0</v>
      </c>
      <c r="I24" s="922">
        <f ca="1">IF(ROWS($1:8)&gt;COUNT(Dong14),0,IF(OFFSET(TH!N$1,SMALL(Dong14,ROWS($1:8)),)="131",OFFSET(TH!M$1,SMALL(Dong14,ROWS($1:8)),),0))</f>
        <v>0</v>
      </c>
      <c r="J24" s="923">
        <f ca="1">IF(ROWS($1:8)&gt;COUNT(Dong14),0,IF(OFFSET(TH!O$1,SMALL(Dong14,ROWS($1:8)),)="131",OFFSET(TH!K$1,SMALL(Dong14,ROWS($1:8)),),0))</f>
        <v>54.22</v>
      </c>
      <c r="K24" s="922">
        <f ca="1">IF(ROWS($1:8)&gt;COUNT(Dong14),0,IF(OFFSET(TH!O$1,SMALL(Dong14,ROWS($1:8)),)="131",OFFSET(TH!M$1,SMALL(Dong14,ROWS($1:8)),),0))</f>
        <v>1206395</v>
      </c>
      <c r="L24" s="916">
        <f t="shared" ca="1" si="1"/>
        <v>110540.42</v>
      </c>
      <c r="M24" s="915">
        <f t="shared" ca="1" si="2"/>
        <v>2456447620</v>
      </c>
      <c r="N24" s="916">
        <f t="shared" ca="1" si="3"/>
        <v>0</v>
      </c>
      <c r="O24" s="915">
        <f t="shared" ca="1" si="4"/>
        <v>0</v>
      </c>
    </row>
    <row r="25" spans="1:16" s="5" customFormat="1" ht="16.5" customHeight="1">
      <c r="A25" s="227">
        <f t="shared" ca="1" si="0"/>
        <v>42403</v>
      </c>
      <c r="B25" s="231" t="str">
        <f ca="1">IF(ROWS($1:9)&gt;COUNT(Dong14),"",OFFSET(TH!D$1,SMALL(Dong14,ROWS($1:9)),))</f>
        <v>CTGS</v>
      </c>
      <c r="C25" s="227">
        <f ca="1">IF(ROWS($1:9)&gt;COUNT(Dong14),"",OFFSET(TH!E$1,SMALL(Dong14,ROWS($1:9)),))</f>
        <v>42403</v>
      </c>
      <c r="D25" s="924" t="str">
        <f ca="1">IF(ROWS($1:9)&gt;COUNT(Dong14),"",OFFSET(TH!F$1,SMALL(Dong14,ROWS($1:9)),))</f>
        <v>VAT Phí dịch vụ thanh toán, điện phí</v>
      </c>
      <c r="E25" s="922" t="str">
        <f ca="1">IF(ROWS($1:9)&gt;COUNT(Dong14),"",IF(OFFSET(TH!N$1,SMALL(Dong14,ROWS($1:9)),)="131",OFFSET(TH!O$1,SMALL(Dong14,ROWS($1:9)),),OFFSET(TH!N$1,SMALL(Dong14,ROWS($1:9)),)))</f>
        <v>1331</v>
      </c>
      <c r="F25" s="922">
        <f ca="1">IF(ROWS($1:9)&gt;COUNT(Dong14),0,OFFSET(TH!L$1,SMALL(Dong14,ROWS($1:9)),))</f>
        <v>22250</v>
      </c>
      <c r="G25" s="922"/>
      <c r="H25" s="923">
        <f ca="1">IF(ROWS($1:9)&gt;COUNT(Dong14),0,IF(OFFSET(TH!N$1,SMALL(Dong14,ROWS($1:9)),)="131",OFFSET(TH!K$1,SMALL(Dong14,ROWS($1:9)),),0))</f>
        <v>0</v>
      </c>
      <c r="I25" s="922">
        <f ca="1">IF(ROWS($1:9)&gt;COUNT(Dong14),0,IF(OFFSET(TH!N$1,SMALL(Dong14,ROWS($1:9)),)="131",OFFSET(TH!M$1,SMALL(Dong14,ROWS($1:9)),),0))</f>
        <v>0</v>
      </c>
      <c r="J25" s="923">
        <f ca="1">IF(ROWS($1:9)&gt;COUNT(Dong14),0,IF(OFFSET(TH!O$1,SMALL(Dong14,ROWS($1:9)),)="131",OFFSET(TH!K$1,SMALL(Dong14,ROWS($1:9)),),0))</f>
        <v>5.42</v>
      </c>
      <c r="K25" s="922">
        <f ca="1">IF(ROWS($1:9)&gt;COUNT(Dong14),0,IF(OFFSET(TH!O$1,SMALL(Dong14,ROWS($1:9)),)="131",OFFSET(TH!M$1,SMALL(Dong14,ROWS($1:9)),),0))</f>
        <v>120595</v>
      </c>
      <c r="L25" s="916">
        <f t="shared" ca="1" si="1"/>
        <v>110535</v>
      </c>
      <c r="M25" s="915">
        <f t="shared" ca="1" si="2"/>
        <v>2456327025</v>
      </c>
      <c r="N25" s="916">
        <f t="shared" ca="1" si="3"/>
        <v>0</v>
      </c>
      <c r="O25" s="915">
        <f t="shared" ca="1" si="4"/>
        <v>0</v>
      </c>
    </row>
    <row r="26" spans="1:16" s="5" customFormat="1" ht="16.5" customHeight="1">
      <c r="A26" s="227">
        <f t="shared" ca="1" si="0"/>
        <v>42420</v>
      </c>
      <c r="B26" s="231" t="str">
        <f ca="1">IF(ROWS($1:10)&gt;COUNT(Dong14),"",OFFSET(TH!D$1,SMALL(Dong14,ROWS($1:10)),))</f>
        <v>GBC</v>
      </c>
      <c r="C26" s="227">
        <f ca="1">IF(ROWS($1:10)&gt;COUNT(Dong14),"",OFFSET(TH!E$1,SMALL(Dong14,ROWS($1:10)),))</f>
        <v>42420</v>
      </c>
      <c r="D26" s="924" t="str">
        <f ca="1">IF(ROWS($1:10)&gt;COUNT(Dong14),"",OFFSET(TH!F$1,SMALL(Dong14,ROWS($1:10)),))</f>
        <v>Q4 - Thu tiền hàng - O.Cheon</v>
      </c>
      <c r="E26" s="922" t="str">
        <f ca="1">IF(ROWS($1:10)&gt;COUNT(Dong14),"",IF(OFFSET(TH!N$1,SMALL(Dong14,ROWS($1:10)),)="131",OFFSET(TH!O$1,SMALL(Dong14,ROWS($1:10)),),OFFSET(TH!N$1,SMALL(Dong14,ROWS($1:10)),)))</f>
        <v>1122</v>
      </c>
      <c r="F26" s="922">
        <f ca="1">IF(ROWS($1:10)&gt;COUNT(Dong14),0,OFFSET(TH!L$1,SMALL(Dong14,ROWS($1:10)),))</f>
        <v>22345</v>
      </c>
      <c r="G26" s="922"/>
      <c r="H26" s="923">
        <f ca="1">IF(ROWS($1:10)&gt;COUNT(Dong14),0,IF(OFFSET(TH!N$1,SMALL(Dong14,ROWS($1:10)),)="131",OFFSET(TH!K$1,SMALL(Dong14,ROWS($1:10)),),0))</f>
        <v>0</v>
      </c>
      <c r="I26" s="922">
        <f ca="1">IF(ROWS($1:10)&gt;COUNT(Dong14),0,IF(OFFSET(TH!N$1,SMALL(Dong14,ROWS($1:10)),)="131",OFFSET(TH!M$1,SMALL(Dong14,ROWS($1:10)),),0))</f>
        <v>0</v>
      </c>
      <c r="J26" s="923">
        <f ca="1">IF(ROWS($1:10)&gt;COUNT(Dong14),0,IF(OFFSET(TH!O$1,SMALL(Dong14,ROWS($1:10)),)="131",OFFSET(TH!K$1,SMALL(Dong14,ROWS($1:10)),),0))</f>
        <v>4819.12</v>
      </c>
      <c r="K26" s="922">
        <f ca="1">IF(ROWS($1:10)&gt;COUNT(Dong14),0,IF(OFFSET(TH!O$1,SMALL(Dong14,ROWS($1:10)),)="131",OFFSET(TH!M$1,SMALL(Dong14,ROWS($1:10)),),0))</f>
        <v>107683236</v>
      </c>
      <c r="L26" s="916">
        <f t="shared" ca="1" si="1"/>
        <v>105715.88</v>
      </c>
      <c r="M26" s="915">
        <f t="shared" ca="1" si="2"/>
        <v>2348643789</v>
      </c>
      <c r="N26" s="916">
        <f t="shared" ca="1" si="3"/>
        <v>0</v>
      </c>
      <c r="O26" s="915">
        <f t="shared" ca="1" si="4"/>
        <v>0</v>
      </c>
    </row>
    <row r="27" spans="1:16" s="5" customFormat="1" ht="16.5" customHeight="1">
      <c r="A27" s="227">
        <f t="shared" ca="1" si="0"/>
        <v>42420</v>
      </c>
      <c r="B27" s="231" t="str">
        <f ca="1">IF(ROWS($1:11)&gt;COUNT(Dong14),"",OFFSET(TH!D$1,SMALL(Dong14,ROWS($1:11)),))</f>
        <v>CTGS</v>
      </c>
      <c r="C27" s="227">
        <f ca="1">IF(ROWS($1:11)&gt;COUNT(Dong14),"",OFFSET(TH!E$1,SMALL(Dong14,ROWS($1:11)),))</f>
        <v>42420</v>
      </c>
      <c r="D27" s="924" t="str">
        <f ca="1">IF(ROWS($1:11)&gt;COUNT(Dong14),"",OFFSET(TH!F$1,SMALL(Dong14,ROWS($1:11)),))</f>
        <v>Phí dịch vụ thanh toán ngoài nước</v>
      </c>
      <c r="E27" s="922" t="str">
        <f ca="1">IF(ROWS($1:11)&gt;COUNT(Dong14),"",IF(OFFSET(TH!N$1,SMALL(Dong14,ROWS($1:11)),)="131",OFFSET(TH!O$1,SMALL(Dong14,ROWS($1:11)),),OFFSET(TH!N$1,SMALL(Dong14,ROWS($1:11)),)))</f>
        <v>642</v>
      </c>
      <c r="F27" s="922">
        <f ca="1">IF(ROWS($1:11)&gt;COUNT(Dong14),0,OFFSET(TH!L$1,SMALL(Dong14,ROWS($1:11)),))</f>
        <v>22345</v>
      </c>
      <c r="G27" s="922"/>
      <c r="H27" s="923">
        <f ca="1">IF(ROWS($1:11)&gt;COUNT(Dong14),0,IF(OFFSET(TH!N$1,SMALL(Dong14,ROWS($1:11)),)="131",OFFSET(TH!K$1,SMALL(Dong14,ROWS($1:11)),),0))</f>
        <v>0</v>
      </c>
      <c r="I27" s="922">
        <f ca="1">IF(ROWS($1:11)&gt;COUNT(Dong14),0,IF(OFFSET(TH!N$1,SMALL(Dong14,ROWS($1:11)),)="131",OFFSET(TH!M$1,SMALL(Dong14,ROWS($1:11)),),0))</f>
        <v>0</v>
      </c>
      <c r="J27" s="923">
        <f ca="1">IF(ROWS($1:11)&gt;COUNT(Dong14),0,IF(OFFSET(TH!O$1,SMALL(Dong14,ROWS($1:11)),)="131",OFFSET(TH!K$1,SMALL(Dong14,ROWS($1:11)),),0))</f>
        <v>154.44</v>
      </c>
      <c r="K27" s="922">
        <f ca="1">IF(ROWS($1:11)&gt;COUNT(Dong14),0,IF(OFFSET(TH!O$1,SMALL(Dong14,ROWS($1:11)),)="131",OFFSET(TH!M$1,SMALL(Dong14,ROWS($1:11)),),0))</f>
        <v>3450962</v>
      </c>
      <c r="L27" s="916">
        <f t="shared" ca="1" si="1"/>
        <v>105561.44</v>
      </c>
      <c r="M27" s="915">
        <f t="shared" ca="1" si="2"/>
        <v>2345192827</v>
      </c>
      <c r="N27" s="916">
        <f t="shared" ca="1" si="3"/>
        <v>0</v>
      </c>
      <c r="O27" s="915">
        <f t="shared" ca="1" si="4"/>
        <v>0</v>
      </c>
    </row>
    <row r="28" spans="1:16" s="5" customFormat="1" ht="16.5" customHeight="1">
      <c r="A28" s="227">
        <f t="shared" ca="1" si="0"/>
        <v>42420</v>
      </c>
      <c r="B28" s="231" t="str">
        <f ca="1">IF(ROWS($1:12)&gt;COUNT(Dong14),"",OFFSET(TH!D$1,SMALL(Dong14,ROWS($1:12)),))</f>
        <v>CTGS</v>
      </c>
      <c r="C28" s="227">
        <f ca="1">IF(ROWS($1:12)&gt;COUNT(Dong14),"",OFFSET(TH!E$1,SMALL(Dong14,ROWS($1:12)),))</f>
        <v>42420</v>
      </c>
      <c r="D28" s="924" t="str">
        <f ca="1">IF(ROWS($1:12)&gt;COUNT(Dong14),"",OFFSET(TH!F$1,SMALL(Dong14,ROWS($1:12)),))</f>
        <v>VAT Phí dịch vụ thanh toán ngoài nước</v>
      </c>
      <c r="E28" s="922" t="str">
        <f ca="1">IF(ROWS($1:12)&gt;COUNT(Dong14),"",IF(OFFSET(TH!N$1,SMALL(Dong14,ROWS($1:12)),)="131",OFFSET(TH!O$1,SMALL(Dong14,ROWS($1:12)),),OFFSET(TH!N$1,SMALL(Dong14,ROWS($1:12)),)))</f>
        <v>1331</v>
      </c>
      <c r="F28" s="922">
        <f ca="1">IF(ROWS($1:12)&gt;COUNT(Dong14),0,OFFSET(TH!L$1,SMALL(Dong14,ROWS($1:12)),))</f>
        <v>22345</v>
      </c>
      <c r="G28" s="922"/>
      <c r="H28" s="923">
        <f ca="1">IF(ROWS($1:12)&gt;COUNT(Dong14),0,IF(OFFSET(TH!N$1,SMALL(Dong14,ROWS($1:12)),)="131",OFFSET(TH!K$1,SMALL(Dong14,ROWS($1:12)),),0))</f>
        <v>0</v>
      </c>
      <c r="I28" s="922">
        <f ca="1">IF(ROWS($1:12)&gt;COUNT(Dong14),0,IF(OFFSET(TH!N$1,SMALL(Dong14,ROWS($1:12)),)="131",OFFSET(TH!M$1,SMALL(Dong14,ROWS($1:12)),),0))</f>
        <v>0</v>
      </c>
      <c r="J28" s="923">
        <f ca="1">IF(ROWS($1:12)&gt;COUNT(Dong14),0,IF(OFFSET(TH!O$1,SMALL(Dong14,ROWS($1:12)),)="131",OFFSET(TH!K$1,SMALL(Dong14,ROWS($1:12)),),0))</f>
        <v>15.44</v>
      </c>
      <c r="K28" s="922">
        <f ca="1">IF(ROWS($1:12)&gt;COUNT(Dong14),0,IF(OFFSET(TH!O$1,SMALL(Dong14,ROWS($1:12)),)="131",OFFSET(TH!M$1,SMALL(Dong14,ROWS($1:12)),),0))</f>
        <v>345007</v>
      </c>
      <c r="L28" s="916">
        <f t="shared" ca="1" si="1"/>
        <v>105546</v>
      </c>
      <c r="M28" s="915">
        <f t="shared" ca="1" si="2"/>
        <v>2344847820</v>
      </c>
      <c r="N28" s="916">
        <f t="shared" ca="1" si="3"/>
        <v>0</v>
      </c>
      <c r="O28" s="915">
        <f t="shared" ca="1" si="4"/>
        <v>0</v>
      </c>
    </row>
    <row r="29" spans="1:16" s="5" customFormat="1" ht="16.5" customHeight="1">
      <c r="A29" s="227">
        <f t="shared" ca="1" si="0"/>
        <v>42420</v>
      </c>
      <c r="B29" s="231" t="str">
        <f ca="1">IF(ROWS($1:13)&gt;COUNT(Dong14),"",OFFSET(TH!D$1,SMALL(Dong14,ROWS($1:13)),))</f>
        <v>CTGS</v>
      </c>
      <c r="C29" s="227">
        <f ca="1">IF(ROWS($1:13)&gt;COUNT(Dong14),"",OFFSET(TH!E$1,SMALL(Dong14,ROWS($1:13)),))</f>
        <v>42420</v>
      </c>
      <c r="D29" s="924" t="str">
        <f ca="1">IF(ROWS($1:13)&gt;COUNT(Dong14),"",OFFSET(TH!F$1,SMALL(Dong14,ROWS($1:13)),))</f>
        <v>Phí thanh toán nước ngoài</v>
      </c>
      <c r="E29" s="922" t="str">
        <f ca="1">IF(ROWS($1:13)&gt;COUNT(Dong14),"",IF(OFFSET(TH!N$1,SMALL(Dong14,ROWS($1:13)),)="131",OFFSET(TH!O$1,SMALL(Dong14,ROWS($1:13)),),OFFSET(TH!N$1,SMALL(Dong14,ROWS($1:13)),)))</f>
        <v>642</v>
      </c>
      <c r="F29" s="922">
        <f ca="1">IF(ROWS($1:13)&gt;COUNT(Dong14),0,OFFSET(TH!L$1,SMALL(Dong14,ROWS($1:13)),))</f>
        <v>22345</v>
      </c>
      <c r="G29" s="922"/>
      <c r="H29" s="923">
        <f ca="1">IF(ROWS($1:13)&gt;COUNT(Dong14),0,IF(OFFSET(TH!N$1,SMALL(Dong14,ROWS($1:13)),)="131",OFFSET(TH!K$1,SMALL(Dong14,ROWS($1:13)),),0))</f>
        <v>0</v>
      </c>
      <c r="I29" s="922">
        <f ca="1">IF(ROWS($1:13)&gt;COUNT(Dong14),0,IF(OFFSET(TH!N$1,SMALL(Dong14,ROWS($1:13)),)="131",OFFSET(TH!M$1,SMALL(Dong14,ROWS($1:13)),),0))</f>
        <v>0</v>
      </c>
      <c r="J29" s="923">
        <f ca="1">IF(ROWS($1:13)&gt;COUNT(Dong14),0,IF(OFFSET(TH!O$1,SMALL(Dong14,ROWS($1:13)),)="131",OFFSET(TH!K$1,SMALL(Dong14,ROWS($1:13)),),0))</f>
        <v>171</v>
      </c>
      <c r="K29" s="922">
        <f ca="1">IF(ROWS($1:13)&gt;COUNT(Dong14),0,IF(OFFSET(TH!O$1,SMALL(Dong14,ROWS($1:13)),)="131",OFFSET(TH!M$1,SMALL(Dong14,ROWS($1:13)),),0))</f>
        <v>3820995</v>
      </c>
      <c r="L29" s="916">
        <f t="shared" ca="1" si="1"/>
        <v>105375</v>
      </c>
      <c r="M29" s="915">
        <f t="shared" ca="1" si="2"/>
        <v>2341026825</v>
      </c>
      <c r="N29" s="916">
        <f t="shared" ca="1" si="3"/>
        <v>0</v>
      </c>
      <c r="O29" s="915">
        <f t="shared" ca="1" si="4"/>
        <v>0</v>
      </c>
    </row>
    <row r="30" spans="1:16" s="5" customFormat="1" ht="16.5" customHeight="1">
      <c r="A30" s="227">
        <f t="shared" ca="1" si="0"/>
        <v>42420</v>
      </c>
      <c r="B30" s="231" t="str">
        <f ca="1">IF(ROWS($1:14)&gt;COUNT(Dong14),"",OFFSET(TH!D$1,SMALL(Dong14,ROWS($1:14)),))</f>
        <v>CTGS</v>
      </c>
      <c r="C30" s="227">
        <f ca="1">IF(ROWS($1:14)&gt;COUNT(Dong14),"",OFFSET(TH!E$1,SMALL(Dong14,ROWS($1:14)),))</f>
        <v>42420</v>
      </c>
      <c r="D30" s="924" t="str">
        <f ca="1">IF(ROWS($1:14)&gt;COUNT(Dong14),"",OFFSET(TH!F$1,SMALL(Dong14,ROWS($1:14)),))</f>
        <v>Chênh lệch tỷ giá</v>
      </c>
      <c r="E30" s="922" t="str">
        <f ca="1">IF(ROWS($1:14)&gt;COUNT(Dong14),"",IF(OFFSET(TH!N$1,SMALL(Dong14,ROWS($1:14)),)="131",OFFSET(TH!O$1,SMALL(Dong14,ROWS($1:14)),),OFFSET(TH!N$1,SMALL(Dong14,ROWS($1:14)),)))</f>
        <v>515</v>
      </c>
      <c r="F30" s="922">
        <f ca="1">IF(ROWS($1:14)&gt;COUNT(Dong14),0,OFFSET(TH!L$1,SMALL(Dong14,ROWS($1:14)),))</f>
        <v>0</v>
      </c>
      <c r="G30" s="922"/>
      <c r="H30" s="923">
        <f ca="1">IF(ROWS($1:14)&gt;COUNT(Dong14),0,IF(OFFSET(TH!N$1,SMALL(Dong14,ROWS($1:14)),)="131",OFFSET(TH!K$1,SMALL(Dong14,ROWS($1:14)),),0))</f>
        <v>0</v>
      </c>
      <c r="I30" s="922">
        <f ca="1">IF(ROWS($1:14)&gt;COUNT(Dong14),0,IF(OFFSET(TH!N$1,SMALL(Dong14,ROWS($1:14)),)="131",OFFSET(TH!M$1,SMALL(Dong14,ROWS($1:14)),),0))</f>
        <v>4093800</v>
      </c>
      <c r="J30" s="923">
        <f ca="1">IF(ROWS($1:14)&gt;COUNT(Dong14),0,IF(OFFSET(TH!O$1,SMALL(Dong14,ROWS($1:14)),)="131",OFFSET(TH!K$1,SMALL(Dong14,ROWS($1:14)),),0))</f>
        <v>0</v>
      </c>
      <c r="K30" s="922">
        <f ca="1">IF(ROWS($1:14)&gt;COUNT(Dong14),0,IF(OFFSET(TH!O$1,SMALL(Dong14,ROWS($1:14)),)="131",OFFSET(TH!M$1,SMALL(Dong14,ROWS($1:14)),),0))</f>
        <v>0</v>
      </c>
      <c r="L30" s="916">
        <f t="shared" ca="1" si="1"/>
        <v>105375</v>
      </c>
      <c r="M30" s="915">
        <f t="shared" ca="1" si="2"/>
        <v>2345120625</v>
      </c>
      <c r="N30" s="916">
        <f t="shared" ca="1" si="3"/>
        <v>0</v>
      </c>
      <c r="O30" s="915">
        <f t="shared" ca="1" si="4"/>
        <v>0</v>
      </c>
    </row>
    <row r="31" spans="1:16" s="5" customFormat="1" ht="16.5" customHeight="1">
      <c r="A31" s="227">
        <f t="shared" ca="1" si="0"/>
        <v>42444</v>
      </c>
      <c r="B31" s="231" t="str">
        <f ca="1">IF(ROWS($1:15)&gt;COUNT(Dong14),"",OFFSET(TH!D$1,SMALL(Dong14,ROWS($1:15)),))</f>
        <v>GBC</v>
      </c>
      <c r="C31" s="227">
        <f ca="1">IF(ROWS($1:15)&gt;COUNT(Dong14),"",OFFSET(TH!E$1,SMALL(Dong14,ROWS($1:15)),))</f>
        <v>42444</v>
      </c>
      <c r="D31" s="924" t="str">
        <f ca="1">IF(ROWS($1:15)&gt;COUNT(Dong14),"",OFFSET(TH!F$1,SMALL(Dong14,ROWS($1:15)),))</f>
        <v>Chiết khấu LC</v>
      </c>
      <c r="E31" s="922" t="str">
        <f ca="1">IF(ROWS($1:15)&gt;COUNT(Dong14),"",IF(OFFSET(TH!N$1,SMALL(Dong14,ROWS($1:15)),)="131",OFFSET(TH!O$1,SMALL(Dong14,ROWS($1:15)),),OFFSET(TH!N$1,SMALL(Dong14,ROWS($1:15)),)))</f>
        <v>1122</v>
      </c>
      <c r="F31" s="922">
        <f ca="1">IF(ROWS($1:15)&gt;COUNT(Dong14),0,OFFSET(TH!L$1,SMALL(Dong14,ROWS($1:15)),))</f>
        <v>22295</v>
      </c>
      <c r="G31" s="922"/>
      <c r="H31" s="923">
        <f ca="1">IF(ROWS($1:15)&gt;COUNT(Dong14),0,IF(OFFSET(TH!N$1,SMALL(Dong14,ROWS($1:15)),)="131",OFFSET(TH!K$1,SMALL(Dong14,ROWS($1:15)),),0))</f>
        <v>0</v>
      </c>
      <c r="I31" s="922">
        <f ca="1">IF(ROWS($1:15)&gt;COUNT(Dong14),0,IF(OFFSET(TH!N$1,SMALL(Dong14,ROWS($1:15)),)="131",OFFSET(TH!M$1,SMALL(Dong14,ROWS($1:15)),),0))</f>
        <v>0</v>
      </c>
      <c r="J31" s="923">
        <f ca="1">IF(ROWS($1:15)&gt;COUNT(Dong14),0,IF(OFFSET(TH!O$1,SMALL(Dong14,ROWS($1:15)),)="131",OFFSET(TH!K$1,SMALL(Dong14,ROWS($1:15)),),0))</f>
        <v>100100</v>
      </c>
      <c r="K31" s="922">
        <f ca="1">IF(ROWS($1:15)&gt;COUNT(Dong14),0,IF(OFFSET(TH!O$1,SMALL(Dong14,ROWS($1:15)),)="131",OFFSET(TH!M$1,SMALL(Dong14,ROWS($1:15)),),0))</f>
        <v>2231729500</v>
      </c>
      <c r="L31" s="916">
        <f t="shared" ca="1" si="1"/>
        <v>5275</v>
      </c>
      <c r="M31" s="915">
        <f t="shared" ca="1" si="2"/>
        <v>113391125</v>
      </c>
      <c r="N31" s="916">
        <f t="shared" ca="1" si="3"/>
        <v>0</v>
      </c>
      <c r="O31" s="915">
        <f t="shared" ca="1" si="4"/>
        <v>0</v>
      </c>
      <c r="P31" s="252"/>
    </row>
    <row r="32" spans="1:16" s="5" customFormat="1" ht="16.5" customHeight="1">
      <c r="A32" s="227">
        <f t="shared" ca="1" si="0"/>
        <v>42458</v>
      </c>
      <c r="B32" s="231" t="str">
        <f ca="1">IF(ROWS($1:16)&gt;COUNT(Dong14),"",OFFSET(TH!D$1,SMALL(Dong14,ROWS($1:16)),))</f>
        <v>GBC</v>
      </c>
      <c r="C32" s="227">
        <f ca="1">IF(ROWS($1:16)&gt;COUNT(Dong14),"",OFFSET(TH!E$1,SMALL(Dong14,ROWS($1:16)),))</f>
        <v>42458</v>
      </c>
      <c r="D32" s="924" t="str">
        <f ca="1">IF(ROWS($1:16)&gt;COUNT(Dong14),"",OFFSET(TH!F$1,SMALL(Dong14,ROWS($1:16)),))</f>
        <v>Tiền hàng</v>
      </c>
      <c r="E32" s="922" t="str">
        <f ca="1">IF(ROWS($1:16)&gt;COUNT(Dong14),"",IF(OFFSET(TH!N$1,SMALL(Dong14,ROWS($1:16)),)="131",OFFSET(TH!O$1,SMALL(Dong14,ROWS($1:16)),),OFFSET(TH!N$1,SMALL(Dong14,ROWS($1:16)),)))</f>
        <v>1122</v>
      </c>
      <c r="F32" s="922">
        <f ca="1">IF(ROWS($1:16)&gt;COUNT(Dong14),0,OFFSET(TH!L$1,SMALL(Dong14,ROWS($1:16)),))</f>
        <v>22295</v>
      </c>
      <c r="G32" s="922"/>
      <c r="H32" s="923">
        <f ca="1">IF(ROWS($1:16)&gt;COUNT(Dong14),0,IF(OFFSET(TH!N$1,SMALL(Dong14,ROWS($1:16)),)="131",OFFSET(TH!K$1,SMALL(Dong14,ROWS($1:16)),),0))</f>
        <v>0</v>
      </c>
      <c r="I32" s="922">
        <f ca="1">IF(ROWS($1:16)&gt;COUNT(Dong14),0,IF(OFFSET(TH!N$1,SMALL(Dong14,ROWS($1:16)),)="131",OFFSET(TH!M$1,SMALL(Dong14,ROWS($1:16)),),0))</f>
        <v>0</v>
      </c>
      <c r="J32" s="923">
        <f ca="1">IF(ROWS($1:16)&gt;COUNT(Dong14),0,IF(OFFSET(TH!O$1,SMALL(Dong14,ROWS($1:16)),)="131",OFFSET(TH!K$1,SMALL(Dong14,ROWS($1:16)),),0))</f>
        <v>4930.13</v>
      </c>
      <c r="K32" s="922">
        <f ca="1">IF(ROWS($1:16)&gt;COUNT(Dong14),0,IF(OFFSET(TH!O$1,SMALL(Dong14,ROWS($1:16)),)="131",OFFSET(TH!M$1,SMALL(Dong14,ROWS($1:16)),),0))</f>
        <v>109917248</v>
      </c>
      <c r="L32" s="916">
        <f t="shared" ca="1" si="1"/>
        <v>344.87</v>
      </c>
      <c r="M32" s="915">
        <f t="shared" ca="1" si="2"/>
        <v>3473877</v>
      </c>
      <c r="N32" s="916">
        <f t="shared" ca="1" si="3"/>
        <v>0</v>
      </c>
      <c r="O32" s="915">
        <f t="shared" ca="1" si="4"/>
        <v>0</v>
      </c>
    </row>
    <row r="33" spans="1:15" s="5" customFormat="1" ht="16.5" customHeight="1">
      <c r="A33" s="227" t="str">
        <f t="shared" ca="1" si="0"/>
        <v/>
      </c>
      <c r="B33" s="231" t="str">
        <f ca="1">IF(ROWS($1:17)&gt;COUNT(Dong14),"",OFFSET(TH!D$1,SMALL(Dong14,ROWS($1:17)),))</f>
        <v/>
      </c>
      <c r="C33" s="227" t="str">
        <f ca="1">IF(ROWS($1:17)&gt;COUNT(Dong14),"",OFFSET(TH!E$1,SMALL(Dong14,ROWS($1:17)),))</f>
        <v/>
      </c>
      <c r="D33" s="924" t="str">
        <f ca="1">IF(ROWS($1:17)&gt;COUNT(Dong14),"",OFFSET(TH!F$1,SMALL(Dong14,ROWS($1:17)),))</f>
        <v/>
      </c>
      <c r="E33" s="922" t="str">
        <f ca="1">IF(ROWS($1:17)&gt;COUNT(Dong14),"",IF(OFFSET(TH!N$1,SMALL(Dong14,ROWS($1:17)),)="131",OFFSET(TH!O$1,SMALL(Dong14,ROWS($1:17)),),OFFSET(TH!N$1,SMALL(Dong14,ROWS($1:17)),)))</f>
        <v/>
      </c>
      <c r="F33" s="922">
        <f ca="1">IF(ROWS($1:17)&gt;COUNT(Dong14),0,OFFSET(TH!L$1,SMALL(Dong14,ROWS($1:17)),))</f>
        <v>0</v>
      </c>
      <c r="G33" s="922"/>
      <c r="H33" s="923">
        <f ca="1">IF(ROWS($1:17)&gt;COUNT(Dong14),0,IF(OFFSET(TH!N$1,SMALL(Dong14,ROWS($1:17)),)="131",OFFSET(TH!K$1,SMALL(Dong14,ROWS($1:17)),),0))</f>
        <v>0</v>
      </c>
      <c r="I33" s="922">
        <f ca="1">IF(ROWS($1:17)&gt;COUNT(Dong14),0,IF(OFFSET(TH!N$1,SMALL(Dong14,ROWS($1:17)),)="131",OFFSET(TH!M$1,SMALL(Dong14,ROWS($1:17)),),0))</f>
        <v>0</v>
      </c>
      <c r="J33" s="923">
        <f ca="1">IF(ROWS($1:17)&gt;COUNT(Dong14),0,IF(OFFSET(TH!O$1,SMALL(Dong14,ROWS($1:17)),)="131",OFFSET(TH!K$1,SMALL(Dong14,ROWS($1:17)),),0))</f>
        <v>0</v>
      </c>
      <c r="K33" s="922">
        <f ca="1">IF(ROWS($1:17)&gt;COUNT(Dong14),0,IF(OFFSET(TH!O$1,SMALL(Dong14,ROWS($1:17)),)="131",OFFSET(TH!M$1,SMALL(Dong14,ROWS($1:17)),),0))</f>
        <v>0</v>
      </c>
      <c r="L33" s="916">
        <f t="shared" ca="1" si="1"/>
        <v>0</v>
      </c>
      <c r="M33" s="915">
        <f t="shared" ca="1" si="2"/>
        <v>0</v>
      </c>
      <c r="N33" s="916">
        <f t="shared" ca="1" si="3"/>
        <v>0</v>
      </c>
      <c r="O33" s="915">
        <f t="shared" ca="1" si="4"/>
        <v>0</v>
      </c>
    </row>
    <row r="34" spans="1:15" s="5" customFormat="1" ht="16.5" customHeight="1">
      <c r="A34" s="227" t="str">
        <f t="shared" ca="1" si="0"/>
        <v/>
      </c>
      <c r="B34" s="231" t="str">
        <f ca="1">IF(ROWS($1:18)&gt;COUNT(Dong14),"",OFFSET(TH!D$1,SMALL(Dong14,ROWS($1:18)),))</f>
        <v/>
      </c>
      <c r="C34" s="227" t="str">
        <f ca="1">IF(ROWS($1:18)&gt;COUNT(Dong14),"",OFFSET(TH!E$1,SMALL(Dong14,ROWS($1:18)),))</f>
        <v/>
      </c>
      <c r="D34" s="924" t="str">
        <f ca="1">IF(ROWS($1:18)&gt;COUNT(Dong14),"",OFFSET(TH!F$1,SMALL(Dong14,ROWS($1:18)),))</f>
        <v/>
      </c>
      <c r="E34" s="922" t="str">
        <f ca="1">IF(ROWS($1:18)&gt;COUNT(Dong14),"",IF(OFFSET(TH!N$1,SMALL(Dong14,ROWS($1:18)),)="131",OFFSET(TH!O$1,SMALL(Dong14,ROWS($1:18)),),OFFSET(TH!N$1,SMALL(Dong14,ROWS($1:18)),)))</f>
        <v/>
      </c>
      <c r="F34" s="922">
        <f ca="1">IF(ROWS($1:18)&gt;COUNT(Dong14),0,OFFSET(TH!L$1,SMALL(Dong14,ROWS($1:18)),))</f>
        <v>0</v>
      </c>
      <c r="G34" s="922"/>
      <c r="H34" s="923">
        <f ca="1">IF(ROWS($1:18)&gt;COUNT(Dong14),0,IF(OFFSET(TH!N$1,SMALL(Dong14,ROWS($1:18)),)="131",OFFSET(TH!K$1,SMALL(Dong14,ROWS($1:18)),),0))</f>
        <v>0</v>
      </c>
      <c r="I34" s="922">
        <f ca="1">IF(ROWS($1:18)&gt;COUNT(Dong14),0,IF(OFFSET(TH!N$1,SMALL(Dong14,ROWS($1:18)),)="131",OFFSET(TH!M$1,SMALL(Dong14,ROWS($1:18)),),0))</f>
        <v>0</v>
      </c>
      <c r="J34" s="923">
        <f ca="1">IF(ROWS($1:18)&gt;COUNT(Dong14),0,IF(OFFSET(TH!O$1,SMALL(Dong14,ROWS($1:18)),)="131",OFFSET(TH!K$1,SMALL(Dong14,ROWS($1:18)),),0))</f>
        <v>0</v>
      </c>
      <c r="K34" s="922">
        <f ca="1">IF(ROWS($1:18)&gt;COUNT(Dong14),0,IF(OFFSET(TH!O$1,SMALL(Dong14,ROWS($1:18)),)="131",OFFSET(TH!M$1,SMALL(Dong14,ROWS($1:18)),),0))</f>
        <v>0</v>
      </c>
      <c r="L34" s="916">
        <f t="shared" ca="1" si="1"/>
        <v>0</v>
      </c>
      <c r="M34" s="915">
        <f t="shared" ca="1" si="2"/>
        <v>0</v>
      </c>
      <c r="N34" s="916">
        <f t="shared" ca="1" si="3"/>
        <v>0</v>
      </c>
      <c r="O34" s="915">
        <f t="shared" ca="1" si="4"/>
        <v>0</v>
      </c>
    </row>
    <row r="35" spans="1:15" s="5" customFormat="1" ht="16.5" customHeight="1">
      <c r="A35" s="227" t="str">
        <f t="shared" ca="1" si="0"/>
        <v/>
      </c>
      <c r="B35" s="231" t="str">
        <f ca="1">IF(ROWS($1:19)&gt;COUNT(Dong14),"",OFFSET(TH!D$1,SMALL(Dong14,ROWS($1:19)),))</f>
        <v/>
      </c>
      <c r="C35" s="227" t="str">
        <f ca="1">IF(ROWS($1:19)&gt;COUNT(Dong14),"",OFFSET(TH!E$1,SMALL(Dong14,ROWS($1:19)),))</f>
        <v/>
      </c>
      <c r="D35" s="924" t="str">
        <f ca="1">IF(ROWS($1:19)&gt;COUNT(Dong14),"",OFFSET(TH!F$1,SMALL(Dong14,ROWS($1:19)),))</f>
        <v/>
      </c>
      <c r="E35" s="922" t="str">
        <f ca="1">IF(ROWS($1:19)&gt;COUNT(Dong14),"",IF(OFFSET(TH!N$1,SMALL(Dong14,ROWS($1:19)),)="131",OFFSET(TH!O$1,SMALL(Dong14,ROWS($1:19)),),OFFSET(TH!N$1,SMALL(Dong14,ROWS($1:19)),)))</f>
        <v/>
      </c>
      <c r="F35" s="922">
        <f ca="1">IF(ROWS($1:19)&gt;COUNT(Dong14),0,OFFSET(TH!L$1,SMALL(Dong14,ROWS($1:19)),))</f>
        <v>0</v>
      </c>
      <c r="G35" s="922"/>
      <c r="H35" s="923">
        <f ca="1">IF(ROWS($1:19)&gt;COUNT(Dong14),0,IF(OFFSET(TH!N$1,SMALL(Dong14,ROWS($1:19)),)="131",OFFSET(TH!K$1,SMALL(Dong14,ROWS($1:19)),),0))</f>
        <v>0</v>
      </c>
      <c r="I35" s="922">
        <f ca="1">IF(ROWS($1:19)&gt;COUNT(Dong14),0,IF(OFFSET(TH!N$1,SMALL(Dong14,ROWS($1:19)),)="131",OFFSET(TH!M$1,SMALL(Dong14,ROWS($1:19)),),0))</f>
        <v>0</v>
      </c>
      <c r="J35" s="923">
        <f ca="1">IF(ROWS($1:19)&gt;COUNT(Dong14),0,IF(OFFSET(TH!O$1,SMALL(Dong14,ROWS($1:19)),)="131",OFFSET(TH!K$1,SMALL(Dong14,ROWS($1:19)),),0))</f>
        <v>0</v>
      </c>
      <c r="K35" s="922">
        <f ca="1">IF(ROWS($1:19)&gt;COUNT(Dong14),0,IF(OFFSET(TH!O$1,SMALL(Dong14,ROWS($1:19)),)="131",OFFSET(TH!M$1,SMALL(Dong14,ROWS($1:19)),),0))</f>
        <v>0</v>
      </c>
      <c r="L35" s="916">
        <f t="shared" ca="1" si="1"/>
        <v>0</v>
      </c>
      <c r="M35" s="915">
        <f t="shared" ca="1" si="2"/>
        <v>0</v>
      </c>
      <c r="N35" s="916">
        <f t="shared" ca="1" si="3"/>
        <v>0</v>
      </c>
      <c r="O35" s="915">
        <f t="shared" ca="1" si="4"/>
        <v>0</v>
      </c>
    </row>
    <row r="36" spans="1:15" s="5" customFormat="1" ht="16.5" customHeight="1">
      <c r="A36" s="227" t="str">
        <f t="shared" ca="1" si="0"/>
        <v/>
      </c>
      <c r="B36" s="231" t="str">
        <f ca="1">IF(ROWS($1:20)&gt;COUNT(Dong14),"",OFFSET(TH!D$1,SMALL(Dong14,ROWS($1:20)),))</f>
        <v/>
      </c>
      <c r="C36" s="227" t="str">
        <f ca="1">IF(ROWS($1:20)&gt;COUNT(Dong14),"",OFFSET(TH!E$1,SMALL(Dong14,ROWS($1:20)),))</f>
        <v/>
      </c>
      <c r="D36" s="924" t="str">
        <f ca="1">IF(ROWS($1:20)&gt;COUNT(Dong14),"",OFFSET(TH!F$1,SMALL(Dong14,ROWS($1:20)),))</f>
        <v/>
      </c>
      <c r="E36" s="922" t="str">
        <f ca="1">IF(ROWS($1:20)&gt;COUNT(Dong14),"",IF(OFFSET(TH!N$1,SMALL(Dong14,ROWS($1:20)),)="131",OFFSET(TH!O$1,SMALL(Dong14,ROWS($1:20)),),OFFSET(TH!N$1,SMALL(Dong14,ROWS($1:20)),)))</f>
        <v/>
      </c>
      <c r="F36" s="922">
        <f ca="1">IF(ROWS($1:20)&gt;COUNT(Dong14),0,OFFSET(TH!L$1,SMALL(Dong14,ROWS($1:20)),))</f>
        <v>0</v>
      </c>
      <c r="G36" s="922"/>
      <c r="H36" s="923">
        <f ca="1">IF(ROWS($1:20)&gt;COUNT(Dong14),0,IF(OFFSET(TH!N$1,SMALL(Dong14,ROWS($1:20)),)="131",OFFSET(TH!K$1,SMALL(Dong14,ROWS($1:20)),),0))</f>
        <v>0</v>
      </c>
      <c r="I36" s="922">
        <f ca="1">IF(ROWS($1:20)&gt;COUNT(Dong14),0,IF(OFFSET(TH!N$1,SMALL(Dong14,ROWS($1:20)),)="131",OFFSET(TH!M$1,SMALL(Dong14,ROWS($1:20)),),0))</f>
        <v>0</v>
      </c>
      <c r="J36" s="923">
        <f ca="1">IF(ROWS($1:20)&gt;COUNT(Dong14),0,IF(OFFSET(TH!O$1,SMALL(Dong14,ROWS($1:20)),)="131",OFFSET(TH!K$1,SMALL(Dong14,ROWS($1:20)),),0))</f>
        <v>0</v>
      </c>
      <c r="K36" s="922">
        <f ca="1">IF(ROWS($1:20)&gt;COUNT(Dong14),0,IF(OFFSET(TH!O$1,SMALL(Dong14,ROWS($1:20)),)="131",OFFSET(TH!M$1,SMALL(Dong14,ROWS($1:20)),),0))</f>
        <v>0</v>
      </c>
      <c r="L36" s="916">
        <f t="shared" ca="1" si="1"/>
        <v>0</v>
      </c>
      <c r="M36" s="915">
        <f t="shared" ca="1" si="2"/>
        <v>0</v>
      </c>
      <c r="N36" s="916">
        <f t="shared" ca="1" si="3"/>
        <v>0</v>
      </c>
      <c r="O36" s="915">
        <f t="shared" ca="1" si="4"/>
        <v>0</v>
      </c>
    </row>
    <row r="37" spans="1:15" s="5" customFormat="1" ht="16.5" customHeight="1">
      <c r="A37" s="227" t="str">
        <f t="shared" ca="1" si="0"/>
        <v/>
      </c>
      <c r="B37" s="231" t="str">
        <f ca="1">IF(ROWS($1:21)&gt;COUNT(Dong14),"",OFFSET(TH!D$1,SMALL(Dong14,ROWS($1:21)),))</f>
        <v/>
      </c>
      <c r="C37" s="227" t="str">
        <f ca="1">IF(ROWS($1:21)&gt;COUNT(Dong14),"",OFFSET(TH!E$1,SMALL(Dong14,ROWS($1:21)),))</f>
        <v/>
      </c>
      <c r="D37" s="924" t="str">
        <f ca="1">IF(ROWS($1:21)&gt;COUNT(Dong14),"",OFFSET(TH!F$1,SMALL(Dong14,ROWS($1:21)),))</f>
        <v/>
      </c>
      <c r="E37" s="922" t="str">
        <f ca="1">IF(ROWS($1:21)&gt;COUNT(Dong14),"",IF(OFFSET(TH!N$1,SMALL(Dong14,ROWS($1:21)),)="131",OFFSET(TH!O$1,SMALL(Dong14,ROWS($1:21)),),OFFSET(TH!N$1,SMALL(Dong14,ROWS($1:21)),)))</f>
        <v/>
      </c>
      <c r="F37" s="922">
        <f ca="1">IF(ROWS($1:21)&gt;COUNT(Dong14),0,OFFSET(TH!L$1,SMALL(Dong14,ROWS($1:21)),))</f>
        <v>0</v>
      </c>
      <c r="G37" s="922"/>
      <c r="H37" s="923">
        <f ca="1">IF(ROWS($1:21)&gt;COUNT(Dong14),0,IF(OFFSET(TH!N$1,SMALL(Dong14,ROWS($1:21)),)="131",OFFSET(TH!K$1,SMALL(Dong14,ROWS($1:21)),),0))</f>
        <v>0</v>
      </c>
      <c r="I37" s="922">
        <f ca="1">IF(ROWS($1:21)&gt;COUNT(Dong14),0,IF(OFFSET(TH!N$1,SMALL(Dong14,ROWS($1:21)),)="131",OFFSET(TH!M$1,SMALL(Dong14,ROWS($1:21)),),0))</f>
        <v>0</v>
      </c>
      <c r="J37" s="923">
        <f ca="1">IF(ROWS($1:21)&gt;COUNT(Dong14),0,IF(OFFSET(TH!O$1,SMALL(Dong14,ROWS($1:21)),)="131",OFFSET(TH!K$1,SMALL(Dong14,ROWS($1:21)),),0))</f>
        <v>0</v>
      </c>
      <c r="K37" s="922">
        <f ca="1">IF(ROWS($1:21)&gt;COUNT(Dong14),0,IF(OFFSET(TH!O$1,SMALL(Dong14,ROWS($1:21)),)="131",OFFSET(TH!M$1,SMALL(Dong14,ROWS($1:21)),),0))</f>
        <v>0</v>
      </c>
      <c r="L37" s="916">
        <f t="shared" ca="1" si="1"/>
        <v>0</v>
      </c>
      <c r="M37" s="915">
        <f t="shared" ca="1" si="2"/>
        <v>0</v>
      </c>
      <c r="N37" s="916">
        <f t="shared" ca="1" si="3"/>
        <v>0</v>
      </c>
      <c r="O37" s="915">
        <f t="shared" ca="1" si="4"/>
        <v>0</v>
      </c>
    </row>
    <row r="38" spans="1:15" s="5" customFormat="1" ht="16.5" customHeight="1">
      <c r="A38" s="227" t="str">
        <f t="shared" ca="1" si="0"/>
        <v/>
      </c>
      <c r="B38" s="231" t="str">
        <f ca="1">IF(ROWS($1:22)&gt;COUNT(Dong14),"",OFFSET(TH!D$1,SMALL(Dong14,ROWS($1:22)),))</f>
        <v/>
      </c>
      <c r="C38" s="227" t="str">
        <f ca="1">IF(ROWS($1:22)&gt;COUNT(Dong14),"",OFFSET(TH!E$1,SMALL(Dong14,ROWS($1:22)),))</f>
        <v/>
      </c>
      <c r="D38" s="924" t="str">
        <f ca="1">IF(ROWS($1:22)&gt;COUNT(Dong14),"",OFFSET(TH!F$1,SMALL(Dong14,ROWS($1:22)),))</f>
        <v/>
      </c>
      <c r="E38" s="922" t="str">
        <f ca="1">IF(ROWS($1:22)&gt;COUNT(Dong14),"",IF(OFFSET(TH!N$1,SMALL(Dong14,ROWS($1:22)),)="131",OFFSET(TH!O$1,SMALL(Dong14,ROWS($1:22)),),OFFSET(TH!N$1,SMALL(Dong14,ROWS($1:22)),)))</f>
        <v/>
      </c>
      <c r="F38" s="922">
        <f ca="1">IF(ROWS($1:22)&gt;COUNT(Dong14),0,OFFSET(TH!L$1,SMALL(Dong14,ROWS($1:22)),))</f>
        <v>0</v>
      </c>
      <c r="G38" s="922"/>
      <c r="H38" s="923">
        <f ca="1">IF(ROWS($1:22)&gt;COUNT(Dong14),0,IF(OFFSET(TH!N$1,SMALL(Dong14,ROWS($1:22)),)="131",OFFSET(TH!K$1,SMALL(Dong14,ROWS($1:22)),),0))</f>
        <v>0</v>
      </c>
      <c r="I38" s="922">
        <f ca="1">IF(ROWS($1:22)&gt;COUNT(Dong14),0,IF(OFFSET(TH!N$1,SMALL(Dong14,ROWS($1:22)),)="131",OFFSET(TH!M$1,SMALL(Dong14,ROWS($1:22)),),0))</f>
        <v>0</v>
      </c>
      <c r="J38" s="923">
        <f ca="1">IF(ROWS($1:22)&gt;COUNT(Dong14),0,IF(OFFSET(TH!O$1,SMALL(Dong14,ROWS($1:22)),)="131",OFFSET(TH!K$1,SMALL(Dong14,ROWS($1:22)),),0))</f>
        <v>0</v>
      </c>
      <c r="K38" s="922">
        <f ca="1">IF(ROWS($1:22)&gt;COUNT(Dong14),0,IF(OFFSET(TH!O$1,SMALL(Dong14,ROWS($1:22)),)="131",OFFSET(TH!M$1,SMALL(Dong14,ROWS($1:22)),),0))</f>
        <v>0</v>
      </c>
      <c r="L38" s="916">
        <f t="shared" ca="1" si="1"/>
        <v>0</v>
      </c>
      <c r="M38" s="915">
        <f t="shared" ca="1" si="2"/>
        <v>0</v>
      </c>
      <c r="N38" s="916">
        <f t="shared" ca="1" si="3"/>
        <v>0</v>
      </c>
      <c r="O38" s="915">
        <f t="shared" ca="1" si="4"/>
        <v>0</v>
      </c>
    </row>
    <row r="39" spans="1:15" s="5" customFormat="1" ht="16.5" customHeight="1">
      <c r="A39" s="227" t="str">
        <f t="shared" ca="1" si="0"/>
        <v/>
      </c>
      <c r="B39" s="231" t="str">
        <f ca="1">IF(ROWS($1:23)&gt;COUNT(Dong14),"",OFFSET(TH!D$1,SMALL(Dong14,ROWS($1:23)),))</f>
        <v/>
      </c>
      <c r="C39" s="227" t="str">
        <f ca="1">IF(ROWS($1:23)&gt;COUNT(Dong14),"",OFFSET(TH!E$1,SMALL(Dong14,ROWS($1:23)),))</f>
        <v/>
      </c>
      <c r="D39" s="924" t="str">
        <f ca="1">IF(ROWS($1:23)&gt;COUNT(Dong14),"",OFFSET(TH!F$1,SMALL(Dong14,ROWS($1:23)),))</f>
        <v/>
      </c>
      <c r="E39" s="922" t="str">
        <f ca="1">IF(ROWS($1:23)&gt;COUNT(Dong14),"",IF(OFFSET(TH!N$1,SMALL(Dong14,ROWS($1:23)),)="131",OFFSET(TH!O$1,SMALL(Dong14,ROWS($1:23)),),OFFSET(TH!N$1,SMALL(Dong14,ROWS($1:23)),)))</f>
        <v/>
      </c>
      <c r="F39" s="922">
        <f ca="1">IF(ROWS($1:23)&gt;COUNT(Dong14),0,OFFSET(TH!L$1,SMALL(Dong14,ROWS($1:23)),))</f>
        <v>0</v>
      </c>
      <c r="G39" s="922"/>
      <c r="H39" s="923">
        <f ca="1">IF(ROWS($1:23)&gt;COUNT(Dong14),0,IF(OFFSET(TH!N$1,SMALL(Dong14,ROWS($1:23)),)="131",OFFSET(TH!K$1,SMALL(Dong14,ROWS($1:23)),),0))</f>
        <v>0</v>
      </c>
      <c r="I39" s="922">
        <f ca="1">IF(ROWS($1:23)&gt;COUNT(Dong14),0,IF(OFFSET(TH!N$1,SMALL(Dong14,ROWS($1:23)),)="131",OFFSET(TH!M$1,SMALL(Dong14,ROWS($1:23)),),0))</f>
        <v>0</v>
      </c>
      <c r="J39" s="923">
        <f ca="1">IF(ROWS($1:23)&gt;COUNT(Dong14),0,IF(OFFSET(TH!O$1,SMALL(Dong14,ROWS($1:23)),)="131",OFFSET(TH!K$1,SMALL(Dong14,ROWS($1:23)),),0))</f>
        <v>0</v>
      </c>
      <c r="K39" s="922">
        <f ca="1">IF(ROWS($1:23)&gt;COUNT(Dong14),0,IF(OFFSET(TH!O$1,SMALL(Dong14,ROWS($1:23)),)="131",OFFSET(TH!M$1,SMALL(Dong14,ROWS($1:23)),),0))</f>
        <v>0</v>
      </c>
      <c r="L39" s="916">
        <f t="shared" ca="1" si="1"/>
        <v>0</v>
      </c>
      <c r="M39" s="915">
        <f t="shared" ca="1" si="2"/>
        <v>0</v>
      </c>
      <c r="N39" s="916">
        <f t="shared" ca="1" si="3"/>
        <v>0</v>
      </c>
      <c r="O39" s="915">
        <f t="shared" ca="1" si="4"/>
        <v>0</v>
      </c>
    </row>
    <row r="40" spans="1:15" s="5" customFormat="1" ht="16.5" customHeight="1">
      <c r="A40" s="227" t="str">
        <f t="shared" ca="1" si="0"/>
        <v/>
      </c>
      <c r="B40" s="231" t="str">
        <f ca="1">IF(ROWS($1:24)&gt;COUNT(Dong14),"",OFFSET(TH!D$1,SMALL(Dong14,ROWS($1:24)),))</f>
        <v/>
      </c>
      <c r="C40" s="227" t="str">
        <f ca="1">IF(ROWS($1:24)&gt;COUNT(Dong14),"",OFFSET(TH!E$1,SMALL(Dong14,ROWS($1:24)),))</f>
        <v/>
      </c>
      <c r="D40" s="924" t="str">
        <f ca="1">IF(ROWS($1:24)&gt;COUNT(Dong14),"",OFFSET(TH!F$1,SMALL(Dong14,ROWS($1:24)),))</f>
        <v/>
      </c>
      <c r="E40" s="922" t="str">
        <f ca="1">IF(ROWS($1:24)&gt;COUNT(Dong14),"",IF(OFFSET(TH!N$1,SMALL(Dong14,ROWS($1:24)),)="131",OFFSET(TH!O$1,SMALL(Dong14,ROWS($1:24)),),OFFSET(TH!N$1,SMALL(Dong14,ROWS($1:24)),)))</f>
        <v/>
      </c>
      <c r="F40" s="922">
        <f ca="1">IF(ROWS($1:24)&gt;COUNT(Dong14),0,OFFSET(TH!L$1,SMALL(Dong14,ROWS($1:24)),))</f>
        <v>0</v>
      </c>
      <c r="G40" s="922"/>
      <c r="H40" s="923">
        <f ca="1">IF(ROWS($1:24)&gt;COUNT(Dong14),0,IF(OFFSET(TH!N$1,SMALL(Dong14,ROWS($1:24)),)="131",OFFSET(TH!K$1,SMALL(Dong14,ROWS($1:24)),),0))</f>
        <v>0</v>
      </c>
      <c r="I40" s="922">
        <f ca="1">IF(ROWS($1:24)&gt;COUNT(Dong14),0,IF(OFFSET(TH!N$1,SMALL(Dong14,ROWS($1:24)),)="131",OFFSET(TH!M$1,SMALL(Dong14,ROWS($1:24)),),0))</f>
        <v>0</v>
      </c>
      <c r="J40" s="923">
        <f ca="1">IF(ROWS($1:24)&gt;COUNT(Dong14),0,IF(OFFSET(TH!O$1,SMALL(Dong14,ROWS($1:24)),)="131",OFFSET(TH!K$1,SMALL(Dong14,ROWS($1:24)),),0))</f>
        <v>0</v>
      </c>
      <c r="K40" s="922">
        <f ca="1">IF(ROWS($1:24)&gt;COUNT(Dong14),0,IF(OFFSET(TH!O$1,SMALL(Dong14,ROWS($1:24)),)="131",OFFSET(TH!M$1,SMALL(Dong14,ROWS($1:24)),),0))</f>
        <v>0</v>
      </c>
      <c r="L40" s="916">
        <f t="shared" ca="1" si="1"/>
        <v>0</v>
      </c>
      <c r="M40" s="915">
        <f t="shared" ca="1" si="2"/>
        <v>0</v>
      </c>
      <c r="N40" s="916">
        <f t="shared" ca="1" si="3"/>
        <v>0</v>
      </c>
      <c r="O40" s="915">
        <f t="shared" ca="1" si="4"/>
        <v>0</v>
      </c>
    </row>
    <row r="41" spans="1:15" s="5" customFormat="1" ht="16.5" customHeight="1">
      <c r="A41" s="227" t="str">
        <f t="shared" ca="1" si="0"/>
        <v/>
      </c>
      <c r="B41" s="231" t="str">
        <f ca="1">IF(ROWS($1:25)&gt;COUNT(Dong14),"",OFFSET(TH!D$1,SMALL(Dong14,ROWS($1:25)),))</f>
        <v/>
      </c>
      <c r="C41" s="227" t="str">
        <f ca="1">IF(ROWS($1:25)&gt;COUNT(Dong14),"",OFFSET(TH!E$1,SMALL(Dong14,ROWS($1:25)),))</f>
        <v/>
      </c>
      <c r="D41" s="924" t="str">
        <f ca="1">IF(ROWS($1:25)&gt;COUNT(Dong14),"",OFFSET(TH!F$1,SMALL(Dong14,ROWS($1:25)),))</f>
        <v/>
      </c>
      <c r="E41" s="922" t="str">
        <f ca="1">IF(ROWS($1:25)&gt;COUNT(Dong14),"",IF(OFFSET(TH!N$1,SMALL(Dong14,ROWS($1:25)),)="131",OFFSET(TH!O$1,SMALL(Dong14,ROWS($1:25)),),OFFSET(TH!N$1,SMALL(Dong14,ROWS($1:25)),)))</f>
        <v/>
      </c>
      <c r="F41" s="922">
        <f ca="1">IF(ROWS($1:25)&gt;COUNT(Dong14),0,OFFSET(TH!L$1,SMALL(Dong14,ROWS($1:25)),))</f>
        <v>0</v>
      </c>
      <c r="G41" s="922"/>
      <c r="H41" s="923">
        <f ca="1">IF(ROWS($1:25)&gt;COUNT(Dong14),0,IF(OFFSET(TH!N$1,SMALL(Dong14,ROWS($1:25)),)="131",OFFSET(TH!K$1,SMALL(Dong14,ROWS($1:25)),),0))</f>
        <v>0</v>
      </c>
      <c r="I41" s="922">
        <f ca="1">IF(ROWS($1:25)&gt;COUNT(Dong14),0,IF(OFFSET(TH!N$1,SMALL(Dong14,ROWS($1:25)),)="131",OFFSET(TH!M$1,SMALL(Dong14,ROWS($1:25)),),0))</f>
        <v>0</v>
      </c>
      <c r="J41" s="923">
        <f ca="1">IF(ROWS($1:25)&gt;COUNT(Dong14),0,IF(OFFSET(TH!O$1,SMALL(Dong14,ROWS($1:25)),)="131",OFFSET(TH!K$1,SMALL(Dong14,ROWS($1:25)),),0))</f>
        <v>0</v>
      </c>
      <c r="K41" s="922">
        <f ca="1">IF(ROWS($1:25)&gt;COUNT(Dong14),0,IF(OFFSET(TH!O$1,SMALL(Dong14,ROWS($1:25)),)="131",OFFSET(TH!M$1,SMALL(Dong14,ROWS($1:25)),),0))</f>
        <v>0</v>
      </c>
      <c r="L41" s="916">
        <f t="shared" ca="1" si="1"/>
        <v>0</v>
      </c>
      <c r="M41" s="915">
        <f t="shared" ca="1" si="2"/>
        <v>0</v>
      </c>
      <c r="N41" s="916">
        <f t="shared" ca="1" si="3"/>
        <v>0</v>
      </c>
      <c r="O41" s="915">
        <f t="shared" ca="1" si="4"/>
        <v>0</v>
      </c>
    </row>
    <row r="42" spans="1:15" s="5" customFormat="1" ht="16.5" customHeight="1">
      <c r="A42" s="227" t="str">
        <f t="shared" ca="1" si="0"/>
        <v/>
      </c>
      <c r="B42" s="231" t="str">
        <f ca="1">IF(ROWS($1:26)&gt;COUNT(Dong14),"",OFFSET(TH!D$1,SMALL(Dong14,ROWS($1:26)),))</f>
        <v/>
      </c>
      <c r="C42" s="227" t="str">
        <f ca="1">IF(ROWS($1:26)&gt;COUNT(Dong14),"",OFFSET(TH!E$1,SMALL(Dong14,ROWS($1:26)),))</f>
        <v/>
      </c>
      <c r="D42" s="924" t="str">
        <f ca="1">IF(ROWS($1:26)&gt;COUNT(Dong14),"",OFFSET(TH!F$1,SMALL(Dong14,ROWS($1:26)),))</f>
        <v/>
      </c>
      <c r="E42" s="922" t="str">
        <f ca="1">IF(ROWS($1:26)&gt;COUNT(Dong14),"",IF(OFFSET(TH!N$1,SMALL(Dong14,ROWS($1:26)),)="131",OFFSET(TH!O$1,SMALL(Dong14,ROWS($1:26)),),OFFSET(TH!N$1,SMALL(Dong14,ROWS($1:26)),)))</f>
        <v/>
      </c>
      <c r="F42" s="922">
        <f ca="1">IF(ROWS($1:26)&gt;COUNT(Dong14),0,OFFSET(TH!L$1,SMALL(Dong14,ROWS($1:26)),))</f>
        <v>0</v>
      </c>
      <c r="G42" s="922"/>
      <c r="H42" s="923">
        <f ca="1">IF(ROWS($1:26)&gt;COUNT(Dong14),0,IF(OFFSET(TH!N$1,SMALL(Dong14,ROWS($1:26)),)="131",OFFSET(TH!K$1,SMALL(Dong14,ROWS($1:26)),),0))</f>
        <v>0</v>
      </c>
      <c r="I42" s="922">
        <f ca="1">IF(ROWS($1:26)&gt;COUNT(Dong14),0,IF(OFFSET(TH!N$1,SMALL(Dong14,ROWS($1:26)),)="131",OFFSET(TH!M$1,SMALL(Dong14,ROWS($1:26)),),0))</f>
        <v>0</v>
      </c>
      <c r="J42" s="923">
        <f ca="1">IF(ROWS($1:26)&gt;COUNT(Dong14),0,IF(OFFSET(TH!O$1,SMALL(Dong14,ROWS($1:26)),)="131",OFFSET(TH!K$1,SMALL(Dong14,ROWS($1:26)),),0))</f>
        <v>0</v>
      </c>
      <c r="K42" s="922">
        <f ca="1">IF(ROWS($1:26)&gt;COUNT(Dong14),0,IF(OFFSET(TH!O$1,SMALL(Dong14,ROWS($1:26)),)="131",OFFSET(TH!M$1,SMALL(Dong14,ROWS($1:26)),),0))</f>
        <v>0</v>
      </c>
      <c r="L42" s="916">
        <f t="shared" ca="1" si="1"/>
        <v>0</v>
      </c>
      <c r="M42" s="915">
        <f t="shared" ca="1" si="2"/>
        <v>0</v>
      </c>
      <c r="N42" s="916">
        <f t="shared" ca="1" si="3"/>
        <v>0</v>
      </c>
      <c r="O42" s="915">
        <f t="shared" ca="1" si="4"/>
        <v>0</v>
      </c>
    </row>
    <row r="43" spans="1:15" s="5" customFormat="1" ht="16.5" customHeight="1">
      <c r="A43" s="227" t="str">
        <f t="shared" ca="1" si="0"/>
        <v/>
      </c>
      <c r="B43" s="231" t="str">
        <f ca="1">IF(ROWS($1:27)&gt;COUNT(Dong14),"",OFFSET(TH!D$1,SMALL(Dong14,ROWS($1:27)),))</f>
        <v/>
      </c>
      <c r="C43" s="227" t="str">
        <f ca="1">IF(ROWS($1:27)&gt;COUNT(Dong14),"",OFFSET(TH!E$1,SMALL(Dong14,ROWS($1:27)),))</f>
        <v/>
      </c>
      <c r="D43" s="924" t="str">
        <f ca="1">IF(ROWS($1:27)&gt;COUNT(Dong14),"",OFFSET(TH!F$1,SMALL(Dong14,ROWS($1:27)),))</f>
        <v/>
      </c>
      <c r="E43" s="922" t="str">
        <f ca="1">IF(ROWS($1:27)&gt;COUNT(Dong14),"",IF(OFFSET(TH!N$1,SMALL(Dong14,ROWS($1:27)),)="131",OFFSET(TH!O$1,SMALL(Dong14,ROWS($1:27)),),OFFSET(TH!N$1,SMALL(Dong14,ROWS($1:27)),)))</f>
        <v/>
      </c>
      <c r="F43" s="922">
        <f ca="1">IF(ROWS($1:27)&gt;COUNT(Dong14),0,OFFSET(TH!L$1,SMALL(Dong14,ROWS($1:27)),))</f>
        <v>0</v>
      </c>
      <c r="G43" s="922"/>
      <c r="H43" s="923">
        <f ca="1">IF(ROWS($1:27)&gt;COUNT(Dong14),0,IF(OFFSET(TH!N$1,SMALL(Dong14,ROWS($1:27)),)="131",OFFSET(TH!K$1,SMALL(Dong14,ROWS($1:27)),),0))</f>
        <v>0</v>
      </c>
      <c r="I43" s="922">
        <f ca="1">IF(ROWS($1:27)&gt;COUNT(Dong14),0,IF(OFFSET(TH!N$1,SMALL(Dong14,ROWS($1:27)),)="131",OFFSET(TH!M$1,SMALL(Dong14,ROWS($1:27)),),0))</f>
        <v>0</v>
      </c>
      <c r="J43" s="923">
        <f ca="1">IF(ROWS($1:27)&gt;COUNT(Dong14),0,IF(OFFSET(TH!O$1,SMALL(Dong14,ROWS($1:27)),)="131",OFFSET(TH!K$1,SMALL(Dong14,ROWS($1:27)),),0))</f>
        <v>0</v>
      </c>
      <c r="K43" s="922">
        <f ca="1">IF(ROWS($1:27)&gt;COUNT(Dong14),0,IF(OFFSET(TH!O$1,SMALL(Dong14,ROWS($1:27)),)="131",OFFSET(TH!M$1,SMALL(Dong14,ROWS($1:27)),),0))</f>
        <v>0</v>
      </c>
      <c r="L43" s="916">
        <f t="shared" ca="1" si="1"/>
        <v>0</v>
      </c>
      <c r="M43" s="915">
        <f t="shared" ca="1" si="2"/>
        <v>0</v>
      </c>
      <c r="N43" s="916">
        <f t="shared" ca="1" si="3"/>
        <v>0</v>
      </c>
      <c r="O43" s="915">
        <f t="shared" ca="1" si="4"/>
        <v>0</v>
      </c>
    </row>
    <row r="44" spans="1:15" s="5" customFormat="1" ht="16.5" customHeight="1">
      <c r="A44" s="227" t="str">
        <f t="shared" ca="1" si="0"/>
        <v/>
      </c>
      <c r="B44" s="231" t="str">
        <f ca="1">IF(ROWS($1:28)&gt;COUNT(Dong14),"",OFFSET(TH!D$1,SMALL(Dong14,ROWS($1:28)),))</f>
        <v/>
      </c>
      <c r="C44" s="227" t="str">
        <f ca="1">IF(ROWS($1:28)&gt;COUNT(Dong14),"",OFFSET(TH!E$1,SMALL(Dong14,ROWS($1:28)),))</f>
        <v/>
      </c>
      <c r="D44" s="924" t="str">
        <f ca="1">IF(ROWS($1:28)&gt;COUNT(Dong14),"",OFFSET(TH!F$1,SMALL(Dong14,ROWS($1:28)),))</f>
        <v/>
      </c>
      <c r="E44" s="922" t="str">
        <f ca="1">IF(ROWS($1:28)&gt;COUNT(Dong14),"",IF(OFFSET(TH!N$1,SMALL(Dong14,ROWS($1:28)),)="131",OFFSET(TH!O$1,SMALL(Dong14,ROWS($1:28)),),OFFSET(TH!N$1,SMALL(Dong14,ROWS($1:28)),)))</f>
        <v/>
      </c>
      <c r="F44" s="922">
        <f ca="1">IF(ROWS($1:28)&gt;COUNT(Dong14),0,OFFSET(TH!L$1,SMALL(Dong14,ROWS($1:28)),))</f>
        <v>0</v>
      </c>
      <c r="G44" s="922"/>
      <c r="H44" s="923">
        <f ca="1">IF(ROWS($1:28)&gt;COUNT(Dong14),0,IF(OFFSET(TH!N$1,SMALL(Dong14,ROWS($1:28)),)="131",OFFSET(TH!K$1,SMALL(Dong14,ROWS($1:28)),),0))</f>
        <v>0</v>
      </c>
      <c r="I44" s="922">
        <f ca="1">IF(ROWS($1:28)&gt;COUNT(Dong14),0,IF(OFFSET(TH!N$1,SMALL(Dong14,ROWS($1:28)),)="131",OFFSET(TH!M$1,SMALL(Dong14,ROWS($1:28)),),0))</f>
        <v>0</v>
      </c>
      <c r="J44" s="923">
        <f ca="1">IF(ROWS($1:28)&gt;COUNT(Dong14),0,IF(OFFSET(TH!O$1,SMALL(Dong14,ROWS($1:28)),)="131",OFFSET(TH!K$1,SMALL(Dong14,ROWS($1:28)),),0))</f>
        <v>0</v>
      </c>
      <c r="K44" s="922">
        <f ca="1">IF(ROWS($1:28)&gt;COUNT(Dong14),0,IF(OFFSET(TH!O$1,SMALL(Dong14,ROWS($1:28)),)="131",OFFSET(TH!M$1,SMALL(Dong14,ROWS($1:28)),),0))</f>
        <v>0</v>
      </c>
      <c r="L44" s="916">
        <f t="shared" ca="1" si="1"/>
        <v>0</v>
      </c>
      <c r="M44" s="915">
        <f t="shared" ca="1" si="2"/>
        <v>0</v>
      </c>
      <c r="N44" s="916">
        <f t="shared" ca="1" si="3"/>
        <v>0</v>
      </c>
      <c r="O44" s="915">
        <f t="shared" ca="1" si="4"/>
        <v>0</v>
      </c>
    </row>
    <row r="45" spans="1:15" s="5" customFormat="1" ht="16.5" customHeight="1">
      <c r="A45" s="227" t="str">
        <f t="shared" ca="1" si="0"/>
        <v/>
      </c>
      <c r="B45" s="231" t="str">
        <f ca="1">IF(ROWS($1:29)&gt;COUNT(Dong14),"",OFFSET(TH!D$1,SMALL(Dong14,ROWS($1:29)),))</f>
        <v/>
      </c>
      <c r="C45" s="227" t="str">
        <f ca="1">IF(ROWS($1:29)&gt;COUNT(Dong14),"",OFFSET(TH!E$1,SMALL(Dong14,ROWS($1:29)),))</f>
        <v/>
      </c>
      <c r="D45" s="924" t="str">
        <f ca="1">IF(ROWS($1:29)&gt;COUNT(Dong14),"",OFFSET(TH!F$1,SMALL(Dong14,ROWS($1:29)),))</f>
        <v/>
      </c>
      <c r="E45" s="922" t="str">
        <f ca="1">IF(ROWS($1:29)&gt;COUNT(Dong14),"",IF(OFFSET(TH!N$1,SMALL(Dong14,ROWS($1:29)),)="131",OFFSET(TH!O$1,SMALL(Dong14,ROWS($1:29)),),OFFSET(TH!N$1,SMALL(Dong14,ROWS($1:29)),)))</f>
        <v/>
      </c>
      <c r="F45" s="922">
        <f ca="1">IF(ROWS($1:29)&gt;COUNT(Dong14),0,OFFSET(TH!L$1,SMALL(Dong14,ROWS($1:29)),))</f>
        <v>0</v>
      </c>
      <c r="G45" s="922"/>
      <c r="H45" s="923">
        <f ca="1">IF(ROWS($1:29)&gt;COUNT(Dong14),0,IF(OFFSET(TH!N$1,SMALL(Dong14,ROWS($1:29)),)="131",OFFSET(TH!K$1,SMALL(Dong14,ROWS($1:29)),),0))</f>
        <v>0</v>
      </c>
      <c r="I45" s="922">
        <f ca="1">IF(ROWS($1:29)&gt;COUNT(Dong14),0,IF(OFFSET(TH!N$1,SMALL(Dong14,ROWS($1:29)),)="131",OFFSET(TH!M$1,SMALL(Dong14,ROWS($1:29)),),0))</f>
        <v>0</v>
      </c>
      <c r="J45" s="923">
        <f ca="1">IF(ROWS($1:29)&gt;COUNT(Dong14),0,IF(OFFSET(TH!O$1,SMALL(Dong14,ROWS($1:29)),)="131",OFFSET(TH!K$1,SMALL(Dong14,ROWS($1:29)),),0))</f>
        <v>0</v>
      </c>
      <c r="K45" s="922">
        <f ca="1">IF(ROWS($1:29)&gt;COUNT(Dong14),0,IF(OFFSET(TH!O$1,SMALL(Dong14,ROWS($1:29)),)="131",OFFSET(TH!M$1,SMALL(Dong14,ROWS($1:29)),),0))</f>
        <v>0</v>
      </c>
      <c r="L45" s="916">
        <f t="shared" ca="1" si="1"/>
        <v>0</v>
      </c>
      <c r="M45" s="915">
        <f t="shared" ca="1" si="2"/>
        <v>0</v>
      </c>
      <c r="N45" s="916">
        <f t="shared" ca="1" si="3"/>
        <v>0</v>
      </c>
      <c r="O45" s="915">
        <f t="shared" ca="1" si="4"/>
        <v>0</v>
      </c>
    </row>
    <row r="46" spans="1:15" s="5" customFormat="1" ht="16.5" customHeight="1">
      <c r="A46" s="227" t="str">
        <f t="shared" ca="1" si="0"/>
        <v/>
      </c>
      <c r="B46" s="231" t="str">
        <f ca="1">IF(ROWS($1:30)&gt;COUNT(Dong14),"",OFFSET(TH!D$1,SMALL(Dong14,ROWS($1:30)),))</f>
        <v/>
      </c>
      <c r="C46" s="227" t="str">
        <f ca="1">IF(ROWS($1:30)&gt;COUNT(Dong14),"",OFFSET(TH!E$1,SMALL(Dong14,ROWS($1:30)),))</f>
        <v/>
      </c>
      <c r="D46" s="924" t="str">
        <f ca="1">IF(ROWS($1:30)&gt;COUNT(Dong14),"",OFFSET(TH!F$1,SMALL(Dong14,ROWS($1:30)),))</f>
        <v/>
      </c>
      <c r="E46" s="922" t="str">
        <f ca="1">IF(ROWS($1:30)&gt;COUNT(Dong14),"",IF(OFFSET(TH!N$1,SMALL(Dong14,ROWS($1:30)),)="131",OFFSET(TH!O$1,SMALL(Dong14,ROWS($1:30)),),OFFSET(TH!N$1,SMALL(Dong14,ROWS($1:30)),)))</f>
        <v/>
      </c>
      <c r="F46" s="922">
        <f ca="1">IF(ROWS($1:30)&gt;COUNT(Dong14),0,OFFSET(TH!L$1,SMALL(Dong14,ROWS($1:30)),))</f>
        <v>0</v>
      </c>
      <c r="G46" s="922"/>
      <c r="H46" s="923">
        <f ca="1">IF(ROWS($1:30)&gt;COUNT(Dong14),0,IF(OFFSET(TH!N$1,SMALL(Dong14,ROWS($1:30)),)="131",OFFSET(TH!K$1,SMALL(Dong14,ROWS($1:30)),),0))</f>
        <v>0</v>
      </c>
      <c r="I46" s="922">
        <f ca="1">IF(ROWS($1:30)&gt;COUNT(Dong14),0,IF(OFFSET(TH!N$1,SMALL(Dong14,ROWS($1:30)),)="131",OFFSET(TH!M$1,SMALL(Dong14,ROWS($1:30)),),0))</f>
        <v>0</v>
      </c>
      <c r="J46" s="923">
        <f ca="1">IF(ROWS($1:30)&gt;COUNT(Dong14),0,IF(OFFSET(TH!O$1,SMALL(Dong14,ROWS($1:30)),)="131",OFFSET(TH!K$1,SMALL(Dong14,ROWS($1:30)),),0))</f>
        <v>0</v>
      </c>
      <c r="K46" s="922">
        <f ca="1">IF(ROWS($1:30)&gt;COUNT(Dong14),0,IF(OFFSET(TH!O$1,SMALL(Dong14,ROWS($1:30)),)="131",OFFSET(TH!M$1,SMALL(Dong14,ROWS($1:30)),),0))</f>
        <v>0</v>
      </c>
      <c r="L46" s="916">
        <f t="shared" ca="1" si="1"/>
        <v>0</v>
      </c>
      <c r="M46" s="915">
        <f t="shared" ca="1" si="2"/>
        <v>0</v>
      </c>
      <c r="N46" s="916">
        <f t="shared" ca="1" si="3"/>
        <v>0</v>
      </c>
      <c r="O46" s="915">
        <f t="shared" ca="1" si="4"/>
        <v>0</v>
      </c>
    </row>
    <row r="47" spans="1:15" s="5" customFormat="1" ht="16.5" customHeight="1">
      <c r="A47" s="227" t="str">
        <f t="shared" ca="1" si="0"/>
        <v/>
      </c>
      <c r="B47" s="231" t="str">
        <f ca="1">IF(ROWS($1:31)&gt;COUNT(Dong14),"",OFFSET(TH!D$1,SMALL(Dong14,ROWS($1:31)),))</f>
        <v/>
      </c>
      <c r="C47" s="227" t="str">
        <f ca="1">IF(ROWS($1:31)&gt;COUNT(Dong14),"",OFFSET(TH!E$1,SMALL(Dong14,ROWS($1:31)),))</f>
        <v/>
      </c>
      <c r="D47" s="924" t="str">
        <f ca="1">IF(ROWS($1:31)&gt;COUNT(Dong14),"",OFFSET(TH!F$1,SMALL(Dong14,ROWS($1:31)),))</f>
        <v/>
      </c>
      <c r="E47" s="922" t="str">
        <f ca="1">IF(ROWS($1:31)&gt;COUNT(Dong14),"",IF(OFFSET(TH!N$1,SMALL(Dong14,ROWS($1:31)),)="131",OFFSET(TH!O$1,SMALL(Dong14,ROWS($1:31)),),OFFSET(TH!N$1,SMALL(Dong14,ROWS($1:31)),)))</f>
        <v/>
      </c>
      <c r="F47" s="922">
        <f ca="1">IF(ROWS($1:31)&gt;COUNT(Dong14),0,OFFSET(TH!L$1,SMALL(Dong14,ROWS($1:31)),))</f>
        <v>0</v>
      </c>
      <c r="G47" s="922"/>
      <c r="H47" s="923">
        <f ca="1">IF(ROWS($1:31)&gt;COUNT(Dong14),0,IF(OFFSET(TH!N$1,SMALL(Dong14,ROWS($1:31)),)="131",OFFSET(TH!K$1,SMALL(Dong14,ROWS($1:31)),),0))</f>
        <v>0</v>
      </c>
      <c r="I47" s="922">
        <f ca="1">IF(ROWS($1:31)&gt;COUNT(Dong14),0,IF(OFFSET(TH!N$1,SMALL(Dong14,ROWS($1:31)),)="131",OFFSET(TH!M$1,SMALL(Dong14,ROWS($1:31)),),0))</f>
        <v>0</v>
      </c>
      <c r="J47" s="923">
        <f ca="1">IF(ROWS($1:31)&gt;COUNT(Dong14),0,IF(OFFSET(TH!O$1,SMALL(Dong14,ROWS($1:31)),)="131",OFFSET(TH!K$1,SMALL(Dong14,ROWS($1:31)),),0))</f>
        <v>0</v>
      </c>
      <c r="K47" s="922">
        <f ca="1">IF(ROWS($1:31)&gt;COUNT(Dong14),0,IF(OFFSET(TH!O$1,SMALL(Dong14,ROWS($1:31)),)="131",OFFSET(TH!M$1,SMALL(Dong14,ROWS($1:31)),),0))</f>
        <v>0</v>
      </c>
      <c r="L47" s="916">
        <f t="shared" ca="1" si="1"/>
        <v>0</v>
      </c>
      <c r="M47" s="915">
        <f t="shared" ca="1" si="2"/>
        <v>0</v>
      </c>
      <c r="N47" s="916">
        <f t="shared" ca="1" si="3"/>
        <v>0</v>
      </c>
      <c r="O47" s="915">
        <f t="shared" ca="1" si="4"/>
        <v>0</v>
      </c>
    </row>
    <row r="48" spans="1:15" s="5" customFormat="1" ht="16.5" customHeight="1">
      <c r="A48" s="227" t="str">
        <f t="shared" ca="1" si="0"/>
        <v/>
      </c>
      <c r="B48" s="231" t="str">
        <f ca="1">IF(ROWS($1:32)&gt;COUNT(Dong14),"",OFFSET(TH!D$1,SMALL(Dong14,ROWS($1:32)),))</f>
        <v/>
      </c>
      <c r="C48" s="227" t="str">
        <f ca="1">IF(ROWS($1:32)&gt;COUNT(Dong14),"",OFFSET(TH!E$1,SMALL(Dong14,ROWS($1:32)),))</f>
        <v/>
      </c>
      <c r="D48" s="924" t="str">
        <f ca="1">IF(ROWS($1:32)&gt;COUNT(Dong14),"",OFFSET(TH!F$1,SMALL(Dong14,ROWS($1:32)),))</f>
        <v/>
      </c>
      <c r="E48" s="922" t="str">
        <f ca="1">IF(ROWS($1:32)&gt;COUNT(Dong14),"",IF(OFFSET(TH!N$1,SMALL(Dong14,ROWS($1:32)),)="131",OFFSET(TH!O$1,SMALL(Dong14,ROWS($1:32)),),OFFSET(TH!N$1,SMALL(Dong14,ROWS($1:32)),)))</f>
        <v/>
      </c>
      <c r="F48" s="922">
        <f ca="1">IF(ROWS($1:32)&gt;COUNT(Dong14),0,OFFSET(TH!L$1,SMALL(Dong14,ROWS($1:32)),))</f>
        <v>0</v>
      </c>
      <c r="G48" s="922"/>
      <c r="H48" s="923">
        <f ca="1">IF(ROWS($1:32)&gt;COUNT(Dong14),0,IF(OFFSET(TH!N$1,SMALL(Dong14,ROWS($1:32)),)="131",OFFSET(TH!K$1,SMALL(Dong14,ROWS($1:32)),),0))</f>
        <v>0</v>
      </c>
      <c r="I48" s="922">
        <f ca="1">IF(ROWS($1:32)&gt;COUNT(Dong14),0,IF(OFFSET(TH!N$1,SMALL(Dong14,ROWS($1:32)),)="131",OFFSET(TH!M$1,SMALL(Dong14,ROWS($1:32)),),0))</f>
        <v>0</v>
      </c>
      <c r="J48" s="923">
        <f ca="1">IF(ROWS($1:32)&gt;COUNT(Dong14),0,IF(OFFSET(TH!O$1,SMALL(Dong14,ROWS($1:32)),)="131",OFFSET(TH!K$1,SMALL(Dong14,ROWS($1:32)),),0))</f>
        <v>0</v>
      </c>
      <c r="K48" s="922">
        <f ca="1">IF(ROWS($1:32)&gt;COUNT(Dong14),0,IF(OFFSET(TH!O$1,SMALL(Dong14,ROWS($1:32)),)="131",OFFSET(TH!M$1,SMALL(Dong14,ROWS($1:32)),),0))</f>
        <v>0</v>
      </c>
      <c r="L48" s="916">
        <f t="shared" ca="1" si="1"/>
        <v>0</v>
      </c>
      <c r="M48" s="915">
        <f t="shared" ca="1" si="2"/>
        <v>0</v>
      </c>
      <c r="N48" s="916">
        <f t="shared" ca="1" si="3"/>
        <v>0</v>
      </c>
      <c r="O48" s="915">
        <f t="shared" ca="1" si="4"/>
        <v>0</v>
      </c>
    </row>
    <row r="49" spans="1:15" s="5" customFormat="1" ht="16.5" customHeight="1">
      <c r="A49" s="227" t="str">
        <f t="shared" ca="1" si="0"/>
        <v/>
      </c>
      <c r="B49" s="231" t="str">
        <f ca="1">IF(ROWS($1:33)&gt;COUNT(Dong14),"",OFFSET(TH!D$1,SMALL(Dong14,ROWS($1:33)),))</f>
        <v/>
      </c>
      <c r="C49" s="227" t="str">
        <f ca="1">IF(ROWS($1:33)&gt;COUNT(Dong14),"",OFFSET(TH!E$1,SMALL(Dong14,ROWS($1:33)),))</f>
        <v/>
      </c>
      <c r="D49" s="924" t="str">
        <f ca="1">IF(ROWS($1:33)&gt;COUNT(Dong14),"",OFFSET(TH!F$1,SMALL(Dong14,ROWS($1:33)),))</f>
        <v/>
      </c>
      <c r="E49" s="922" t="str">
        <f ca="1">IF(ROWS($1:33)&gt;COUNT(Dong14),"",IF(OFFSET(TH!N$1,SMALL(Dong14,ROWS($1:33)),)="131",OFFSET(TH!O$1,SMALL(Dong14,ROWS($1:33)),),OFFSET(TH!N$1,SMALL(Dong14,ROWS($1:33)),)))</f>
        <v/>
      </c>
      <c r="F49" s="922">
        <f ca="1">IF(ROWS($1:33)&gt;COUNT(Dong14),0,OFFSET(TH!L$1,SMALL(Dong14,ROWS($1:33)),))</f>
        <v>0</v>
      </c>
      <c r="G49" s="922"/>
      <c r="H49" s="923">
        <f ca="1">IF(ROWS($1:33)&gt;COUNT(Dong14),0,IF(OFFSET(TH!N$1,SMALL(Dong14,ROWS($1:33)),)="131",OFFSET(TH!K$1,SMALL(Dong14,ROWS($1:33)),),0))</f>
        <v>0</v>
      </c>
      <c r="I49" s="922">
        <f ca="1">IF(ROWS($1:33)&gt;COUNT(Dong14),0,IF(OFFSET(TH!N$1,SMALL(Dong14,ROWS($1:33)),)="131",OFFSET(TH!M$1,SMALL(Dong14,ROWS($1:33)),),0))</f>
        <v>0</v>
      </c>
      <c r="J49" s="923">
        <f ca="1">IF(ROWS($1:33)&gt;COUNT(Dong14),0,IF(OFFSET(TH!O$1,SMALL(Dong14,ROWS($1:33)),)="131",OFFSET(TH!K$1,SMALL(Dong14,ROWS($1:33)),),0))</f>
        <v>0</v>
      </c>
      <c r="K49" s="922">
        <f ca="1">IF(ROWS($1:33)&gt;COUNT(Dong14),0,IF(OFFSET(TH!O$1,SMALL(Dong14,ROWS($1:33)),)="131",OFFSET(TH!M$1,SMALL(Dong14,ROWS($1:33)),),0))</f>
        <v>0</v>
      </c>
      <c r="L49" s="916">
        <f t="shared" ca="1" si="1"/>
        <v>0</v>
      </c>
      <c r="M49" s="915">
        <f t="shared" ca="1" si="2"/>
        <v>0</v>
      </c>
      <c r="N49" s="916">
        <f t="shared" ca="1" si="3"/>
        <v>0</v>
      </c>
      <c r="O49" s="915">
        <f t="shared" ca="1" si="4"/>
        <v>0</v>
      </c>
    </row>
    <row r="50" spans="1:15" s="5" customFormat="1" ht="16.5" customHeight="1">
      <c r="A50" s="227" t="str">
        <f t="shared" ca="1" si="0"/>
        <v/>
      </c>
      <c r="B50" s="231" t="str">
        <f ca="1">IF(ROWS($1:34)&gt;COUNT(Dong14),"",OFFSET(TH!D$1,SMALL(Dong14,ROWS($1:34)),))</f>
        <v/>
      </c>
      <c r="C50" s="227" t="str">
        <f ca="1">IF(ROWS($1:34)&gt;COUNT(Dong14),"",OFFSET(TH!E$1,SMALL(Dong14,ROWS($1:34)),))</f>
        <v/>
      </c>
      <c r="D50" s="924" t="str">
        <f ca="1">IF(ROWS($1:34)&gt;COUNT(Dong14),"",OFFSET(TH!F$1,SMALL(Dong14,ROWS($1:34)),))</f>
        <v/>
      </c>
      <c r="E50" s="922" t="str">
        <f ca="1">IF(ROWS($1:34)&gt;COUNT(Dong14),"",IF(OFFSET(TH!N$1,SMALL(Dong14,ROWS($1:34)),)="131",OFFSET(TH!O$1,SMALL(Dong14,ROWS($1:34)),),OFFSET(TH!N$1,SMALL(Dong14,ROWS($1:34)),)))</f>
        <v/>
      </c>
      <c r="F50" s="922">
        <f ca="1">IF(ROWS($1:34)&gt;COUNT(Dong14),0,OFFSET(TH!L$1,SMALL(Dong14,ROWS($1:34)),))</f>
        <v>0</v>
      </c>
      <c r="G50" s="922"/>
      <c r="H50" s="923">
        <f ca="1">IF(ROWS($1:34)&gt;COUNT(Dong14),0,IF(OFFSET(TH!N$1,SMALL(Dong14,ROWS($1:34)),)="131",OFFSET(TH!K$1,SMALL(Dong14,ROWS($1:34)),),0))</f>
        <v>0</v>
      </c>
      <c r="I50" s="922">
        <f ca="1">IF(ROWS($1:34)&gt;COUNT(Dong14),0,IF(OFFSET(TH!N$1,SMALL(Dong14,ROWS($1:34)),)="131",OFFSET(TH!M$1,SMALL(Dong14,ROWS($1:34)),),0))</f>
        <v>0</v>
      </c>
      <c r="J50" s="923">
        <f ca="1">IF(ROWS($1:34)&gt;COUNT(Dong14),0,IF(OFFSET(TH!O$1,SMALL(Dong14,ROWS($1:34)),)="131",OFFSET(TH!K$1,SMALL(Dong14,ROWS($1:34)),),0))</f>
        <v>0</v>
      </c>
      <c r="K50" s="922">
        <f ca="1">IF(ROWS($1:34)&gt;COUNT(Dong14),0,IF(OFFSET(TH!O$1,SMALL(Dong14,ROWS($1:34)),)="131",OFFSET(TH!M$1,SMALL(Dong14,ROWS($1:34)),),0))</f>
        <v>0</v>
      </c>
      <c r="L50" s="916">
        <f t="shared" ca="1" si="1"/>
        <v>0</v>
      </c>
      <c r="M50" s="915">
        <f t="shared" ca="1" si="2"/>
        <v>0</v>
      </c>
      <c r="N50" s="916">
        <f t="shared" ca="1" si="3"/>
        <v>0</v>
      </c>
      <c r="O50" s="915">
        <f t="shared" ca="1" si="4"/>
        <v>0</v>
      </c>
    </row>
    <row r="51" spans="1:15" s="5" customFormat="1" ht="16.5" customHeight="1">
      <c r="A51" s="227" t="str">
        <f t="shared" si="0"/>
        <v/>
      </c>
      <c r="B51" s="920"/>
      <c r="C51" s="920"/>
      <c r="D51" s="921"/>
      <c r="E51" s="920"/>
      <c r="F51" s="919"/>
      <c r="G51" s="917"/>
      <c r="H51" s="918"/>
      <c r="I51" s="915"/>
      <c r="J51" s="918"/>
      <c r="K51" s="917"/>
      <c r="L51" s="916"/>
      <c r="M51" s="915"/>
      <c r="N51" s="916"/>
      <c r="O51" s="915"/>
    </row>
    <row r="52" spans="1:15" s="5" customFormat="1" ht="16.5" customHeight="1">
      <c r="A52" s="914"/>
      <c r="B52" s="914"/>
      <c r="C52" s="914"/>
      <c r="D52" s="913" t="s">
        <v>35</v>
      </c>
      <c r="E52" s="912" t="s">
        <v>21</v>
      </c>
      <c r="F52" s="912"/>
      <c r="G52" s="909" t="s">
        <v>21</v>
      </c>
      <c r="H52" s="910">
        <f ca="1">SUM(H17:H51)</f>
        <v>208335</v>
      </c>
      <c r="I52" s="909">
        <f ca="1">SUM(I17:I51)</f>
        <v>4636470825</v>
      </c>
      <c r="J52" s="911">
        <f ca="1">SUM(J17:J51)</f>
        <v>213209.77000000002</v>
      </c>
      <c r="K52" s="909">
        <f ca="1">ROUND(SUM(K17:K51),0)</f>
        <v>4756098782</v>
      </c>
      <c r="L52" s="910" t="s">
        <v>21</v>
      </c>
      <c r="M52" s="909" t="s">
        <v>21</v>
      </c>
      <c r="N52" s="909" t="s">
        <v>21</v>
      </c>
      <c r="O52" s="909" t="s">
        <v>21</v>
      </c>
    </row>
    <row r="53" spans="1:15" s="5" customFormat="1" ht="16.5" customHeight="1">
      <c r="A53" s="914"/>
      <c r="B53" s="914"/>
      <c r="C53" s="914"/>
      <c r="D53" s="913" t="s">
        <v>10</v>
      </c>
      <c r="E53" s="912" t="s">
        <v>21</v>
      </c>
      <c r="F53" s="912"/>
      <c r="G53" s="909" t="s">
        <v>21</v>
      </c>
      <c r="H53" s="910" t="s">
        <v>21</v>
      </c>
      <c r="I53" s="909" t="s">
        <v>21</v>
      </c>
      <c r="J53" s="911" t="s">
        <v>21</v>
      </c>
      <c r="K53" s="909" t="s">
        <v>21</v>
      </c>
      <c r="L53" s="910">
        <f ca="1">ROUND(MAX(L16+H52-N16-J52,0),2)</f>
        <v>344.87</v>
      </c>
      <c r="M53" s="909">
        <f ca="1">ROUND(MAX(M16+I52-O16-K52,0),0)</f>
        <v>3473877</v>
      </c>
      <c r="N53" s="909">
        <f ca="1">ROUND(MAX(N16+J52-L16-H52,0),2)</f>
        <v>0</v>
      </c>
      <c r="O53" s="909">
        <f ca="1">ROUND(MAX(O16+K52-M16-I52,0),-1)</f>
        <v>0</v>
      </c>
    </row>
    <row r="54" spans="1:15" s="5" customFormat="1" ht="15">
      <c r="A54" s="228" t="s">
        <v>494</v>
      </c>
      <c r="B54" s="4"/>
      <c r="C54" s="4"/>
      <c r="E54" s="4"/>
      <c r="F54" s="873"/>
      <c r="G54" s="906"/>
      <c r="H54" s="908"/>
      <c r="I54" s="906"/>
      <c r="J54" s="251"/>
      <c r="K54" s="906"/>
    </row>
    <row r="55" spans="1:15" s="5" customFormat="1" ht="15">
      <c r="A55" s="228" t="s">
        <v>189</v>
      </c>
      <c r="B55" s="4"/>
      <c r="C55" s="4"/>
      <c r="E55" s="4"/>
      <c r="F55" s="873"/>
      <c r="G55" s="906"/>
      <c r="H55" s="908"/>
      <c r="I55" s="906"/>
      <c r="J55" s="251"/>
      <c r="K55" s="906"/>
    </row>
    <row r="56" spans="1:15" s="5" customFormat="1" ht="15">
      <c r="A56" s="4"/>
      <c r="B56" s="4"/>
      <c r="C56" s="4"/>
      <c r="E56" s="4"/>
      <c r="F56" s="873"/>
      <c r="G56" s="906"/>
      <c r="H56" s="907"/>
      <c r="I56" s="906"/>
      <c r="J56" s="1232" t="s">
        <v>176</v>
      </c>
      <c r="K56" s="1232"/>
      <c r="L56" s="1232"/>
      <c r="M56" s="1232"/>
      <c r="N56" s="1232"/>
      <c r="O56" s="1232"/>
    </row>
    <row r="57" spans="1:15" s="5" customFormat="1" ht="15">
      <c r="A57" s="4"/>
      <c r="C57" s="4"/>
      <c r="D57" s="1106" t="s">
        <v>11</v>
      </c>
      <c r="E57" s="4"/>
      <c r="F57" s="873"/>
      <c r="G57" s="906"/>
      <c r="H57" s="907"/>
      <c r="I57" s="906"/>
      <c r="J57" s="251"/>
      <c r="K57" s="906"/>
      <c r="L57" s="1232" t="s">
        <v>12</v>
      </c>
      <c r="M57" s="1232"/>
    </row>
    <row r="58" spans="1:15" s="5" customFormat="1" ht="15">
      <c r="A58" s="4"/>
      <c r="C58" s="4"/>
      <c r="D58" s="1106" t="s">
        <v>13</v>
      </c>
      <c r="E58" s="4"/>
      <c r="F58" s="873"/>
      <c r="G58" s="906"/>
      <c r="H58" s="907"/>
      <c r="I58" s="906"/>
      <c r="J58" s="251"/>
      <c r="K58" s="906"/>
      <c r="L58" s="1232" t="s">
        <v>13</v>
      </c>
      <c r="M58" s="1232"/>
    </row>
    <row r="59" spans="1:15">
      <c r="D59" s="1140"/>
    </row>
    <row r="60" spans="1:15">
      <c r="D60" s="1140"/>
    </row>
    <row r="61" spans="1:15">
      <c r="D61" s="1140"/>
    </row>
    <row r="62" spans="1:15">
      <c r="D62" s="1140"/>
    </row>
    <row r="63" spans="1:15">
      <c r="D63" s="1140"/>
    </row>
    <row r="64" spans="1:15">
      <c r="D64" s="1140"/>
    </row>
    <row r="65" spans="3:4">
      <c r="D65" s="1140"/>
    </row>
    <row r="66" spans="3:4">
      <c r="C66" s="1109"/>
      <c r="D66" s="1109" t="s">
        <v>230</v>
      </c>
    </row>
  </sheetData>
  <mergeCells count="20">
    <mergeCell ref="A3:D3"/>
    <mergeCell ref="A6:O6"/>
    <mergeCell ref="H9:J9"/>
    <mergeCell ref="A12:A14"/>
    <mergeCell ref="B12:C12"/>
    <mergeCell ref="D12:D14"/>
    <mergeCell ref="E12:E14"/>
    <mergeCell ref="F12:F14"/>
    <mergeCell ref="G12:G14"/>
    <mergeCell ref="H12:K12"/>
    <mergeCell ref="J56:O56"/>
    <mergeCell ref="L57:M57"/>
    <mergeCell ref="L58:M5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I53"/>
  <sheetViews>
    <sheetView showZeros="0" workbookViewId="0">
      <pane ySplit="3" topLeftCell="A16" activePane="bottomLeft" state="frozen"/>
      <selection pane="bottomLeft" activeCell="H33" sqref="H33:H37"/>
    </sheetView>
  </sheetViews>
  <sheetFormatPr defaultColWidth="8" defaultRowHeight="13.5"/>
  <cols>
    <col min="1" max="1" width="5.5703125" style="232" customWidth="1"/>
    <col min="2" max="2" width="59.140625" style="232" customWidth="1"/>
    <col min="3" max="8" width="16.42578125" style="232" customWidth="1"/>
    <col min="9" max="16384" width="8" style="232"/>
  </cols>
  <sheetData>
    <row r="1" spans="1:8" ht="27" customHeight="1">
      <c r="A1" s="1257" t="s">
        <v>124</v>
      </c>
      <c r="B1" s="1257"/>
      <c r="C1" s="1257"/>
      <c r="D1" s="1257"/>
      <c r="E1" s="1257"/>
      <c r="F1" s="1257"/>
      <c r="G1" s="1257"/>
      <c r="H1" s="1257"/>
    </row>
    <row r="2" spans="1:8" s="10" customFormat="1" ht="14.25" customHeight="1">
      <c r="A2" s="1279" t="s">
        <v>37</v>
      </c>
      <c r="B2" s="1281" t="s">
        <v>38</v>
      </c>
      <c r="C2" s="1277" t="s">
        <v>39</v>
      </c>
      <c r="D2" s="1278"/>
      <c r="E2" s="1277" t="s">
        <v>40</v>
      </c>
      <c r="F2" s="1278"/>
      <c r="G2" s="1277" t="s">
        <v>44</v>
      </c>
      <c r="H2" s="1278"/>
    </row>
    <row r="3" spans="1:8" s="10" customFormat="1" ht="14.25" customHeight="1">
      <c r="A3" s="1280"/>
      <c r="B3" s="1282"/>
      <c r="C3" s="331" t="s">
        <v>45</v>
      </c>
      <c r="D3" s="331" t="s">
        <v>46</v>
      </c>
      <c r="E3" s="331" t="s">
        <v>45</v>
      </c>
      <c r="F3" s="331" t="s">
        <v>46</v>
      </c>
      <c r="G3" s="331" t="s">
        <v>45</v>
      </c>
      <c r="H3" s="331" t="s">
        <v>46</v>
      </c>
    </row>
    <row r="4" spans="1:8" s="10" customFormat="1" ht="16.5" customHeight="1">
      <c r="A4" s="6">
        <f>IF(B4&lt;&gt;"",ROW()-3,"")</f>
        <v>1</v>
      </c>
      <c r="B4" s="7" t="s">
        <v>622</v>
      </c>
      <c r="C4" s="8">
        <v>0</v>
      </c>
      <c r="D4" s="8">
        <v>0</v>
      </c>
      <c r="E4" s="8">
        <f t="array" ref="E4">SUM(IF("331"&amp;B4=KHN&amp;KH,TH))</f>
        <v>5610000</v>
      </c>
      <c r="F4" s="8">
        <f t="array" ref="F4">SUM(IF("331"&amp;B4=KHC&amp;KH,TH))</f>
        <v>5610000</v>
      </c>
      <c r="G4" s="91">
        <f t="shared" ref="G4:G9" si="0">ROUND(MAX(C4+E4-D4-F4,0),2)</f>
        <v>0</v>
      </c>
      <c r="H4" s="91">
        <f t="shared" ref="H4:H9" si="1">ROUND(MAX(D4+F4-C4-E4,0),2)</f>
        <v>0</v>
      </c>
    </row>
    <row r="5" spans="1:8" s="10" customFormat="1" ht="16.5" customHeight="1">
      <c r="A5" s="6">
        <f t="shared" ref="A5:A47" si="2">IF(B5&lt;&gt;"",ROW()-3,"")</f>
        <v>2</v>
      </c>
      <c r="B5" s="7" t="s">
        <v>624</v>
      </c>
      <c r="C5" s="8">
        <v>0</v>
      </c>
      <c r="D5" s="8">
        <v>0</v>
      </c>
      <c r="E5" s="8">
        <f t="array" ref="E5">SUM(IF("331"&amp;B5=KHN&amp;KH,TH))</f>
        <v>9114999</v>
      </c>
      <c r="F5" s="8">
        <f t="array" ref="F5">SUM(IF("331"&amp;B5=KHC&amp;KH,TH))</f>
        <v>9114999</v>
      </c>
      <c r="G5" s="91">
        <f t="shared" si="0"/>
        <v>0</v>
      </c>
      <c r="H5" s="91">
        <f t="shared" si="1"/>
        <v>0</v>
      </c>
    </row>
    <row r="6" spans="1:8" s="10" customFormat="1" ht="16.5" customHeight="1">
      <c r="A6" s="6">
        <f t="shared" si="2"/>
        <v>3</v>
      </c>
      <c r="B6" s="7" t="s">
        <v>625</v>
      </c>
      <c r="C6" s="8">
        <v>0</v>
      </c>
      <c r="D6" s="8">
        <v>0</v>
      </c>
      <c r="E6" s="8">
        <f t="array" ref="E6">SUM(IF("331"&amp;B6=KHN&amp;KH,TH))</f>
        <v>0</v>
      </c>
      <c r="F6" s="8">
        <f t="array" ref="F6">SUM(IF("331"&amp;B6=KHC&amp;KH,TH))</f>
        <v>0</v>
      </c>
      <c r="G6" s="91">
        <f t="shared" si="0"/>
        <v>0</v>
      </c>
      <c r="H6" s="91">
        <f t="shared" si="1"/>
        <v>0</v>
      </c>
    </row>
    <row r="7" spans="1:8" s="10" customFormat="1" ht="16.5" customHeight="1">
      <c r="A7" s="6">
        <f t="shared" si="2"/>
        <v>4</v>
      </c>
      <c r="B7" s="7" t="s">
        <v>626</v>
      </c>
      <c r="C7" s="8">
        <v>0</v>
      </c>
      <c r="D7" s="8">
        <v>0</v>
      </c>
      <c r="E7" s="8">
        <f t="array" ref="E7">SUM(IF("331"&amp;B7=KHN&amp;KH,TH))</f>
        <v>38500000</v>
      </c>
      <c r="F7" s="8">
        <f t="array" ref="F7">SUM(IF("331"&amp;B7=KHC&amp;KH,TH))</f>
        <v>38500000</v>
      </c>
      <c r="G7" s="91">
        <f t="shared" si="0"/>
        <v>0</v>
      </c>
      <c r="H7" s="91">
        <f t="shared" si="1"/>
        <v>0</v>
      </c>
    </row>
    <row r="8" spans="1:8" s="10" customFormat="1" ht="16.5" customHeight="1">
      <c r="A8" s="6">
        <f t="shared" si="2"/>
        <v>5</v>
      </c>
      <c r="B8" s="7" t="s">
        <v>627</v>
      </c>
      <c r="C8" s="8">
        <v>0</v>
      </c>
      <c r="D8" s="8">
        <v>0</v>
      </c>
      <c r="E8" s="8">
        <f t="array" ref="E8">SUM(IF("331"&amp;B8=KHN&amp;KH,TH))</f>
        <v>0</v>
      </c>
      <c r="F8" s="8">
        <f t="array" ref="F8">SUM(IF("331"&amp;B8=KHC&amp;KH,TH))</f>
        <v>17316750</v>
      </c>
      <c r="G8" s="91">
        <f t="shared" si="0"/>
        <v>0</v>
      </c>
      <c r="H8" s="91">
        <f t="shared" si="1"/>
        <v>17316750</v>
      </c>
    </row>
    <row r="9" spans="1:8" s="10" customFormat="1" ht="16.5" customHeight="1">
      <c r="A9" s="6">
        <f t="shared" si="2"/>
        <v>6</v>
      </c>
      <c r="B9" s="77" t="s">
        <v>628</v>
      </c>
      <c r="C9" s="8">
        <v>0</v>
      </c>
      <c r="D9" s="8">
        <v>60990540</v>
      </c>
      <c r="E9" s="8">
        <f t="array" ref="E9">SUM(IF("331"&amp;B9=KHN&amp;KH,TH))</f>
        <v>60000000</v>
      </c>
      <c r="F9" s="8">
        <f t="array" ref="F9">SUM(IF("331"&amp;B9=KHC&amp;KH,TH))</f>
        <v>37808100</v>
      </c>
      <c r="G9" s="91">
        <f t="shared" si="0"/>
        <v>0</v>
      </c>
      <c r="H9" s="91">
        <f t="shared" si="1"/>
        <v>38798640</v>
      </c>
    </row>
    <row r="10" spans="1:8" s="10" customFormat="1" ht="16.5" customHeight="1">
      <c r="A10" s="6">
        <f t="shared" si="2"/>
        <v>7</v>
      </c>
      <c r="B10" s="7" t="s">
        <v>629</v>
      </c>
      <c r="C10" s="8">
        <v>0</v>
      </c>
      <c r="D10" s="8">
        <v>62480865</v>
      </c>
      <c r="E10" s="8">
        <f t="array" ref="E10">SUM(IF("331"&amp;B10=KHN&amp;KH,TH))</f>
        <v>0</v>
      </c>
      <c r="F10" s="8">
        <f t="array" ref="F10">SUM(IF("331"&amp;B10=KHC&amp;KH,TH))</f>
        <v>0</v>
      </c>
      <c r="G10" s="91">
        <f t="shared" ref="G10:G15" si="3">ROUND(MAX(C10+E10-D10-F10,0),2)</f>
        <v>0</v>
      </c>
      <c r="H10" s="91">
        <f t="shared" ref="H10:H15" si="4">ROUND(MAX(D10+F10-C10-E10,0),2)</f>
        <v>62480865</v>
      </c>
    </row>
    <row r="11" spans="1:8" s="10" customFormat="1" ht="16.5" customHeight="1">
      <c r="A11" s="6">
        <f t="shared" si="2"/>
        <v>8</v>
      </c>
      <c r="B11" s="7" t="s">
        <v>679</v>
      </c>
      <c r="C11" s="8">
        <v>0</v>
      </c>
      <c r="D11" s="8">
        <v>0</v>
      </c>
      <c r="E11" s="8">
        <f t="array" ref="E11">SUM(IF("331"&amp;B11=KHN&amp;KH,TH))</f>
        <v>59100000</v>
      </c>
      <c r="F11" s="8">
        <f t="array" ref="F11">SUM(IF("331"&amp;B11=KHC&amp;KH,TH))</f>
        <v>59100000</v>
      </c>
      <c r="G11" s="91">
        <f>ROUND(MAX(C11+E11-D11-F11,0),2)</f>
        <v>0</v>
      </c>
      <c r="H11" s="91">
        <f>ROUND(MAX(D11+F11-C11-E11,0),2)</f>
        <v>0</v>
      </c>
    </row>
    <row r="12" spans="1:8" s="10" customFormat="1" ht="16.5" customHeight="1">
      <c r="A12" s="6">
        <f t="shared" si="2"/>
        <v>9</v>
      </c>
      <c r="B12" s="7" t="s">
        <v>680</v>
      </c>
      <c r="C12" s="8">
        <v>0</v>
      </c>
      <c r="D12" s="8">
        <v>0</v>
      </c>
      <c r="E12" s="8">
        <f t="array" ref="E12">SUM(IF("331"&amp;B12=KHN&amp;KH,TH))</f>
        <v>36300000</v>
      </c>
      <c r="F12" s="8">
        <f t="array" ref="F12">SUM(IF("331"&amp;B12=KHC&amp;KH,TH))</f>
        <v>36300000</v>
      </c>
      <c r="G12" s="91">
        <f>ROUND(MAX(C12+E12-D12-F12,0),2)</f>
        <v>0</v>
      </c>
      <c r="H12" s="91">
        <f>ROUND(MAX(D12+F12-C12-E12,0),2)</f>
        <v>0</v>
      </c>
    </row>
    <row r="13" spans="1:8" s="10" customFormat="1" ht="16.5" customHeight="1">
      <c r="A13" s="6">
        <f t="shared" si="2"/>
        <v>10</v>
      </c>
      <c r="B13" s="77" t="s">
        <v>630</v>
      </c>
      <c r="C13" s="8">
        <v>0</v>
      </c>
      <c r="D13" s="8">
        <v>38506000</v>
      </c>
      <c r="E13" s="8">
        <f t="array" ref="E13">SUM(IF("331"&amp;B13=KHN&amp;KH,TH))</f>
        <v>88506000</v>
      </c>
      <c r="F13" s="8">
        <f t="array" ref="F13">SUM(IF("331"&amp;B13=KHC&amp;KH,TH))</f>
        <v>85536000</v>
      </c>
      <c r="G13" s="91">
        <f>ROUND(MAX(C13+E13-D13-F13,0),2)</f>
        <v>0</v>
      </c>
      <c r="H13" s="91">
        <f>ROUND(MAX(D13+F13-C13-E13,0),2)</f>
        <v>35536000</v>
      </c>
    </row>
    <row r="14" spans="1:8" s="10" customFormat="1" ht="16.5" customHeight="1">
      <c r="A14" s="6">
        <f t="shared" si="2"/>
        <v>11</v>
      </c>
      <c r="B14" s="7" t="s">
        <v>631</v>
      </c>
      <c r="C14" s="8">
        <v>0</v>
      </c>
      <c r="D14" s="8">
        <v>7500000</v>
      </c>
      <c r="E14" s="8">
        <f t="array" ref="E14">SUM(IF("331"&amp;B14=KHN&amp;KH,TH))</f>
        <v>7500000</v>
      </c>
      <c r="F14" s="8">
        <f t="array" ref="F14">SUM(IF("331"&amp;B14=KHC&amp;KH,TH))</f>
        <v>0</v>
      </c>
      <c r="G14" s="91">
        <f t="shared" si="3"/>
        <v>0</v>
      </c>
      <c r="H14" s="91">
        <f t="shared" si="4"/>
        <v>0</v>
      </c>
    </row>
    <row r="15" spans="1:8" s="10" customFormat="1" ht="16.5" customHeight="1">
      <c r="A15" s="6">
        <f t="shared" si="2"/>
        <v>12</v>
      </c>
      <c r="B15" s="7" t="s">
        <v>632</v>
      </c>
      <c r="C15" s="8">
        <v>0</v>
      </c>
      <c r="D15" s="8">
        <v>24446400</v>
      </c>
      <c r="E15" s="8">
        <f t="array" ref="E15">SUM(IF("331"&amp;B15=KHN&amp;KH,TH))</f>
        <v>24446400</v>
      </c>
      <c r="F15" s="8">
        <f t="array" ref="F15">SUM(IF("331"&amp;B15=KHC&amp;KH,TH))</f>
        <v>0</v>
      </c>
      <c r="G15" s="91">
        <f t="shared" si="3"/>
        <v>0</v>
      </c>
      <c r="H15" s="91">
        <f t="shared" si="4"/>
        <v>0</v>
      </c>
    </row>
    <row r="16" spans="1:8" s="10" customFormat="1" ht="16.5" customHeight="1">
      <c r="A16" s="6">
        <f t="shared" si="2"/>
        <v>13</v>
      </c>
      <c r="B16" s="7" t="s">
        <v>633</v>
      </c>
      <c r="C16" s="8">
        <v>0</v>
      </c>
      <c r="D16" s="8">
        <v>0</v>
      </c>
      <c r="E16" s="8">
        <f t="array" ref="E16">SUM(IF("331"&amp;B16=KHN&amp;KH,TH))</f>
        <v>12162000</v>
      </c>
      <c r="F16" s="8">
        <f t="array" ref="F16">SUM(IF("331"&amp;B16=KHC&amp;KH,TH))</f>
        <v>12162000</v>
      </c>
      <c r="G16" s="91">
        <f t="shared" ref="G16:G21" si="5">ROUND(MAX(C16+E16-D16-F16,0),2)</f>
        <v>0</v>
      </c>
      <c r="H16" s="91">
        <f t="shared" ref="H16:H21" si="6">ROUND(MAX(D16+F16-C16-E16,0),2)</f>
        <v>0</v>
      </c>
    </row>
    <row r="17" spans="1:9" s="10" customFormat="1" ht="16.5" customHeight="1">
      <c r="A17" s="6">
        <f t="shared" si="2"/>
        <v>14</v>
      </c>
      <c r="B17" s="7" t="s">
        <v>634</v>
      </c>
      <c r="C17" s="8">
        <v>0</v>
      </c>
      <c r="D17" s="8">
        <v>124797985</v>
      </c>
      <c r="E17" s="8">
        <f t="array" ref="E17">SUM(IF("331"&amp;B17=KHN&amp;KH,TH))</f>
        <v>0</v>
      </c>
      <c r="F17" s="8">
        <f t="array" ref="F17">SUM(IF("331"&amp;B17=KHC&amp;KH,TH))</f>
        <v>10800000</v>
      </c>
      <c r="G17" s="91">
        <f t="shared" si="5"/>
        <v>0</v>
      </c>
      <c r="H17" s="91">
        <f t="shared" si="6"/>
        <v>135597985</v>
      </c>
    </row>
    <row r="18" spans="1:9" s="10" customFormat="1" ht="16.5" customHeight="1">
      <c r="A18" s="6">
        <f t="shared" si="2"/>
        <v>15</v>
      </c>
      <c r="B18" s="7" t="s">
        <v>635</v>
      </c>
      <c r="C18" s="8">
        <v>0</v>
      </c>
      <c r="D18" s="8">
        <v>122052632</v>
      </c>
      <c r="E18" s="8">
        <f t="array" ref="E18">SUM(IF("331"&amp;B18=KHN&amp;KH,TH))</f>
        <v>150000000</v>
      </c>
      <c r="F18" s="8">
        <f t="array" ref="F18">SUM(IF("331"&amp;B18=KHC&amp;KH,TH))</f>
        <v>81825098</v>
      </c>
      <c r="G18" s="91">
        <f t="shared" si="5"/>
        <v>0</v>
      </c>
      <c r="H18" s="91">
        <f t="shared" si="6"/>
        <v>53877730</v>
      </c>
    </row>
    <row r="19" spans="1:9" s="10" customFormat="1" ht="16.5" customHeight="1">
      <c r="A19" s="6">
        <f t="shared" si="2"/>
        <v>16</v>
      </c>
      <c r="B19" s="7" t="s">
        <v>636</v>
      </c>
      <c r="C19" s="8">
        <v>0</v>
      </c>
      <c r="D19" s="8">
        <v>39198830</v>
      </c>
      <c r="E19" s="8">
        <f t="array" ref="E19">SUM(IF("331"&amp;B19=KHN&amp;KH,TH))</f>
        <v>232472736</v>
      </c>
      <c r="F19" s="8">
        <f t="array" ref="F19">SUM(IF("331"&amp;B19=KHC&amp;KH,TH))</f>
        <v>215460466</v>
      </c>
      <c r="G19" s="91">
        <f t="shared" si="5"/>
        <v>0</v>
      </c>
      <c r="H19" s="91">
        <f t="shared" si="6"/>
        <v>22186560</v>
      </c>
    </row>
    <row r="20" spans="1:9" s="10" customFormat="1" ht="16.5" customHeight="1">
      <c r="A20" s="6">
        <f t="shared" si="2"/>
        <v>17</v>
      </c>
      <c r="B20" s="7" t="s">
        <v>637</v>
      </c>
      <c r="C20" s="8">
        <v>60000000</v>
      </c>
      <c r="D20" s="8">
        <v>0</v>
      </c>
      <c r="E20" s="8">
        <f t="array" ref="E20">SUM(IF("331"&amp;B20=KHN&amp;KH,TH))</f>
        <v>0</v>
      </c>
      <c r="F20" s="8">
        <f t="array" ref="F20">SUM(IF("331"&amp;B20=KHC&amp;KH,TH))</f>
        <v>137480000</v>
      </c>
      <c r="G20" s="91">
        <f t="shared" si="5"/>
        <v>0</v>
      </c>
      <c r="H20" s="91">
        <f t="shared" si="6"/>
        <v>77480000</v>
      </c>
    </row>
    <row r="21" spans="1:9" s="10" customFormat="1" ht="16.5" customHeight="1">
      <c r="A21" s="6">
        <f t="shared" si="2"/>
        <v>18</v>
      </c>
      <c r="B21" s="7" t="s">
        <v>638</v>
      </c>
      <c r="C21" s="8">
        <v>0</v>
      </c>
      <c r="D21" s="8">
        <v>56980000</v>
      </c>
      <c r="E21" s="8">
        <f t="array" ref="E21">SUM(IF("331"&amp;B21=KHN&amp;KH,TH))</f>
        <v>56980000</v>
      </c>
      <c r="F21" s="8">
        <f t="array" ref="F21">SUM(IF("331"&amp;B21=KHC&amp;KH,TH))</f>
        <v>0</v>
      </c>
      <c r="G21" s="91">
        <f t="shared" si="5"/>
        <v>0</v>
      </c>
      <c r="H21" s="91">
        <f t="shared" si="6"/>
        <v>0</v>
      </c>
    </row>
    <row r="22" spans="1:9" s="10" customFormat="1" ht="16.5" customHeight="1">
      <c r="A22" s="6">
        <f t="shared" ref="A22" si="7">IF(B22&lt;&gt;"",ROW()-3,"")</f>
        <v>19</v>
      </c>
      <c r="B22" s="74" t="s">
        <v>1187</v>
      </c>
      <c r="C22" s="8">
        <v>0</v>
      </c>
      <c r="D22" s="8">
        <v>0</v>
      </c>
      <c r="E22" s="8">
        <f t="array" ref="E22">SUM(IF("331"&amp;B22=KHN&amp;KH,TH))</f>
        <v>0</v>
      </c>
      <c r="F22" s="8">
        <f t="array" ref="F22">SUM(IF("331"&amp;B22=KHC&amp;KH,TH))</f>
        <v>36900000</v>
      </c>
      <c r="G22" s="91">
        <f t="shared" ref="G22" si="8">ROUND(MAX(C22+E22-D22-F22,0),2)</f>
        <v>0</v>
      </c>
      <c r="H22" s="91">
        <f t="shared" ref="H22" si="9">ROUND(MAX(D22+F22-C22-E22,0),2)</f>
        <v>36900000</v>
      </c>
    </row>
    <row r="23" spans="1:9" s="978" customFormat="1" ht="16.5" customHeight="1">
      <c r="A23" s="6">
        <f>IF(B23&lt;&gt;"",ROW()-3,"")</f>
        <v>20</v>
      </c>
      <c r="B23" s="322" t="s">
        <v>1151</v>
      </c>
      <c r="C23" s="8"/>
      <c r="D23" s="8"/>
      <c r="E23" s="8">
        <f t="array" ref="E23">SUM(IF("331"&amp;B23=KHN&amp;KH,TH))</f>
        <v>0</v>
      </c>
      <c r="F23" s="8">
        <f t="array" ref="F23">SUM(IF("331"&amp;B23=KHC&amp;KH,TH))</f>
        <v>16269120</v>
      </c>
      <c r="G23" s="91">
        <f>ROUND(MAX(C23+E23-D23-F23,0),2)</f>
        <v>0</v>
      </c>
      <c r="H23" s="91">
        <f>ROUND(MAX(D23+F23-C23-E23,0),2)</f>
        <v>16269120</v>
      </c>
      <c r="I23" s="978" t="str">
        <f>IF(ISNA(VLOOKUP(B23,DSNL,6,0)),"",VLOOKUP(B23,DSNL,6,0))</f>
        <v/>
      </c>
    </row>
    <row r="24" spans="1:9" s="978" customFormat="1" ht="16.5" customHeight="1">
      <c r="A24" s="6">
        <f t="shared" si="2"/>
        <v>21</v>
      </c>
      <c r="B24" s="976" t="s">
        <v>429</v>
      </c>
      <c r="C24" s="972"/>
      <c r="D24" s="972"/>
      <c r="E24" s="972">
        <f t="array" ref="E24">SUM(IF("331"&amp;B24=KHN&amp;KH,TH))</f>
        <v>307423600</v>
      </c>
      <c r="F24" s="972">
        <f t="array" ref="F24">SUM(IF("331"&amp;B24=KHC&amp;KH,TH))</f>
        <v>307423600</v>
      </c>
      <c r="G24" s="977">
        <f t="shared" ref="G24:G47" si="10">ROUND(MAX(C24+E24-D24-F24,0),2)</f>
        <v>0</v>
      </c>
      <c r="H24" s="977">
        <f t="shared" ref="H24:H47" si="11">ROUND(MAX(D24+F24-C24-E24,0),2)</f>
        <v>0</v>
      </c>
      <c r="I24" s="978" t="str">
        <f t="shared" ref="I24:I48" si="12">IF(ISNA(VLOOKUP(B24,DSNL,6,0)),"",VLOOKUP(B24,DSNL,6,0))</f>
        <v>Hai</v>
      </c>
    </row>
    <row r="25" spans="1:9" s="978" customFormat="1" ht="16.5" customHeight="1">
      <c r="A25" s="6">
        <f t="shared" si="2"/>
        <v>22</v>
      </c>
      <c r="B25" s="976" t="s">
        <v>432</v>
      </c>
      <c r="C25" s="972"/>
      <c r="D25" s="972"/>
      <c r="E25" s="972">
        <f t="array" ref="E25">SUM(IF("331"&amp;B25=KHN&amp;KH,TH))</f>
        <v>416013200</v>
      </c>
      <c r="F25" s="972">
        <f t="array" ref="F25">SUM(IF("331"&amp;B25=KHC&amp;KH,TH))</f>
        <v>416013200</v>
      </c>
      <c r="G25" s="977">
        <f t="shared" si="10"/>
        <v>0</v>
      </c>
      <c r="H25" s="977">
        <f t="shared" si="11"/>
        <v>0</v>
      </c>
      <c r="I25" s="978" t="str">
        <f t="shared" si="12"/>
        <v>Hai</v>
      </c>
    </row>
    <row r="26" spans="1:9" s="978" customFormat="1" ht="16.5" customHeight="1">
      <c r="A26" s="6">
        <f t="shared" si="2"/>
        <v>23</v>
      </c>
      <c r="B26" s="976" t="s">
        <v>434</v>
      </c>
      <c r="C26" s="972"/>
      <c r="D26" s="972"/>
      <c r="E26" s="972">
        <f t="array" ref="E26">SUM(IF("331"&amp;B26=KHN&amp;KH,TH))</f>
        <v>519129200</v>
      </c>
      <c r="F26" s="972">
        <f t="array" ref="F26">SUM(IF("331"&amp;B26=KHC&amp;KH,TH))</f>
        <v>519129200</v>
      </c>
      <c r="G26" s="977">
        <f t="shared" si="10"/>
        <v>0</v>
      </c>
      <c r="H26" s="977">
        <f t="shared" si="11"/>
        <v>0</v>
      </c>
      <c r="I26" s="978" t="str">
        <f t="shared" si="12"/>
        <v>Hai</v>
      </c>
    </row>
    <row r="27" spans="1:9" s="978" customFormat="1" ht="16.5" customHeight="1">
      <c r="A27" s="6">
        <f t="shared" si="2"/>
        <v>24</v>
      </c>
      <c r="B27" s="976" t="s">
        <v>436</v>
      </c>
      <c r="C27" s="972"/>
      <c r="D27" s="972"/>
      <c r="E27" s="972">
        <f t="array" ref="E27">SUM(IF("331"&amp;B27=KHN&amp;KH,TH))</f>
        <v>519751200</v>
      </c>
      <c r="F27" s="972">
        <f t="array" ref="F27">SUM(IF("331"&amp;B27=KHC&amp;KH,TH))</f>
        <v>519751200</v>
      </c>
      <c r="G27" s="977">
        <f t="shared" si="10"/>
        <v>0</v>
      </c>
      <c r="H27" s="977">
        <f t="shared" si="11"/>
        <v>0</v>
      </c>
      <c r="I27" s="978" t="str">
        <f t="shared" si="12"/>
        <v>Hai</v>
      </c>
    </row>
    <row r="28" spans="1:9" s="978" customFormat="1" ht="16.5" customHeight="1">
      <c r="A28" s="6">
        <f t="shared" si="2"/>
        <v>25</v>
      </c>
      <c r="B28" s="976" t="s">
        <v>438</v>
      </c>
      <c r="C28" s="972"/>
      <c r="D28" s="972"/>
      <c r="E28" s="972">
        <f t="array" ref="E28">SUM(IF("331"&amp;B28=KHN&amp;KH,TH))</f>
        <v>405824800</v>
      </c>
      <c r="F28" s="972">
        <f t="array" ref="F28">SUM(IF("331"&amp;B28=KHC&amp;KH,TH))</f>
        <v>405824800</v>
      </c>
      <c r="G28" s="977">
        <f t="shared" si="10"/>
        <v>0</v>
      </c>
      <c r="H28" s="977">
        <f t="shared" si="11"/>
        <v>0</v>
      </c>
      <c r="I28" s="978" t="str">
        <f t="shared" si="12"/>
        <v>Hai</v>
      </c>
    </row>
    <row r="29" spans="1:9" s="978" customFormat="1" ht="16.5" customHeight="1">
      <c r="A29" s="6">
        <f t="shared" si="2"/>
        <v>26</v>
      </c>
      <c r="B29" s="976" t="s">
        <v>439</v>
      </c>
      <c r="C29" s="972"/>
      <c r="D29" s="972"/>
      <c r="E29" s="972">
        <f t="array" ref="E29">SUM(IF("331"&amp;B29=KHN&amp;KH,TH))</f>
        <v>377897600</v>
      </c>
      <c r="F29" s="972">
        <f t="array" ref="F29">SUM(IF("331"&amp;B29=KHC&amp;KH,TH))</f>
        <v>377897600</v>
      </c>
      <c r="G29" s="977">
        <f t="shared" si="10"/>
        <v>0</v>
      </c>
      <c r="H29" s="977">
        <f t="shared" si="11"/>
        <v>0</v>
      </c>
      <c r="I29" s="978" t="str">
        <f t="shared" si="12"/>
        <v>Hai</v>
      </c>
    </row>
    <row r="30" spans="1:9" s="978" customFormat="1" ht="16.5" customHeight="1">
      <c r="A30" s="6">
        <f t="shared" si="2"/>
        <v>27</v>
      </c>
      <c r="B30" s="976" t="s">
        <v>443</v>
      </c>
      <c r="C30" s="972"/>
      <c r="D30" s="972"/>
      <c r="E30" s="972">
        <f t="array" ref="E30">SUM(IF("331"&amp;B30=KHN&amp;KH,TH))</f>
        <v>101204400</v>
      </c>
      <c r="F30" s="972">
        <f t="array" ref="F30">SUM(IF("331"&amp;B30=KHC&amp;KH,TH))</f>
        <v>101204400</v>
      </c>
      <c r="G30" s="977">
        <f t="shared" si="10"/>
        <v>0</v>
      </c>
      <c r="H30" s="977">
        <f t="shared" si="11"/>
        <v>0</v>
      </c>
      <c r="I30" s="978" t="str">
        <f t="shared" si="12"/>
        <v>Hai</v>
      </c>
    </row>
    <row r="31" spans="1:9" s="978" customFormat="1" ht="16.5" customHeight="1">
      <c r="A31" s="6">
        <f t="shared" si="2"/>
        <v>28</v>
      </c>
      <c r="B31" s="976" t="s">
        <v>445</v>
      </c>
      <c r="C31" s="972"/>
      <c r="D31" s="972"/>
      <c r="E31" s="972">
        <f t="array" ref="E31">SUM(IF("331"&amp;B31=KHN&amp;KH,TH))</f>
        <v>314428000</v>
      </c>
      <c r="F31" s="972">
        <f t="array" ref="F31">SUM(IF("331"&amp;B31=KHC&amp;KH,TH))</f>
        <v>314428000</v>
      </c>
      <c r="G31" s="977">
        <f t="shared" si="10"/>
        <v>0</v>
      </c>
      <c r="H31" s="977">
        <f t="shared" si="11"/>
        <v>0</v>
      </c>
      <c r="I31" s="978" t="str">
        <f t="shared" si="12"/>
        <v>Hai</v>
      </c>
    </row>
    <row r="32" spans="1:9" s="978" customFormat="1" ht="16.5" customHeight="1">
      <c r="A32" s="6">
        <f t="shared" si="2"/>
        <v>29</v>
      </c>
      <c r="B32" s="976" t="s">
        <v>447</v>
      </c>
      <c r="C32" s="972"/>
      <c r="D32" s="972"/>
      <c r="E32" s="972">
        <f t="array" ref="E32">SUM(IF("331"&amp;B32=KHN&amp;KH,TH))</f>
        <v>102928000</v>
      </c>
      <c r="F32" s="972">
        <f t="array" ref="F32">SUM(IF("331"&amp;B32=KHC&amp;KH,TH))</f>
        <v>102928000</v>
      </c>
      <c r="G32" s="977">
        <f t="shared" si="10"/>
        <v>0</v>
      </c>
      <c r="H32" s="977">
        <f t="shared" si="11"/>
        <v>0</v>
      </c>
      <c r="I32" s="978" t="str">
        <f t="shared" si="12"/>
        <v>Hai</v>
      </c>
    </row>
    <row r="33" spans="1:9" s="978" customFormat="1" ht="16.5" customHeight="1">
      <c r="A33" s="6">
        <f t="shared" si="2"/>
        <v>30</v>
      </c>
      <c r="B33" s="976" t="s">
        <v>365</v>
      </c>
      <c r="C33" s="972"/>
      <c r="D33" s="972"/>
      <c r="E33" s="972">
        <f t="array" ref="E33">SUM(IF("331"&amp;B33=KHN&amp;KH,TH))</f>
        <v>171717000</v>
      </c>
      <c r="F33" s="972">
        <f t="array" ref="F33">SUM(IF("331"&amp;B33=KHC&amp;KH,TH))</f>
        <v>171717000</v>
      </c>
      <c r="G33" s="977">
        <f t="shared" si="10"/>
        <v>0</v>
      </c>
      <c r="H33" s="977">
        <f t="shared" si="11"/>
        <v>0</v>
      </c>
      <c r="I33" s="978" t="str">
        <f t="shared" si="12"/>
        <v>Tiền</v>
      </c>
    </row>
    <row r="34" spans="1:9" s="978" customFormat="1" ht="16.5" customHeight="1">
      <c r="A34" s="6">
        <f t="shared" si="2"/>
        <v>31</v>
      </c>
      <c r="B34" s="976" t="s">
        <v>347</v>
      </c>
      <c r="C34" s="972"/>
      <c r="D34" s="972"/>
      <c r="E34" s="972">
        <f t="array" ref="E34">SUM(IF("331"&amp;B34=KHN&amp;KH,TH))</f>
        <v>104155000</v>
      </c>
      <c r="F34" s="972">
        <f t="array" ref="F34">SUM(IF("331"&amp;B34=KHC&amp;KH,TH))</f>
        <v>104155000</v>
      </c>
      <c r="G34" s="977">
        <f t="shared" si="10"/>
        <v>0</v>
      </c>
      <c r="H34" s="977">
        <f t="shared" si="11"/>
        <v>0</v>
      </c>
      <c r="I34" s="978" t="str">
        <f t="shared" si="12"/>
        <v>Tiền</v>
      </c>
    </row>
    <row r="35" spans="1:9" s="978" customFormat="1" ht="16.5" customHeight="1">
      <c r="A35" s="6">
        <f t="shared" si="2"/>
        <v>32</v>
      </c>
      <c r="B35" s="976" t="s">
        <v>350</v>
      </c>
      <c r="C35" s="972"/>
      <c r="D35" s="972"/>
      <c r="E35" s="972">
        <f t="array" ref="E35">SUM(IF("331"&amp;B35=KHN&amp;KH,TH))</f>
        <v>101380000</v>
      </c>
      <c r="F35" s="972">
        <f t="array" ref="F35">SUM(IF("331"&amp;B35=KHC&amp;KH,TH))</f>
        <v>101380000</v>
      </c>
      <c r="G35" s="977">
        <f t="shared" si="10"/>
        <v>0</v>
      </c>
      <c r="H35" s="977">
        <f t="shared" si="11"/>
        <v>0</v>
      </c>
      <c r="I35" s="978" t="str">
        <f t="shared" si="12"/>
        <v>Tiền</v>
      </c>
    </row>
    <row r="36" spans="1:9" s="978" customFormat="1" ht="16.5" customHeight="1">
      <c r="A36" s="6">
        <f t="shared" si="2"/>
        <v>33</v>
      </c>
      <c r="B36" s="976" t="s">
        <v>362</v>
      </c>
      <c r="C36" s="972"/>
      <c r="D36" s="972"/>
      <c r="E36" s="972">
        <f t="array" ref="E36">SUM(IF("331"&amp;B36=KHN&amp;KH,TH))</f>
        <v>141858000</v>
      </c>
      <c r="F36" s="972">
        <f t="array" ref="F36">SUM(IF("331"&amp;B36=KHC&amp;KH,TH))</f>
        <v>141858000</v>
      </c>
      <c r="G36" s="977">
        <f t="shared" si="10"/>
        <v>0</v>
      </c>
      <c r="H36" s="977">
        <f t="shared" si="11"/>
        <v>0</v>
      </c>
      <c r="I36" s="978" t="str">
        <f t="shared" si="12"/>
        <v>Tiền</v>
      </c>
    </row>
    <row r="37" spans="1:9" s="978" customFormat="1" ht="16.5" customHeight="1">
      <c r="A37" s="6">
        <f t="shared" si="2"/>
        <v>34</v>
      </c>
      <c r="B37" s="976" t="s">
        <v>368</v>
      </c>
      <c r="C37" s="972"/>
      <c r="D37" s="972"/>
      <c r="E37" s="972">
        <f t="array" ref="E37">SUM(IF("331"&amp;B37=KHN&amp;KH,TH))</f>
        <v>72890000</v>
      </c>
      <c r="F37" s="972">
        <f t="array" ref="F37">SUM(IF("331"&amp;B37=KHC&amp;KH,TH))</f>
        <v>72890000</v>
      </c>
      <c r="G37" s="977">
        <f t="shared" si="10"/>
        <v>0</v>
      </c>
      <c r="H37" s="977">
        <f t="shared" si="11"/>
        <v>0</v>
      </c>
      <c r="I37" s="978" t="str">
        <f t="shared" si="12"/>
        <v>Tiền</v>
      </c>
    </row>
    <row r="38" spans="1:9" s="978" customFormat="1" ht="16.5" customHeight="1">
      <c r="A38" s="6" t="str">
        <f t="shared" si="2"/>
        <v/>
      </c>
      <c r="B38" s="976"/>
      <c r="C38" s="972"/>
      <c r="D38" s="972"/>
      <c r="E38" s="972">
        <f t="array" ref="E38">SUM(IF("331"&amp;B38=KHN&amp;KH,TH))</f>
        <v>0</v>
      </c>
      <c r="F38" s="972">
        <f t="array" ref="F38">SUM(IF("331"&amp;B38=KHC&amp;KH,TH))</f>
        <v>0</v>
      </c>
      <c r="G38" s="977">
        <f t="shared" si="10"/>
        <v>0</v>
      </c>
      <c r="H38" s="977">
        <f t="shared" si="11"/>
        <v>0</v>
      </c>
      <c r="I38" s="978" t="str">
        <f t="shared" si="12"/>
        <v/>
      </c>
    </row>
    <row r="39" spans="1:9" s="978" customFormat="1" ht="16.5" customHeight="1">
      <c r="A39" s="6" t="str">
        <f t="shared" si="2"/>
        <v/>
      </c>
      <c r="B39" s="976"/>
      <c r="C39" s="972"/>
      <c r="D39" s="972"/>
      <c r="E39" s="972">
        <f t="array" ref="E39">SUM(IF("331"&amp;B39=KHN&amp;KH,TH))</f>
        <v>0</v>
      </c>
      <c r="F39" s="972">
        <f t="array" ref="F39">SUM(IF("331"&amp;B39=KHC&amp;KH,TH))</f>
        <v>0</v>
      </c>
      <c r="G39" s="977">
        <f t="shared" si="10"/>
        <v>0</v>
      </c>
      <c r="H39" s="977">
        <f t="shared" si="11"/>
        <v>0</v>
      </c>
      <c r="I39" s="978" t="str">
        <f t="shared" si="12"/>
        <v/>
      </c>
    </row>
    <row r="40" spans="1:9" s="978" customFormat="1" ht="16.5" customHeight="1">
      <c r="A40" s="6" t="str">
        <f t="shared" si="2"/>
        <v/>
      </c>
      <c r="B40" s="976"/>
      <c r="C40" s="972"/>
      <c r="D40" s="972"/>
      <c r="E40" s="972">
        <f t="array" ref="E40">SUM(IF("331"&amp;B40=KHN&amp;KH,TH))</f>
        <v>0</v>
      </c>
      <c r="F40" s="972">
        <f t="array" ref="F40">SUM(IF("331"&amp;B40=KHC&amp;KH,TH))</f>
        <v>0</v>
      </c>
      <c r="G40" s="977">
        <f t="shared" si="10"/>
        <v>0</v>
      </c>
      <c r="H40" s="977">
        <f t="shared" si="11"/>
        <v>0</v>
      </c>
      <c r="I40" s="978" t="str">
        <f t="shared" si="12"/>
        <v/>
      </c>
    </row>
    <row r="41" spans="1:9" s="978" customFormat="1" ht="16.5" customHeight="1">
      <c r="A41" s="6" t="str">
        <f t="shared" si="2"/>
        <v/>
      </c>
      <c r="B41" s="976"/>
      <c r="C41" s="972"/>
      <c r="D41" s="972"/>
      <c r="E41" s="972">
        <f t="array" ref="E41">SUM(IF("331"&amp;B41=KHN&amp;KH,TH))</f>
        <v>0</v>
      </c>
      <c r="F41" s="972">
        <f t="array" ref="F41">SUM(IF("331"&amp;B41=KHC&amp;KH,TH))</f>
        <v>0</v>
      </c>
      <c r="G41" s="977">
        <f t="shared" si="10"/>
        <v>0</v>
      </c>
      <c r="H41" s="977">
        <f t="shared" si="11"/>
        <v>0</v>
      </c>
      <c r="I41" s="978" t="str">
        <f t="shared" si="12"/>
        <v/>
      </c>
    </row>
    <row r="42" spans="1:9" s="978" customFormat="1" ht="16.5" customHeight="1">
      <c r="A42" s="6" t="str">
        <f t="shared" si="2"/>
        <v/>
      </c>
      <c r="B42" s="976"/>
      <c r="C42" s="972"/>
      <c r="D42" s="972"/>
      <c r="E42" s="972">
        <f t="array" ref="E42">SUM(IF("331"&amp;B42=KHN&amp;KH,TH))</f>
        <v>0</v>
      </c>
      <c r="F42" s="972">
        <f t="array" ref="F42">SUM(IF("331"&amp;B42=KHC&amp;KH,TH))</f>
        <v>0</v>
      </c>
      <c r="G42" s="977">
        <f t="shared" si="10"/>
        <v>0</v>
      </c>
      <c r="H42" s="977">
        <f t="shared" si="11"/>
        <v>0</v>
      </c>
      <c r="I42" s="978" t="str">
        <f t="shared" si="12"/>
        <v/>
      </c>
    </row>
    <row r="43" spans="1:9" s="978" customFormat="1" ht="16.5" customHeight="1">
      <c r="A43" s="6" t="str">
        <f t="shared" si="2"/>
        <v/>
      </c>
      <c r="B43" s="976"/>
      <c r="C43" s="972"/>
      <c r="D43" s="972"/>
      <c r="E43" s="972">
        <f t="array" ref="E43">SUM(IF("331"&amp;B43=KHN&amp;KH,TH))</f>
        <v>0</v>
      </c>
      <c r="F43" s="972">
        <f t="array" ref="F43">SUM(IF("331"&amp;B43=KHC&amp;KH,TH))</f>
        <v>0</v>
      </c>
      <c r="G43" s="977">
        <f t="shared" si="10"/>
        <v>0</v>
      </c>
      <c r="H43" s="977">
        <f t="shared" si="11"/>
        <v>0</v>
      </c>
      <c r="I43" s="978" t="str">
        <f t="shared" si="12"/>
        <v/>
      </c>
    </row>
    <row r="44" spans="1:9" s="978" customFormat="1" ht="16.5" customHeight="1">
      <c r="A44" s="6" t="str">
        <f t="shared" si="2"/>
        <v/>
      </c>
      <c r="B44" s="976"/>
      <c r="C44" s="972"/>
      <c r="D44" s="972"/>
      <c r="E44" s="972">
        <f t="array" ref="E44">SUM(IF("331"&amp;B44=KHN&amp;KH,TH))</f>
        <v>0</v>
      </c>
      <c r="F44" s="972">
        <f t="array" ref="F44">SUM(IF("331"&amp;B44=KHC&amp;KH,TH))</f>
        <v>0</v>
      </c>
      <c r="G44" s="977">
        <f t="shared" si="10"/>
        <v>0</v>
      </c>
      <c r="H44" s="977">
        <f t="shared" si="11"/>
        <v>0</v>
      </c>
      <c r="I44" s="978" t="str">
        <f t="shared" si="12"/>
        <v/>
      </c>
    </row>
    <row r="45" spans="1:9" s="978" customFormat="1" ht="16.5" customHeight="1">
      <c r="A45" s="6" t="str">
        <f t="shared" si="2"/>
        <v/>
      </c>
      <c r="B45" s="976"/>
      <c r="C45" s="972"/>
      <c r="D45" s="972"/>
      <c r="E45" s="972">
        <f t="array" ref="E45">SUM(IF("331"&amp;B45=KHN&amp;KH,TH))</f>
        <v>0</v>
      </c>
      <c r="F45" s="972">
        <f t="array" ref="F45">SUM(IF("331"&amp;B45=KHC&amp;KH,TH))</f>
        <v>0</v>
      </c>
      <c r="G45" s="977">
        <f t="shared" si="10"/>
        <v>0</v>
      </c>
      <c r="H45" s="977">
        <f t="shared" si="11"/>
        <v>0</v>
      </c>
      <c r="I45" s="978" t="str">
        <f t="shared" si="12"/>
        <v/>
      </c>
    </row>
    <row r="46" spans="1:9" s="978" customFormat="1" ht="16.5" customHeight="1">
      <c r="A46" s="6" t="str">
        <f t="shared" si="2"/>
        <v/>
      </c>
      <c r="B46" s="976"/>
      <c r="C46" s="972"/>
      <c r="D46" s="972"/>
      <c r="E46" s="972">
        <f t="array" ref="E46">SUM(IF("331"&amp;B46=KHN&amp;KH,TH))</f>
        <v>0</v>
      </c>
      <c r="F46" s="972">
        <f t="array" ref="F46">SUM(IF("331"&amp;B46=KHC&amp;KH,TH))</f>
        <v>0</v>
      </c>
      <c r="G46" s="977">
        <f t="shared" si="10"/>
        <v>0</v>
      </c>
      <c r="H46" s="977">
        <f t="shared" si="11"/>
        <v>0</v>
      </c>
      <c r="I46" s="978" t="str">
        <f t="shared" si="12"/>
        <v/>
      </c>
    </row>
    <row r="47" spans="1:9" s="978" customFormat="1" ht="16.5" customHeight="1">
      <c r="A47" s="6" t="str">
        <f t="shared" si="2"/>
        <v/>
      </c>
      <c r="B47" s="976"/>
      <c r="C47" s="972"/>
      <c r="D47" s="972"/>
      <c r="E47" s="972">
        <f t="array" ref="E47">SUM(IF("331"&amp;B47=KHN&amp;KH,TH))</f>
        <v>0</v>
      </c>
      <c r="F47" s="972">
        <f t="array" ref="F47">SUM(IF("331"&amp;B47=KHC&amp;KH,TH))</f>
        <v>0</v>
      </c>
      <c r="G47" s="977">
        <f t="shared" si="10"/>
        <v>0</v>
      </c>
      <c r="H47" s="977">
        <f t="shared" si="11"/>
        <v>0</v>
      </c>
      <c r="I47" s="978" t="str">
        <f t="shared" si="12"/>
        <v/>
      </c>
    </row>
    <row r="48" spans="1:9" s="10" customFormat="1" ht="16.5" customHeight="1">
      <c r="A48" s="6" t="str">
        <f>IF(B48&lt;&gt;"",ROW()-3,"")</f>
        <v/>
      </c>
      <c r="B48" s="74"/>
      <c r="C48" s="8"/>
      <c r="D48" s="8"/>
      <c r="E48" s="972"/>
      <c r="F48" s="972"/>
      <c r="G48" s="977"/>
      <c r="H48" s="977"/>
      <c r="I48" s="978" t="str">
        <f t="shared" si="12"/>
        <v/>
      </c>
    </row>
    <row r="49" spans="1:8" s="14" customFormat="1" ht="14.25" customHeight="1">
      <c r="A49" s="11"/>
      <c r="B49" s="12" t="s">
        <v>41</v>
      </c>
      <c r="C49" s="13">
        <f>SUM(C4:C48)</f>
        <v>60000000</v>
      </c>
      <c r="D49" s="13">
        <f t="shared" ref="D49:H49" si="13">SUM(D4:D48)</f>
        <v>536953252</v>
      </c>
      <c r="E49" s="13">
        <f t="shared" si="13"/>
        <v>4437292135</v>
      </c>
      <c r="F49" s="13">
        <f t="shared" si="13"/>
        <v>4456782533</v>
      </c>
      <c r="G49" s="13">
        <f t="shared" si="13"/>
        <v>0</v>
      </c>
      <c r="H49" s="13">
        <f t="shared" si="13"/>
        <v>496443650</v>
      </c>
    </row>
    <row r="51" spans="1:8">
      <c r="E51" s="15">
        <f>CDPS!E38</f>
        <v>4437292135</v>
      </c>
      <c r="F51" s="15">
        <f>CDPS!F38</f>
        <v>4456782533</v>
      </c>
    </row>
    <row r="53" spans="1:8">
      <c r="E53" s="239">
        <f>E49-E51</f>
        <v>0</v>
      </c>
      <c r="F53" s="239">
        <f>F49-F51</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283" t="s">
        <v>49</v>
      </c>
      <c r="I1" s="1283"/>
      <c r="J1" s="1283"/>
    </row>
    <row r="2" spans="1:10" s="3" customFormat="1" ht="14.25" customHeight="1">
      <c r="A2" s="1" t="s">
        <v>15</v>
      </c>
      <c r="B2" s="16"/>
      <c r="C2" s="16"/>
      <c r="G2" s="17"/>
      <c r="H2" s="1284" t="s">
        <v>50</v>
      </c>
      <c r="I2" s="1284"/>
      <c r="J2" s="1284"/>
    </row>
    <row r="3" spans="1:10" s="3" customFormat="1" ht="14.25" customHeight="1">
      <c r="A3" s="4"/>
      <c r="B3" s="16"/>
      <c r="C3" s="16"/>
      <c r="G3" s="17"/>
      <c r="H3" s="1284"/>
      <c r="I3" s="1284"/>
      <c r="J3" s="1284"/>
    </row>
    <row r="4" spans="1:10" s="5" customFormat="1" ht="28.5" customHeight="1">
      <c r="A4" s="1290" t="s">
        <v>28</v>
      </c>
      <c r="B4" s="1290"/>
      <c r="C4" s="1290"/>
      <c r="D4" s="1290"/>
      <c r="E4" s="1290"/>
      <c r="F4" s="1290"/>
      <c r="G4" s="1290"/>
      <c r="H4" s="1290"/>
      <c r="I4" s="1290"/>
      <c r="J4" s="1290"/>
    </row>
    <row r="5" spans="1:10" s="18" customFormat="1" ht="14.25" customHeight="1">
      <c r="E5" s="19" t="s">
        <v>29</v>
      </c>
    </row>
    <row r="6" spans="1:10" s="18" customFormat="1" ht="14.25" customHeight="1">
      <c r="E6" s="19" t="s">
        <v>30</v>
      </c>
    </row>
    <row r="7" spans="1:10" s="18" customFormat="1" ht="14.25" customHeight="1">
      <c r="D7" s="20" t="s">
        <v>48</v>
      </c>
      <c r="E7" s="1285" t="s">
        <v>622</v>
      </c>
      <c r="F7" s="1285"/>
      <c r="G7" s="1285"/>
      <c r="H7" s="1285"/>
    </row>
    <row r="8" spans="1:10" s="18" customFormat="1" ht="14.25" customHeight="1">
      <c r="E8" s="19" t="s">
        <v>31</v>
      </c>
    </row>
    <row r="9" spans="1:10" s="18" customFormat="1" ht="6.75" customHeight="1">
      <c r="B9" s="19"/>
      <c r="C9" s="1286"/>
      <c r="D9" s="1286"/>
      <c r="E9" s="1286"/>
      <c r="F9" s="1286"/>
      <c r="G9" s="1286"/>
      <c r="H9" s="1286"/>
      <c r="I9" s="1286"/>
      <c r="J9" s="1286"/>
    </row>
    <row r="10" spans="1:10" s="18" customFormat="1" ht="14.25" customHeight="1">
      <c r="A10" s="1236" t="s">
        <v>22</v>
      </c>
      <c r="B10" s="1287" t="s">
        <v>1</v>
      </c>
      <c r="C10" s="1287"/>
      <c r="D10" s="1236" t="s">
        <v>0</v>
      </c>
      <c r="E10" s="1236" t="s">
        <v>16</v>
      </c>
      <c r="F10" s="1236" t="s">
        <v>32</v>
      </c>
      <c r="G10" s="1288" t="s">
        <v>23</v>
      </c>
      <c r="H10" s="1289"/>
      <c r="I10" s="1288" t="s">
        <v>33</v>
      </c>
      <c r="J10" s="1289"/>
    </row>
    <row r="11" spans="1:10" s="18" customFormat="1" ht="24.75" customHeight="1">
      <c r="A11" s="1236"/>
      <c r="B11" s="30" t="s">
        <v>17</v>
      </c>
      <c r="C11" s="30" t="s">
        <v>34</v>
      </c>
      <c r="D11" s="1236"/>
      <c r="E11" s="1236"/>
      <c r="F11" s="1236"/>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VLOOKUP($E$7,'331'!$B$4:$H$48,2,0)</f>
        <v>0</v>
      </c>
      <c r="J13" s="80">
        <f>VLOOKUP($E$7,'331'!$B$4:$H$48,3,0)</f>
        <v>0</v>
      </c>
    </row>
    <row r="14" spans="1:10" s="18" customFormat="1" ht="18" customHeight="1">
      <c r="A14" s="9">
        <f ca="1">IF(ROWS($1:1)&gt;COUNT(Dong),"",OFFSET(TH!C$1,SMALL(Dong,ROWS($1:1)),))</f>
        <v>42446</v>
      </c>
      <c r="B14" s="9" t="str">
        <f ca="1">IF(ROWS($1:1)&gt;COUNT(Dong),"",OFFSET(TH!D$1,SMALL(Dong,ROWS($1:1)),))</f>
        <v>VL/N03</v>
      </c>
      <c r="C14" s="9">
        <f ca="1">IF(ROWS($1:1)&gt;COUNT(Dong),"",OFFSET(TH!E$1,SMALL(Dong,ROWS($1:1)),))</f>
        <v>42446</v>
      </c>
      <c r="D14" s="379" t="str">
        <f ca="1">IF(ROWS($1:1)&gt;COUNT(Dong),"",OFFSET(TH!F$1,SMALL(Dong,ROWS($1:1)),))</f>
        <v>Băng keo</v>
      </c>
      <c r="E14" s="79" t="str">
        <f ca="1">IF(ROWS($1:1)&gt;COUNT(Dong),"",IF(OFFSET(TH!N$1,SMALL(Dong,ROWS($1:1)),)="331",OFFSET(TH!O$1,SMALL(Dong,ROWS($1:1)),),OFFSET(TH!N$1,SMALL(Dong,ROWS($1:1)),)))</f>
        <v>1522</v>
      </c>
      <c r="F14" s="79"/>
      <c r="G14" s="99">
        <f ca="1">IF(ROWS($1:1)&gt;COUNT(Dong),"",IF(OFFSET(TH!N$1,SMALL(Dong,ROWS($1:1)),)="331",OFFSET(TH!M$1,SMALL(Dong,ROWS($1:1)),),0))</f>
        <v>0</v>
      </c>
      <c r="H14" s="99">
        <f ca="1">IF(ROWS($1:1)&gt;COUNT(Dong),"",IF(OFFSET(TH!O$1,SMALL(Dong,ROWS($1:1)),)="331",OFFSET(TH!M$1,SMALL(Dong,ROWS($1:1)),),0))</f>
        <v>5100000</v>
      </c>
      <c r="I14" s="25">
        <f ca="1">IF(D14&lt;&gt;"",MAX(I13+G14-H14-J13,0),0)</f>
        <v>0</v>
      </c>
      <c r="J14" s="25">
        <f ca="1">IF(D14&lt;&gt;"",MAX(J13+H14-I13-G14,0),0)</f>
        <v>5100000</v>
      </c>
    </row>
    <row r="15" spans="1:10" s="18" customFormat="1" ht="18" customHeight="1">
      <c r="A15" s="9">
        <f ca="1">IF(ROWS($1:2)&gt;COUNT(Dong),"",OFFSET(TH!C$1,SMALL(Dong,ROWS($1:2)),))</f>
        <v>42446</v>
      </c>
      <c r="B15" s="9" t="str">
        <f ca="1">IF(ROWS($1:2)&gt;COUNT(Dong),"",OFFSET(TH!D$1,SMALL(Dong,ROWS($1:2)),))</f>
        <v>VL/N03</v>
      </c>
      <c r="C15" s="9">
        <f ca="1">IF(ROWS($1:2)&gt;COUNT(Dong),"",OFFSET(TH!E$1,SMALL(Dong,ROWS($1:2)),))</f>
        <v>42446</v>
      </c>
      <c r="D15" s="379" t="str">
        <f ca="1">IF(ROWS($1:2)&gt;COUNT(Dong),"",OFFSET(TH!F$1,SMALL(Dong,ROWS($1:2)),))</f>
        <v>VAT Băng keo</v>
      </c>
      <c r="E15" s="79" t="str">
        <f ca="1">IF(ROWS($1:2)&gt;COUNT(Dong),"",IF(OFFSET(TH!N$1,SMALL(Dong,ROWS($1:2)),)="331",OFFSET(TH!O$1,SMALL(Dong,ROWS($1:2)),),OFFSET(TH!N$1,SMALL(Dong,ROWS($1:2)),)))</f>
        <v>1331</v>
      </c>
      <c r="F15" s="79"/>
      <c r="G15" s="99">
        <f ca="1">IF(ROWS($1:2)&gt;COUNT(Dong),"",IF(OFFSET(TH!N$1,SMALL(Dong,ROWS($1:2)),)="331",OFFSET(TH!M$1,SMALL(Dong,ROWS($1:2)),),0))</f>
        <v>0</v>
      </c>
      <c r="H15" s="99">
        <f ca="1">IF(ROWS($1:2)&gt;COUNT(Dong),"",IF(OFFSET(TH!O$1,SMALL(Dong,ROWS($1:2)),)="331",OFFSET(TH!M$1,SMALL(Dong,ROWS($1:2)),),0))</f>
        <v>510000</v>
      </c>
      <c r="I15" s="25">
        <f t="shared" ref="I15:I20" ca="1" si="0">IF(D15&lt;&gt;"",MAX(I14+G15-H15-J14,0),0)</f>
        <v>0</v>
      </c>
      <c r="J15" s="25">
        <f t="shared" ref="J15:J20" ca="1" si="1">IF(D15&lt;&gt;"",MAX(J14+H15-I14-G15,0),0)</f>
        <v>5610000</v>
      </c>
    </row>
    <row r="16" spans="1:10" s="18" customFormat="1" ht="18" customHeight="1">
      <c r="A16" s="9">
        <f ca="1">IF(ROWS($1:3)&gt;COUNT(Dong),"",OFFSET(TH!C$1,SMALL(Dong,ROWS($1:3)),))</f>
        <v>42446</v>
      </c>
      <c r="B16" s="9" t="str">
        <f ca="1">IF(ROWS($1:3)&gt;COUNT(Dong),"",OFFSET(TH!D$1,SMALL(Dong,ROWS($1:3)),))</f>
        <v>C26</v>
      </c>
      <c r="C16" s="9">
        <f ca="1">IF(ROWS($1:3)&gt;COUNT(Dong),"",OFFSET(TH!E$1,SMALL(Dong,ROWS($1:3)),))</f>
        <v>42446</v>
      </c>
      <c r="D16" s="379" t="str">
        <f ca="1">IF(ROWS($1:3)&gt;COUNT(Dong),"",OFFSET(TH!F$1,SMALL(Dong,ROWS($1:3)),))</f>
        <v>Thanh toán tiền băng keo</v>
      </c>
      <c r="E16" s="79" t="str">
        <f ca="1">IF(ROWS($1:3)&gt;COUNT(Dong),"",IF(OFFSET(TH!N$1,SMALL(Dong,ROWS($1:3)),)="331",OFFSET(TH!O$1,SMALL(Dong,ROWS($1:3)),),OFFSET(TH!N$1,SMALL(Dong,ROWS($1:3)),)))</f>
        <v>1111</v>
      </c>
      <c r="F16" s="79"/>
      <c r="G16" s="99">
        <f ca="1">IF(ROWS($1:3)&gt;COUNT(Dong),"",IF(OFFSET(TH!N$1,SMALL(Dong,ROWS($1:3)),)="331",OFFSET(TH!M$1,SMALL(Dong,ROWS($1:3)),),0))</f>
        <v>5610000</v>
      </c>
      <c r="H16" s="99">
        <f ca="1">IF(ROWS($1:3)&gt;COUNT(Dong),"",IF(OFFSET(TH!O$1,SMALL(Dong,ROWS($1:3)),)="331",OFFSET(TH!M$1,SMALL(Dong,ROWS($1:3)),),0))</f>
        <v>0</v>
      </c>
      <c r="I16" s="25">
        <f t="shared" ca="1" si="0"/>
        <v>0</v>
      </c>
      <c r="J16" s="25">
        <f t="shared" ca="1" si="1"/>
        <v>0</v>
      </c>
    </row>
    <row r="17" spans="1:10" s="18" customFormat="1" ht="18" customHeight="1">
      <c r="A17" s="9" t="str">
        <f ca="1">IF(ROWS($1:4)&gt;COUNT(Dong),"",OFFSET(TH!C$1,SMALL(Dong,ROWS($1:4)),))</f>
        <v/>
      </c>
      <c r="B17" s="9" t="str">
        <f ca="1">IF(ROWS($1:4)&gt;COUNT(Dong),"",OFFSET(TH!D$1,SMALL(Dong,ROWS($1:4)),))</f>
        <v/>
      </c>
      <c r="C17" s="9" t="str">
        <f ca="1">IF(ROWS($1:4)&gt;COUNT(Dong),"",OFFSET(TH!E$1,SMALL(Dong,ROWS($1:4)),))</f>
        <v/>
      </c>
      <c r="D17" s="379" t="str">
        <f ca="1">IF(ROWS($1:4)&gt;COUNT(Dong),"",OFFSET(TH!F$1,SMALL(Dong,ROWS($1:4)),))</f>
        <v/>
      </c>
      <c r="E17" s="79" t="str">
        <f ca="1">IF(ROWS($1:4)&gt;COUNT(Dong),"",IF(OFFSET(TH!N$1,SMALL(Dong,ROWS($1:4)),)="331",OFFSET(TH!O$1,SMALL(Dong,ROWS($1:4)),),OFFSET(TH!N$1,SMALL(Dong,ROWS($1:4)),)))</f>
        <v/>
      </c>
      <c r="F17" s="79"/>
      <c r="G17" s="99" t="str">
        <f ca="1">IF(ROWS($1:4)&gt;COUNT(Dong),"",IF(OFFSET(TH!N$1,SMALL(Dong,ROWS($1:4)),)="331",OFFSET(TH!M$1,SMALL(Dong,ROWS($1:4)),),0))</f>
        <v/>
      </c>
      <c r="H17" s="99" t="str">
        <f ca="1">IF(ROWS($1:4)&gt;COUNT(Dong),"",IF(OFFSET(TH!O$1,SMALL(Dong,ROWS($1:4)),)="331",OFFSET(TH!M$1,SMALL(Dong,ROWS($1:4)),),0))</f>
        <v/>
      </c>
      <c r="I17" s="25">
        <f t="shared" ca="1" si="0"/>
        <v>0</v>
      </c>
      <c r="J17" s="25">
        <f t="shared" ca="1" si="1"/>
        <v>0</v>
      </c>
    </row>
    <row r="18" spans="1:10" s="18" customFormat="1" ht="18" customHeight="1">
      <c r="A18" s="9" t="str">
        <f ca="1">IF(ROWS($1:5)&gt;COUNT(Dong),"",OFFSET(TH!C$1,SMALL(Dong,ROWS($1:5)),))</f>
        <v/>
      </c>
      <c r="B18" s="9" t="str">
        <f ca="1">IF(ROWS($1:5)&gt;COUNT(Dong),"",OFFSET(TH!D$1,SMALL(Dong,ROWS($1:5)),))</f>
        <v/>
      </c>
      <c r="C18" s="9" t="str">
        <f ca="1">IF(ROWS($1:5)&gt;COUNT(Dong),"",OFFSET(TH!E$1,SMALL(Dong,ROWS($1:5)),))</f>
        <v/>
      </c>
      <c r="D18" s="379" t="str">
        <f ca="1">IF(ROWS($1:5)&gt;COUNT(Dong),"",OFFSET(TH!F$1,SMALL(Dong,ROWS($1:5)),))</f>
        <v/>
      </c>
      <c r="E18" s="79" t="str">
        <f ca="1">IF(ROWS($1:5)&gt;COUNT(Dong),"",IF(OFFSET(TH!N$1,SMALL(Dong,ROWS($1:5)),)="331",OFFSET(TH!O$1,SMALL(Dong,ROWS($1:5)),),OFFSET(TH!N$1,SMALL(Dong,ROWS($1:5)),)))</f>
        <v/>
      </c>
      <c r="F18" s="79"/>
      <c r="G18" s="99" t="str">
        <f ca="1">IF(ROWS($1:5)&gt;COUNT(Dong),"",IF(OFFSET(TH!N$1,SMALL(Dong,ROWS($1:5)),)="331",OFFSET(TH!M$1,SMALL(Dong,ROWS($1:5)),),0))</f>
        <v/>
      </c>
      <c r="H18" s="99" t="str">
        <f ca="1">IF(ROWS($1:5)&gt;COUNT(Dong),"",IF(OFFSET(TH!O$1,SMALL(Dong,ROWS($1:5)),)="331",OFFSET(TH!M$1,SMALL(Dong,ROWS($1:5)),),0))</f>
        <v/>
      </c>
      <c r="I18" s="25">
        <f t="shared" ca="1" si="0"/>
        <v>0</v>
      </c>
      <c r="J18" s="25">
        <f t="shared" ca="1" si="1"/>
        <v>0</v>
      </c>
    </row>
    <row r="19" spans="1:10" s="18" customFormat="1" ht="18" customHeight="1">
      <c r="A19" s="9" t="str">
        <f ca="1">IF(ROWS($1:6)&gt;COUNT(Dong),"",OFFSET(TH!C$1,SMALL(Dong,ROWS($1:6)),))</f>
        <v/>
      </c>
      <c r="B19" s="9" t="str">
        <f ca="1">IF(ROWS($1:6)&gt;COUNT(Dong),"",OFFSET(TH!D$1,SMALL(Dong,ROWS($1:6)),))</f>
        <v/>
      </c>
      <c r="C19" s="9" t="str">
        <f ca="1">IF(ROWS($1:6)&gt;COUNT(Dong),"",OFFSET(TH!E$1,SMALL(Dong,ROWS($1:6)),))</f>
        <v/>
      </c>
      <c r="D19" s="379" t="str">
        <f ca="1">IF(ROWS($1:6)&gt;COUNT(Dong),"",OFFSET(TH!F$1,SMALL(Dong,ROWS($1:6)),))</f>
        <v/>
      </c>
      <c r="E19" s="79" t="str">
        <f ca="1">IF(ROWS($1:6)&gt;COUNT(Dong),"",IF(OFFSET(TH!N$1,SMALL(Dong,ROWS($1:6)),)="331",OFFSET(TH!O$1,SMALL(Dong,ROWS($1:6)),),OFFSET(TH!N$1,SMALL(Dong,ROWS($1:6)),)))</f>
        <v/>
      </c>
      <c r="F19" s="79"/>
      <c r="G19" s="99" t="str">
        <f ca="1">IF(ROWS($1:6)&gt;COUNT(Dong),"",IF(OFFSET(TH!N$1,SMALL(Dong,ROWS($1:6)),)="331",OFFSET(TH!M$1,SMALL(Dong,ROWS($1:6)),),0))</f>
        <v/>
      </c>
      <c r="H19" s="99" t="str">
        <f ca="1">IF(ROWS($1:6)&gt;COUNT(Dong),"",IF(OFFSET(TH!O$1,SMALL(Dong,ROWS($1:6)),)="331",OFFSET(TH!M$1,SMALL(Dong,ROWS($1:6)),),0))</f>
        <v/>
      </c>
      <c r="I19" s="25">
        <f t="shared" ca="1" si="0"/>
        <v>0</v>
      </c>
      <c r="J19" s="25">
        <f t="shared" ca="1" si="1"/>
        <v>0</v>
      </c>
    </row>
    <row r="20" spans="1:10" s="18" customFormat="1" ht="18" customHeight="1">
      <c r="A20" s="9" t="str">
        <f ca="1">IF(ROWS($1:7)&gt;COUNT(Dong),"",OFFSET(TH!C$1,SMALL(Dong,ROWS($1:7)),))</f>
        <v/>
      </c>
      <c r="B20" s="9" t="str">
        <f ca="1">IF(ROWS($1:7)&gt;COUNT(Dong),"",OFFSET(TH!D$1,SMALL(Dong,ROWS($1:7)),))</f>
        <v/>
      </c>
      <c r="C20" s="9" t="str">
        <f ca="1">IF(ROWS($1:7)&gt;COUNT(Dong),"",OFFSET(TH!E$1,SMALL(Dong,ROWS($1:7)),))</f>
        <v/>
      </c>
      <c r="D20" s="379" t="str">
        <f ca="1">IF(ROWS($1:7)&gt;COUNT(Dong),"",OFFSET(TH!F$1,SMALL(Dong,ROWS($1:7)),))</f>
        <v/>
      </c>
      <c r="E20" s="79" t="str">
        <f ca="1">IF(ROWS($1:7)&gt;COUNT(Dong),"",IF(OFFSET(TH!N$1,SMALL(Dong,ROWS($1:7)),)="331",OFFSET(TH!O$1,SMALL(Dong,ROWS($1:7)),),OFFSET(TH!N$1,SMALL(Dong,ROWS($1:7)),)))</f>
        <v/>
      </c>
      <c r="F20" s="79"/>
      <c r="G20" s="99" t="str">
        <f ca="1">IF(ROWS($1:7)&gt;COUNT(Dong),"",IF(OFFSET(TH!N$1,SMALL(Dong,ROWS($1:7)),)="331",OFFSET(TH!M$1,SMALL(Dong,ROWS($1:7)),),0))</f>
        <v/>
      </c>
      <c r="H20" s="99" t="str">
        <f ca="1">IF(ROWS($1:7)&gt;COUNT(Dong),"",IF(OFFSET(TH!O$1,SMALL(Dong,ROWS($1:7)),)="331",OFFSET(TH!M$1,SMALL(Dong,ROWS($1:7)),),0))</f>
        <v/>
      </c>
      <c r="I20" s="25">
        <f t="shared" ca="1" si="0"/>
        <v>0</v>
      </c>
      <c r="J20" s="25">
        <f t="shared" ca="1" si="1"/>
        <v>0</v>
      </c>
    </row>
    <row r="21" spans="1:10" s="18" customFormat="1" ht="18" customHeight="1">
      <c r="A21" s="9" t="str">
        <f ca="1">IF(ROWS($1:8)&gt;COUNT(Dong),"",OFFSET(TH!C$1,SMALL(Dong,ROWS($1:8)),))</f>
        <v/>
      </c>
      <c r="B21" s="9" t="str">
        <f ca="1">IF(ROWS($1:8)&gt;COUNT(Dong),"",OFFSET(TH!D$1,SMALL(Dong,ROWS($1:8)),))</f>
        <v/>
      </c>
      <c r="C21" s="9" t="str">
        <f ca="1">IF(ROWS($1:8)&gt;COUNT(Dong),"",OFFSET(TH!E$1,SMALL(Dong,ROWS($1:8)),))</f>
        <v/>
      </c>
      <c r="D21" s="379" t="str">
        <f ca="1">IF(ROWS($1:8)&gt;COUNT(Dong),"",OFFSET(TH!F$1,SMALL(Dong,ROWS($1:8)),))</f>
        <v/>
      </c>
      <c r="E21" s="79" t="str">
        <f ca="1">IF(ROWS($1:8)&gt;COUNT(Dong),"",IF(OFFSET(TH!N$1,SMALL(Dong,ROWS($1:8)),)="331",OFFSET(TH!O$1,SMALL(Dong,ROWS($1:8)),),OFFSET(TH!N$1,SMALL(Dong,ROWS($1:8)),)))</f>
        <v/>
      </c>
      <c r="F21" s="79"/>
      <c r="G21" s="99" t="str">
        <f ca="1">IF(ROWS($1:8)&gt;COUNT(Dong),"",IF(OFFSET(TH!N$1,SMALL(Dong,ROWS($1:8)),)="331",OFFSET(TH!M$1,SMALL(Dong,ROWS($1:8)),),0))</f>
        <v/>
      </c>
      <c r="H21" s="99" t="str">
        <f ca="1">IF(ROWS($1:8)&gt;COUNT(Dong),"",IF(OFFSET(TH!O$1,SMALL(Dong,ROWS($1:8)),)="331",OFFSET(TH!M$1,SMALL(Dong,ROWS($1:8)),),0))</f>
        <v/>
      </c>
      <c r="I21" s="25">
        <f t="shared" ref="I21:I33" ca="1" si="2">IF(D21&lt;&gt;"",MAX(I20+G21-H21-J20,0),0)</f>
        <v>0</v>
      </c>
      <c r="J21" s="25">
        <f t="shared" ref="J21:J33" ca="1" si="3">IF(D21&lt;&gt;"",MAX(J20+H21-I20-G21,0),0)</f>
        <v>0</v>
      </c>
    </row>
    <row r="22" spans="1:10" s="18" customFormat="1" ht="18" customHeight="1">
      <c r="A22" s="9" t="str">
        <f ca="1">IF(ROWS($1:9)&gt;COUNT(Dong),"",OFFSET(TH!C$1,SMALL(Dong,ROWS($1:9)),))</f>
        <v/>
      </c>
      <c r="B22" s="9" t="str">
        <f ca="1">IF(ROWS($1:9)&gt;COUNT(Dong),"",OFFSET(TH!D$1,SMALL(Dong,ROWS($1:9)),))</f>
        <v/>
      </c>
      <c r="C22" s="9" t="str">
        <f ca="1">IF(ROWS($1:9)&gt;COUNT(Dong),"",OFFSET(TH!E$1,SMALL(Dong,ROWS($1:9)),))</f>
        <v/>
      </c>
      <c r="D22" s="379" t="str">
        <f ca="1">IF(ROWS($1:9)&gt;COUNT(Dong),"",OFFSET(TH!F$1,SMALL(Dong,ROWS($1:9)),))</f>
        <v/>
      </c>
      <c r="E22" s="79" t="str">
        <f ca="1">IF(ROWS($1:9)&gt;COUNT(Dong),"",IF(OFFSET(TH!N$1,SMALL(Dong,ROWS($1:9)),)="331",OFFSET(TH!O$1,SMALL(Dong,ROWS($1:9)),),OFFSET(TH!N$1,SMALL(Dong,ROWS($1:9)),)))</f>
        <v/>
      </c>
      <c r="F22" s="79"/>
      <c r="G22" s="99" t="str">
        <f ca="1">IF(ROWS($1:9)&gt;COUNT(Dong),"",IF(OFFSET(TH!N$1,SMALL(Dong,ROWS($1:9)),)="331",OFFSET(TH!M$1,SMALL(Dong,ROWS($1:9)),),0))</f>
        <v/>
      </c>
      <c r="H22" s="99" t="str">
        <f ca="1">IF(ROWS($1:9)&gt;COUNT(Dong),"",IF(OFFSET(TH!O$1,SMALL(Dong,ROWS($1:9)),)="331",OFFSET(TH!M$1,SMALL(Dong,ROWS($1:9)),),0))</f>
        <v/>
      </c>
      <c r="I22" s="25">
        <f t="shared" ca="1" si="2"/>
        <v>0</v>
      </c>
      <c r="J22" s="25">
        <f t="shared" ca="1" si="3"/>
        <v>0</v>
      </c>
    </row>
    <row r="23" spans="1:10" s="18" customFormat="1" ht="18" customHeight="1">
      <c r="A23" s="9" t="str">
        <f ca="1">IF(ROWS($1:10)&gt;COUNT(Dong),"",OFFSET(TH!C$1,SMALL(Dong,ROWS($1:10)),))</f>
        <v/>
      </c>
      <c r="B23" s="9" t="str">
        <f ca="1">IF(ROWS($1:10)&gt;COUNT(Dong),"",OFFSET(TH!D$1,SMALL(Dong,ROWS($1:10)),))</f>
        <v/>
      </c>
      <c r="C23" s="9" t="str">
        <f ca="1">IF(ROWS($1:10)&gt;COUNT(Dong),"",OFFSET(TH!E$1,SMALL(Dong,ROWS($1:10)),))</f>
        <v/>
      </c>
      <c r="D23" s="379" t="str">
        <f ca="1">IF(ROWS($1:10)&gt;COUNT(Dong),"",OFFSET(TH!F$1,SMALL(Dong,ROWS($1:10)),))</f>
        <v/>
      </c>
      <c r="E23" s="79" t="str">
        <f ca="1">IF(ROWS($1:10)&gt;COUNT(Dong),"",IF(OFFSET(TH!N$1,SMALL(Dong,ROWS($1:10)),)="331",OFFSET(TH!O$1,SMALL(Dong,ROWS($1:10)),),OFFSET(TH!N$1,SMALL(Dong,ROWS($1:10)),)))</f>
        <v/>
      </c>
      <c r="F23" s="79"/>
      <c r="G23" s="99" t="str">
        <f ca="1">IF(ROWS($1:10)&gt;COUNT(Dong),"",IF(OFFSET(TH!N$1,SMALL(Dong,ROWS($1:10)),)="331",OFFSET(TH!M$1,SMALL(Dong,ROWS($1:10)),),0))</f>
        <v/>
      </c>
      <c r="H23" s="99" t="str">
        <f ca="1">IF(ROWS($1:10)&gt;COUNT(Dong),"",IF(OFFSET(TH!O$1,SMALL(Dong,ROWS($1:10)),)="331",OFFSET(TH!M$1,SMALL(Dong,ROWS($1:10)),),0))</f>
        <v/>
      </c>
      <c r="I23" s="25">
        <f t="shared" ca="1" si="2"/>
        <v>0</v>
      </c>
      <c r="J23" s="25">
        <f t="shared" ca="1" si="3"/>
        <v>0</v>
      </c>
    </row>
    <row r="24" spans="1:10" s="18" customFormat="1" ht="18" customHeight="1">
      <c r="A24" s="9" t="str">
        <f ca="1">IF(ROWS($1:11)&gt;COUNT(Dong),"",OFFSET(TH!C$1,SMALL(Dong,ROWS($1:11)),))</f>
        <v/>
      </c>
      <c r="B24" s="9" t="str">
        <f ca="1">IF(ROWS($1:11)&gt;COUNT(Dong),"",OFFSET(TH!D$1,SMALL(Dong,ROWS($1:11)),))</f>
        <v/>
      </c>
      <c r="C24" s="9" t="str">
        <f ca="1">IF(ROWS($1:11)&gt;COUNT(Dong),"",OFFSET(TH!E$1,SMALL(Dong,ROWS($1:11)),))</f>
        <v/>
      </c>
      <c r="D24" s="379" t="str">
        <f ca="1">IF(ROWS($1:11)&gt;COUNT(Dong),"",OFFSET(TH!F$1,SMALL(Dong,ROWS($1:11)),))</f>
        <v/>
      </c>
      <c r="E24" s="79" t="str">
        <f ca="1">IF(ROWS($1:11)&gt;COUNT(Dong),"",IF(OFFSET(TH!N$1,SMALL(Dong,ROWS($1:11)),)="331",OFFSET(TH!O$1,SMALL(Dong,ROWS($1:11)),),OFFSET(TH!N$1,SMALL(Dong,ROWS($1:11)),)))</f>
        <v/>
      </c>
      <c r="F24" s="79"/>
      <c r="G24" s="99" t="str">
        <f ca="1">IF(ROWS($1:11)&gt;COUNT(Dong),"",IF(OFFSET(TH!N$1,SMALL(Dong,ROWS($1:11)),)="331",OFFSET(TH!M$1,SMALL(Dong,ROWS($1:11)),),0))</f>
        <v/>
      </c>
      <c r="H24" s="99" t="str">
        <f ca="1">IF(ROWS($1:11)&gt;COUNT(Dong),"",IF(OFFSET(TH!O$1,SMALL(Dong,ROWS($1:11)),)="331",OFFSET(TH!M$1,SMALL(Dong,ROWS($1:11)),),0))</f>
        <v/>
      </c>
      <c r="I24" s="25">
        <f t="shared" ca="1" si="2"/>
        <v>0</v>
      </c>
      <c r="J24" s="25">
        <f t="shared" ca="1" si="3"/>
        <v>0</v>
      </c>
    </row>
    <row r="25" spans="1:10" s="18" customFormat="1" ht="18" customHeight="1">
      <c r="A25" s="9" t="str">
        <f ca="1">IF(ROWS($1:12)&gt;COUNT(Dong),"",OFFSET(TH!C$1,SMALL(Dong,ROWS($1:12)),))</f>
        <v/>
      </c>
      <c r="B25" s="9" t="str">
        <f ca="1">IF(ROWS($1:12)&gt;COUNT(Dong),"",OFFSET(TH!D$1,SMALL(Dong,ROWS($1:12)),))</f>
        <v/>
      </c>
      <c r="C25" s="9" t="str">
        <f ca="1">IF(ROWS($1:12)&gt;COUNT(Dong),"",OFFSET(TH!E$1,SMALL(Dong,ROWS($1:12)),))</f>
        <v/>
      </c>
      <c r="D25" s="379" t="str">
        <f ca="1">IF(ROWS($1:12)&gt;COUNT(Dong),"",OFFSET(TH!F$1,SMALL(Dong,ROWS($1:12)),))</f>
        <v/>
      </c>
      <c r="E25" s="79" t="str">
        <f ca="1">IF(ROWS($1:12)&gt;COUNT(Dong),"",IF(OFFSET(TH!N$1,SMALL(Dong,ROWS($1:12)),)="331",OFFSET(TH!O$1,SMALL(Dong,ROWS($1:12)),),OFFSET(TH!N$1,SMALL(Dong,ROWS($1:12)),)))</f>
        <v/>
      </c>
      <c r="F25" s="79"/>
      <c r="G25" s="99" t="str">
        <f ca="1">IF(ROWS($1:12)&gt;COUNT(Dong),"",IF(OFFSET(TH!N$1,SMALL(Dong,ROWS($1:12)),)="331",OFFSET(TH!M$1,SMALL(Dong,ROWS($1:12)),),0))</f>
        <v/>
      </c>
      <c r="H25" s="99" t="str">
        <f ca="1">IF(ROWS($1:12)&gt;COUNT(Dong),"",IF(OFFSET(TH!O$1,SMALL(Dong,ROWS($1:12)),)="331",OFFSET(TH!M$1,SMALL(Dong,ROWS($1:12)),),0))</f>
        <v/>
      </c>
      <c r="I25" s="25">
        <f t="shared" ca="1" si="2"/>
        <v>0</v>
      </c>
      <c r="J25" s="25">
        <f t="shared" ca="1" si="3"/>
        <v>0</v>
      </c>
    </row>
    <row r="26" spans="1:10" s="18" customFormat="1" ht="18" customHeight="1">
      <c r="A26" s="9" t="str">
        <f ca="1">IF(ROWS($1:13)&gt;COUNT(Dong),"",OFFSET(TH!C$1,SMALL(Dong,ROWS($1:13)),))</f>
        <v/>
      </c>
      <c r="B26" s="9" t="str">
        <f ca="1">IF(ROWS($1:13)&gt;COUNT(Dong),"",OFFSET(TH!D$1,SMALL(Dong,ROWS($1:13)),))</f>
        <v/>
      </c>
      <c r="C26" s="9" t="str">
        <f ca="1">IF(ROWS($1:13)&gt;COUNT(Dong),"",OFFSET(TH!E$1,SMALL(Dong,ROWS($1:13)),))</f>
        <v/>
      </c>
      <c r="D26" s="379" t="str">
        <f ca="1">IF(ROWS($1:13)&gt;COUNT(Dong),"",OFFSET(TH!F$1,SMALL(Dong,ROWS($1:13)),))</f>
        <v/>
      </c>
      <c r="E26" s="79" t="str">
        <f ca="1">IF(ROWS($1:13)&gt;COUNT(Dong),"",IF(OFFSET(TH!N$1,SMALL(Dong,ROWS($1:13)),)="331",OFFSET(TH!O$1,SMALL(Dong,ROWS($1:13)),),OFFSET(TH!N$1,SMALL(Dong,ROWS($1:13)),)))</f>
        <v/>
      </c>
      <c r="F26" s="79"/>
      <c r="G26" s="99" t="str">
        <f ca="1">IF(ROWS($1:13)&gt;COUNT(Dong),"",IF(OFFSET(TH!N$1,SMALL(Dong,ROWS($1:13)),)="331",OFFSET(TH!M$1,SMALL(Dong,ROWS($1:13)),),0))</f>
        <v/>
      </c>
      <c r="H26" s="99" t="str">
        <f ca="1">IF(ROWS($1:13)&gt;COUNT(Dong),"",IF(OFFSET(TH!O$1,SMALL(Dong,ROWS($1:13)),)="331",OFFSET(TH!M$1,SMALL(Dong,ROWS($1:13)),),0))</f>
        <v/>
      </c>
      <c r="I26" s="25">
        <f t="shared" ca="1" si="2"/>
        <v>0</v>
      </c>
      <c r="J26" s="25">
        <f t="shared" ca="1" si="3"/>
        <v>0</v>
      </c>
    </row>
    <row r="27" spans="1:10" s="18" customFormat="1" ht="18" customHeight="1">
      <c r="A27" s="9" t="str">
        <f ca="1">IF(ROWS($1:14)&gt;COUNT(Dong),"",OFFSET(TH!C$1,SMALL(Dong,ROWS($1:14)),))</f>
        <v/>
      </c>
      <c r="B27" s="9" t="str">
        <f ca="1">IF(ROWS($1:14)&gt;COUNT(Dong),"",OFFSET(TH!D$1,SMALL(Dong,ROWS($1:14)),))</f>
        <v/>
      </c>
      <c r="C27" s="9" t="str">
        <f ca="1">IF(ROWS($1:14)&gt;COUNT(Dong),"",OFFSET(TH!E$1,SMALL(Dong,ROWS($1:14)),))</f>
        <v/>
      </c>
      <c r="D27" s="379" t="str">
        <f ca="1">IF(ROWS($1:14)&gt;COUNT(Dong),"",OFFSET(TH!F$1,SMALL(Dong,ROWS($1:14)),))</f>
        <v/>
      </c>
      <c r="E27" s="79" t="str">
        <f ca="1">IF(ROWS($1:14)&gt;COUNT(Dong),"",IF(OFFSET(TH!N$1,SMALL(Dong,ROWS($1:14)),)="331",OFFSET(TH!O$1,SMALL(Dong,ROWS($1:14)),),OFFSET(TH!N$1,SMALL(Dong,ROWS($1:14)),)))</f>
        <v/>
      </c>
      <c r="F27" s="79"/>
      <c r="G27" s="99" t="str">
        <f ca="1">IF(ROWS($1:14)&gt;COUNT(Dong),"",IF(OFFSET(TH!N$1,SMALL(Dong,ROWS($1:14)),)="331",OFFSET(TH!M$1,SMALL(Dong,ROWS($1:14)),),0))</f>
        <v/>
      </c>
      <c r="H27" s="99" t="str">
        <f ca="1">IF(ROWS($1:14)&gt;COUNT(Dong),"",IF(OFFSET(TH!O$1,SMALL(Dong,ROWS($1:14)),)="331",OFFSET(TH!M$1,SMALL(Dong,ROWS($1:14)),),0))</f>
        <v/>
      </c>
      <c r="I27" s="25">
        <f t="shared" ca="1" si="2"/>
        <v>0</v>
      </c>
      <c r="J27" s="25">
        <f t="shared" ca="1" si="3"/>
        <v>0</v>
      </c>
    </row>
    <row r="28" spans="1:10" s="18" customFormat="1" ht="18" customHeight="1">
      <c r="A28" s="9" t="str">
        <f ca="1">IF(ROWS($1:15)&gt;COUNT(Dong),"",OFFSET(TH!C$1,SMALL(Dong,ROWS($1:15)),))</f>
        <v/>
      </c>
      <c r="B28" s="9" t="str">
        <f ca="1">IF(ROWS($1:15)&gt;COUNT(Dong),"",OFFSET(TH!D$1,SMALL(Dong,ROWS($1:15)),))</f>
        <v/>
      </c>
      <c r="C28" s="9" t="str">
        <f ca="1">IF(ROWS($1:15)&gt;COUNT(Dong),"",OFFSET(TH!E$1,SMALL(Dong,ROWS($1:15)),))</f>
        <v/>
      </c>
      <c r="D28" s="379" t="str">
        <f ca="1">IF(ROWS($1:15)&gt;COUNT(Dong),"",OFFSET(TH!F$1,SMALL(Dong,ROWS($1:15)),))</f>
        <v/>
      </c>
      <c r="E28" s="79" t="str">
        <f ca="1">IF(ROWS($1:15)&gt;COUNT(Dong),"",IF(OFFSET(TH!N$1,SMALL(Dong,ROWS($1:15)),)="331",OFFSET(TH!O$1,SMALL(Dong,ROWS($1:15)),),OFFSET(TH!N$1,SMALL(Dong,ROWS($1:15)),)))</f>
        <v/>
      </c>
      <c r="F28" s="79"/>
      <c r="G28" s="99" t="str">
        <f ca="1">IF(ROWS($1:15)&gt;COUNT(Dong),"",IF(OFFSET(TH!N$1,SMALL(Dong,ROWS($1:15)),)="331",OFFSET(TH!M$1,SMALL(Dong,ROWS($1:15)),),0))</f>
        <v/>
      </c>
      <c r="H28" s="99" t="str">
        <f ca="1">IF(ROWS($1:15)&gt;COUNT(Dong),"",IF(OFFSET(TH!O$1,SMALL(Dong,ROWS($1:15)),)="331",OFFSET(TH!M$1,SMALL(Dong,ROWS($1:15)),),0))</f>
        <v/>
      </c>
      <c r="I28" s="25">
        <f t="shared" ca="1" si="2"/>
        <v>0</v>
      </c>
      <c r="J28" s="25">
        <f t="shared" ca="1" si="3"/>
        <v>0</v>
      </c>
    </row>
    <row r="29" spans="1:10" s="18" customFormat="1" ht="18" customHeight="1">
      <c r="A29" s="9" t="str">
        <f ca="1">IF(ROWS($1:16)&gt;COUNT(Dong),"",OFFSET(TH!C$1,SMALL(Dong,ROWS($1:16)),))</f>
        <v/>
      </c>
      <c r="B29" s="9" t="str">
        <f ca="1">IF(ROWS($1:16)&gt;COUNT(Dong),"",OFFSET(TH!D$1,SMALL(Dong,ROWS($1:16)),))</f>
        <v/>
      </c>
      <c r="C29" s="9" t="str">
        <f ca="1">IF(ROWS($1:16)&gt;COUNT(Dong),"",OFFSET(TH!E$1,SMALL(Dong,ROWS($1:16)),))</f>
        <v/>
      </c>
      <c r="D29" s="379" t="str">
        <f ca="1">IF(ROWS($1:16)&gt;COUNT(Dong),"",OFFSET(TH!F$1,SMALL(Dong,ROWS($1:16)),))</f>
        <v/>
      </c>
      <c r="E29" s="79" t="str">
        <f ca="1">IF(ROWS($1:16)&gt;COUNT(Dong),"",IF(OFFSET(TH!N$1,SMALL(Dong,ROWS($1:16)),)="331",OFFSET(TH!O$1,SMALL(Dong,ROWS($1:16)),),OFFSET(TH!N$1,SMALL(Dong,ROWS($1:16)),)))</f>
        <v/>
      </c>
      <c r="F29" s="79"/>
      <c r="G29" s="99" t="str">
        <f ca="1">IF(ROWS($1:16)&gt;COUNT(Dong),"",IF(OFFSET(TH!N$1,SMALL(Dong,ROWS($1:16)),)="331",OFFSET(TH!M$1,SMALL(Dong,ROWS($1:16)),),0))</f>
        <v/>
      </c>
      <c r="H29" s="99" t="str">
        <f ca="1">IF(ROWS($1:16)&gt;COUNT(Dong),"",IF(OFFSET(TH!O$1,SMALL(Dong,ROWS($1:16)),)="331",OFFSET(TH!M$1,SMALL(Dong,ROWS($1:16)),),0))</f>
        <v/>
      </c>
      <c r="I29" s="25">
        <f t="shared" ca="1" si="2"/>
        <v>0</v>
      </c>
      <c r="J29" s="25">
        <f t="shared" ca="1" si="3"/>
        <v>0</v>
      </c>
    </row>
    <row r="30" spans="1:10" s="18" customFormat="1" ht="18" customHeight="1">
      <c r="A30" s="9" t="str">
        <f ca="1">IF(ROWS($1:17)&gt;COUNT(Dong),"",OFFSET(TH!C$1,SMALL(Dong,ROWS($1:17)),))</f>
        <v/>
      </c>
      <c r="B30" s="9" t="str">
        <f ca="1">IF(ROWS($1:17)&gt;COUNT(Dong),"",OFFSET(TH!D$1,SMALL(Dong,ROWS($1:17)),))</f>
        <v/>
      </c>
      <c r="C30" s="9" t="str">
        <f ca="1">IF(ROWS($1:17)&gt;COUNT(Dong),"",OFFSET(TH!E$1,SMALL(Dong,ROWS($1:17)),))</f>
        <v/>
      </c>
      <c r="D30" s="379" t="str">
        <f ca="1">IF(ROWS($1:17)&gt;COUNT(Dong),"",OFFSET(TH!F$1,SMALL(Dong,ROWS($1:17)),))</f>
        <v/>
      </c>
      <c r="E30" s="79" t="str">
        <f ca="1">IF(ROWS($1:17)&gt;COUNT(Dong),"",IF(OFFSET(TH!N$1,SMALL(Dong,ROWS($1:17)),)="331",OFFSET(TH!O$1,SMALL(Dong,ROWS($1:17)),),OFFSET(TH!N$1,SMALL(Dong,ROWS($1:17)),)))</f>
        <v/>
      </c>
      <c r="F30" s="79"/>
      <c r="G30" s="99" t="str">
        <f ca="1">IF(ROWS($1:17)&gt;COUNT(Dong),"",IF(OFFSET(TH!N$1,SMALL(Dong,ROWS($1:17)),)="331",OFFSET(TH!M$1,SMALL(Dong,ROWS($1:17)),),0))</f>
        <v/>
      </c>
      <c r="H30" s="99" t="str">
        <f ca="1">IF(ROWS($1:17)&gt;COUNT(Dong),"",IF(OFFSET(TH!O$1,SMALL(Dong,ROWS($1:17)),)="331",OFFSET(TH!M$1,SMALL(Dong,ROWS($1:17)),),0))</f>
        <v/>
      </c>
      <c r="I30" s="25">
        <f t="shared" ca="1" si="2"/>
        <v>0</v>
      </c>
      <c r="J30" s="25">
        <f t="shared" ca="1" si="3"/>
        <v>0</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379" t="str">
        <f ca="1">IF(ROWS($1:18)&gt;COUNT(Dong),"",OFFSET(TH!F$1,SMALL(Dong,ROWS($1:18)),))</f>
        <v/>
      </c>
      <c r="E31" s="79" t="str">
        <f ca="1">IF(ROWS($1:18)&gt;COUNT(Dong),"",IF(OFFSET(TH!N$1,SMALL(Dong,ROWS($1:18)),)="331",OFFSET(TH!O$1,SMALL(Dong,ROWS($1:18)),),OFFSET(TH!N$1,SMALL(Dong,ROWS($1:18)),)))</f>
        <v/>
      </c>
      <c r="F31" s="79"/>
      <c r="G31" s="99" t="str">
        <f ca="1">IF(ROWS($1:18)&gt;COUNT(Dong),"",IF(OFFSET(TH!N$1,SMALL(Dong,ROWS($1:18)),)="331",OFFSET(TH!M$1,SMALL(Dong,ROWS($1:18)),),0))</f>
        <v/>
      </c>
      <c r="H31" s="99"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379" t="str">
        <f ca="1">IF(ROWS($1:19)&gt;COUNT(Dong),"",OFFSET(TH!F$1,SMALL(Dong,ROWS($1:19)),))</f>
        <v/>
      </c>
      <c r="E32" s="79" t="str">
        <f ca="1">IF(ROWS($1:19)&gt;COUNT(Dong),"",IF(OFFSET(TH!N$1,SMALL(Dong,ROWS($1:19)),)="331",OFFSET(TH!O$1,SMALL(Dong,ROWS($1:19)),),OFFSET(TH!N$1,SMALL(Dong,ROWS($1:19)),)))</f>
        <v/>
      </c>
      <c r="F32" s="79"/>
      <c r="G32" s="99" t="str">
        <f ca="1">IF(ROWS($1:19)&gt;COUNT(Dong),"",IF(OFFSET(TH!N$1,SMALL(Dong,ROWS($1:19)),)="331",OFFSET(TH!M$1,SMALL(Dong,ROWS($1:19)),),0))</f>
        <v/>
      </c>
      <c r="H32" s="99"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379" t="str">
        <f ca="1">IF(ROWS($1:20)&gt;COUNT(Dong),"",OFFSET(TH!F$1,SMALL(Dong,ROWS($1:20)),))</f>
        <v/>
      </c>
      <c r="E33" s="79" t="str">
        <f ca="1">IF(ROWS($1:20)&gt;COUNT(Dong),"",IF(OFFSET(TH!N$1,SMALL(Dong,ROWS($1:20)),)="331",OFFSET(TH!O$1,SMALL(Dong,ROWS($1:20)),),OFFSET(TH!N$1,SMALL(Dong,ROWS($1:20)),)))</f>
        <v/>
      </c>
      <c r="F33" s="79"/>
      <c r="G33" s="99" t="str">
        <f ca="1">IF(ROWS($1:20)&gt;COUNT(Dong),"",IF(OFFSET(TH!N$1,SMALL(Dong,ROWS($1:20)),)="331",OFFSET(TH!M$1,SMALL(Dong,ROWS($1:20)),),0))</f>
        <v/>
      </c>
      <c r="H33" s="99"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9" t="str">
        <f ca="1">IF(ROWS($1:21)&gt;COUNT(Dong),"",IF(OFFSET(TH!N$1,SMALL(Dong,ROWS($1:21)),)="331",OFFSET(TH!M$1,SMALL(Dong,ROWS($1:21)),),0))</f>
        <v/>
      </c>
      <c r="H34" s="99" t="str">
        <f ca="1">IF(ROWS($1:21)&gt;COUNT(Dong),"",IF(OFFSET(TH!O$1,SMALL(Dong,ROWS($1:21)),)="331",OFFSET(TH!M$1,SMALL(Dong,ROWS($1:21)),),0))</f>
        <v/>
      </c>
      <c r="I34" s="25">
        <f t="shared" ref="I34:I38" ca="1" si="4">IF(D34&lt;&gt;"",MAX(I33+G34-H34-J33,0),0)</f>
        <v>0</v>
      </c>
      <c r="J34" s="25">
        <f t="shared" ref="J34:J38" ca="1" si="5">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9" t="str">
        <f ca="1">IF(ROWS($1:22)&gt;COUNT(Dong),"",IF(OFFSET(TH!N$1,SMALL(Dong,ROWS($1:22)),)="331",OFFSET(TH!M$1,SMALL(Dong,ROWS($1:22)),),0))</f>
        <v/>
      </c>
      <c r="H35" s="99" t="str">
        <f ca="1">IF(ROWS($1:22)&gt;COUNT(Dong),"",IF(OFFSET(TH!O$1,SMALL(Dong,ROWS($1:22)),)="331",OFFSET(TH!M$1,SMALL(Dong,ROWS($1:22)),),0))</f>
        <v/>
      </c>
      <c r="I35" s="25">
        <f t="shared" ca="1" si="4"/>
        <v>0</v>
      </c>
      <c r="J35" s="25">
        <f t="shared" ca="1" si="5"/>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9" t="str">
        <f ca="1">IF(ROWS($1:23)&gt;COUNT(Dong),"",IF(OFFSET(TH!N$1,SMALL(Dong,ROWS($1:23)),)="331",OFFSET(TH!M$1,SMALL(Dong,ROWS($1:23)),),0))</f>
        <v/>
      </c>
      <c r="H36" s="99" t="str">
        <f ca="1">IF(ROWS($1:23)&gt;COUNT(Dong),"",IF(OFFSET(TH!O$1,SMALL(Dong,ROWS($1:23)),)="331",OFFSET(TH!M$1,SMALL(Dong,ROWS($1:23)),),0))</f>
        <v/>
      </c>
      <c r="I36" s="25">
        <f t="shared" ca="1" si="4"/>
        <v>0</v>
      </c>
      <c r="J36" s="25">
        <f t="shared" ca="1" si="5"/>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t="shared" ca="1" si="4"/>
        <v>0</v>
      </c>
      <c r="J37" s="25">
        <f t="shared" ca="1" si="5"/>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t="shared" ca="1" si="4"/>
        <v>0</v>
      </c>
      <c r="J38" s="25">
        <f t="shared" ca="1" si="5"/>
        <v>0</v>
      </c>
    </row>
    <row r="39" spans="1:11" s="18" customFormat="1" ht="18" customHeight="1">
      <c r="A39" s="373"/>
      <c r="B39" s="373"/>
      <c r="C39" s="373"/>
      <c r="D39" s="374"/>
      <c r="E39" s="375"/>
      <c r="F39" s="375"/>
      <c r="G39" s="376"/>
      <c r="H39" s="376"/>
      <c r="I39" s="377"/>
      <c r="J39" s="377"/>
    </row>
    <row r="40" spans="1:11" s="18" customFormat="1" ht="18" customHeight="1">
      <c r="A40" s="24"/>
      <c r="B40" s="21"/>
      <c r="C40" s="26"/>
      <c r="D40" s="23" t="s">
        <v>35</v>
      </c>
      <c r="E40" s="21" t="s">
        <v>21</v>
      </c>
      <c r="F40" s="21" t="s">
        <v>21</v>
      </c>
      <c r="G40" s="27">
        <f ca="1">SUM(G14:G30)</f>
        <v>5610000</v>
      </c>
      <c r="H40" s="27">
        <f ca="1">SUM(H14:H30)</f>
        <v>5610000</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0</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224" t="s">
        <v>176</v>
      </c>
      <c r="F45" s="1224"/>
      <c r="G45" s="1224"/>
      <c r="H45" s="1224"/>
      <c r="I45" s="1224"/>
      <c r="J45" s="1224"/>
    </row>
    <row r="46" spans="1:11" s="18" customFormat="1" ht="14.25" customHeight="1">
      <c r="C46" s="363" t="s">
        <v>11</v>
      </c>
      <c r="E46" s="1224" t="s">
        <v>12</v>
      </c>
      <c r="F46" s="1224"/>
      <c r="G46" s="1224"/>
      <c r="H46" s="1224"/>
      <c r="I46" s="1224"/>
      <c r="J46" s="1224"/>
    </row>
    <row r="47" spans="1:11" s="18" customFormat="1" ht="14.25" customHeight="1">
      <c r="C47" s="363" t="s">
        <v>13</v>
      </c>
      <c r="E47" s="1224" t="s">
        <v>13</v>
      </c>
      <c r="F47" s="1224"/>
      <c r="G47" s="1224"/>
      <c r="H47" s="1224"/>
      <c r="I47" s="1224"/>
      <c r="J47" s="1224"/>
    </row>
    <row r="48" spans="1:11" s="29" customFormat="1"/>
    <row r="54" spans="3:3" ht="15">
      <c r="C54" s="378"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8"/>
  <sheetViews>
    <sheetView showZeros="0" workbookViewId="0">
      <pane ySplit="4" topLeftCell="A5" activePane="bottomLeft" state="frozen"/>
      <selection activeCell="G34" sqref="G34"/>
      <selection pane="bottomLeft" activeCell="G17" sqref="G17"/>
    </sheetView>
  </sheetViews>
  <sheetFormatPr defaultColWidth="8" defaultRowHeight="13.5"/>
  <cols>
    <col min="1" max="1" width="4.28515625" style="232" customWidth="1"/>
    <col min="2" max="2" width="21.85546875" style="232" customWidth="1"/>
    <col min="3" max="3" width="8.7109375" style="232" customWidth="1"/>
    <col min="4" max="4" width="8.7109375" style="232" hidden="1" customWidth="1"/>
    <col min="5" max="5" width="8.140625" style="232" customWidth="1"/>
    <col min="6" max="6" width="11" style="232" customWidth="1"/>
    <col min="7" max="7" width="8.140625" style="232" customWidth="1"/>
    <col min="8" max="8" width="13.7109375" style="232" customWidth="1"/>
    <col min="9" max="9" width="7.85546875" style="232" customWidth="1"/>
    <col min="10" max="10" width="12.42578125" style="232" customWidth="1"/>
    <col min="11" max="11" width="8.140625" style="232" customWidth="1"/>
    <col min="12" max="12" width="13.7109375" style="232" customWidth="1"/>
    <col min="13" max="13" width="8.140625" style="232" customWidth="1"/>
    <col min="14" max="14" width="10.140625" style="232" customWidth="1"/>
    <col min="15" max="15" width="10.85546875" style="232" customWidth="1"/>
    <col min="16" max="16" width="14" style="232" customWidth="1"/>
    <col min="17" max="16384" width="8" style="232"/>
  </cols>
  <sheetData>
    <row r="1" spans="1:16" ht="21.75" customHeight="1">
      <c r="A1" s="1257" t="s">
        <v>177</v>
      </c>
      <c r="B1" s="1257"/>
      <c r="C1" s="1257"/>
      <c r="D1" s="1257"/>
      <c r="E1" s="1257"/>
      <c r="F1" s="1257"/>
      <c r="G1" s="1257"/>
      <c r="H1" s="1257"/>
      <c r="I1" s="1257"/>
      <c r="J1" s="1257"/>
      <c r="K1" s="1257"/>
      <c r="L1" s="1257"/>
      <c r="M1" s="1257"/>
      <c r="N1" s="1257"/>
      <c r="O1" s="1257"/>
      <c r="P1" s="1257"/>
    </row>
    <row r="2" spans="1:16" s="10" customFormat="1" ht="15.75" customHeight="1">
      <c r="A2" s="1279" t="s">
        <v>37</v>
      </c>
      <c r="B2" s="1281" t="s">
        <v>178</v>
      </c>
      <c r="C2" s="1281" t="s">
        <v>179</v>
      </c>
      <c r="D2" s="1281" t="s">
        <v>181</v>
      </c>
      <c r="E2" s="1256" t="s">
        <v>39</v>
      </c>
      <c r="F2" s="1256"/>
      <c r="G2" s="1256"/>
      <c r="H2" s="1256"/>
      <c r="I2" s="1256" t="s">
        <v>40</v>
      </c>
      <c r="J2" s="1256"/>
      <c r="K2" s="1256"/>
      <c r="L2" s="1256"/>
      <c r="M2" s="1277" t="s">
        <v>44</v>
      </c>
      <c r="N2" s="1291"/>
      <c r="O2" s="1291"/>
      <c r="P2" s="1278"/>
    </row>
    <row r="3" spans="1:16" s="10" customFormat="1" ht="15.75" customHeight="1">
      <c r="A3" s="1280"/>
      <c r="B3" s="1282"/>
      <c r="C3" s="1282"/>
      <c r="D3" s="1282"/>
      <c r="E3" s="1256" t="s">
        <v>45</v>
      </c>
      <c r="F3" s="1256"/>
      <c r="G3" s="1256" t="s">
        <v>46</v>
      </c>
      <c r="H3" s="1256"/>
      <c r="I3" s="1256" t="s">
        <v>45</v>
      </c>
      <c r="J3" s="1256"/>
      <c r="K3" s="1256" t="s">
        <v>46</v>
      </c>
      <c r="L3" s="1256"/>
      <c r="M3" s="1256" t="s">
        <v>45</v>
      </c>
      <c r="N3" s="1256"/>
      <c r="O3" s="1256" t="s">
        <v>46</v>
      </c>
      <c r="P3" s="1256"/>
    </row>
    <row r="4" spans="1:16" s="10" customFormat="1" ht="15.75" customHeight="1">
      <c r="A4" s="1280"/>
      <c r="B4" s="1282"/>
      <c r="C4" s="1282"/>
      <c r="D4" s="1282"/>
      <c r="E4" s="337" t="s">
        <v>228</v>
      </c>
      <c r="F4" s="337" t="s">
        <v>229</v>
      </c>
      <c r="G4" s="337" t="s">
        <v>228</v>
      </c>
      <c r="H4" s="337" t="s">
        <v>229</v>
      </c>
      <c r="I4" s="337" t="s">
        <v>228</v>
      </c>
      <c r="J4" s="337" t="s">
        <v>229</v>
      </c>
      <c r="K4" s="337" t="s">
        <v>228</v>
      </c>
      <c r="L4" s="337" t="s">
        <v>229</v>
      </c>
      <c r="M4" s="337" t="s">
        <v>228</v>
      </c>
      <c r="N4" s="337" t="s">
        <v>229</v>
      </c>
      <c r="O4" s="337" t="s">
        <v>228</v>
      </c>
      <c r="P4" s="337" t="s">
        <v>229</v>
      </c>
    </row>
    <row r="5" spans="1:16" s="10" customFormat="1" ht="18" customHeight="1">
      <c r="A5" s="902">
        <f>IF(B5&lt;&gt;"",ROW()-4,"")</f>
        <v>1</v>
      </c>
      <c r="B5" s="7" t="s">
        <v>729</v>
      </c>
      <c r="C5" s="233">
        <v>40200</v>
      </c>
      <c r="D5" s="233">
        <v>0</v>
      </c>
      <c r="E5" s="338">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36">
        <f>ROUND(MAX(E5+I5-G5-K5,0),2)</f>
        <v>0</v>
      </c>
      <c r="N5" s="236">
        <f t="shared" ref="N5:N18" si="0">ROUND(MAX(F5+J5-H5-L5,0),2)</f>
        <v>0</v>
      </c>
      <c r="O5" s="236">
        <f t="shared" ref="O5:P19" si="1">ROUND(MAX(G5+K5-E5-I5,0),2)</f>
        <v>13915</v>
      </c>
      <c r="P5" s="236">
        <f t="shared" si="1"/>
        <v>312878775</v>
      </c>
    </row>
    <row r="6" spans="1:16" s="10" customFormat="1" ht="18" customHeight="1">
      <c r="A6" s="902">
        <f t="shared" ref="A6:A33" si="2">IF(B6&lt;&gt;"",ROW()-4,"")</f>
        <v>2</v>
      </c>
      <c r="B6" s="7" t="s">
        <v>721</v>
      </c>
      <c r="C6" s="233">
        <v>40964</v>
      </c>
      <c r="D6" s="233">
        <v>0</v>
      </c>
      <c r="E6" s="233">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36">
        <f t="shared" ref="M6:M19" si="3">ROUND(MAX(E6+I6-G6-K6,0),2)</f>
        <v>0</v>
      </c>
      <c r="N6" s="236">
        <f t="shared" si="0"/>
        <v>0</v>
      </c>
      <c r="O6" s="236">
        <f t="shared" si="1"/>
        <v>33319.39</v>
      </c>
      <c r="P6" s="236">
        <f t="shared" si="1"/>
        <v>749186484</v>
      </c>
    </row>
    <row r="7" spans="1:16" s="10" customFormat="1" ht="18" customHeight="1">
      <c r="A7" s="902">
        <f t="shared" si="2"/>
        <v>3</v>
      </c>
      <c r="B7" s="7" t="s">
        <v>722</v>
      </c>
      <c r="C7" s="233">
        <v>40964</v>
      </c>
      <c r="D7" s="233">
        <v>0</v>
      </c>
      <c r="E7" s="233">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36">
        <f t="shared" si="3"/>
        <v>0</v>
      </c>
      <c r="N7" s="236">
        <f t="shared" si="0"/>
        <v>0</v>
      </c>
      <c r="O7" s="236">
        <f t="shared" si="1"/>
        <v>20515.96</v>
      </c>
      <c r="P7" s="236">
        <f t="shared" si="1"/>
        <v>461301361</v>
      </c>
    </row>
    <row r="8" spans="1:16" s="10" customFormat="1" ht="18" customHeight="1">
      <c r="A8" s="902">
        <f t="shared" si="2"/>
        <v>4</v>
      </c>
      <c r="B8" s="7" t="s">
        <v>730</v>
      </c>
      <c r="C8" s="233">
        <v>40964</v>
      </c>
      <c r="D8" s="233">
        <v>0</v>
      </c>
      <c r="E8" s="233">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36">
        <f t="shared" si="3"/>
        <v>0</v>
      </c>
      <c r="N8" s="236">
        <f t="shared" si="0"/>
        <v>0</v>
      </c>
      <c r="O8" s="236">
        <f t="shared" si="1"/>
        <v>28719.38</v>
      </c>
      <c r="P8" s="236">
        <f t="shared" si="1"/>
        <v>645755259</v>
      </c>
    </row>
    <row r="9" spans="1:16" s="10" customFormat="1" ht="18" customHeight="1">
      <c r="A9" s="902">
        <f t="shared" si="2"/>
        <v>5</v>
      </c>
      <c r="B9" s="7" t="s">
        <v>725</v>
      </c>
      <c r="C9" s="233">
        <v>42205</v>
      </c>
      <c r="D9" s="233">
        <v>0</v>
      </c>
      <c r="E9" s="233">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36">
        <f t="shared" si="3"/>
        <v>0</v>
      </c>
      <c r="N9" s="236">
        <f t="shared" si="0"/>
        <v>0</v>
      </c>
      <c r="O9" s="236">
        <f t="shared" si="1"/>
        <v>0</v>
      </c>
      <c r="P9" s="236">
        <f t="shared" si="1"/>
        <v>0</v>
      </c>
    </row>
    <row r="10" spans="1:16" s="10" customFormat="1" ht="18" customHeight="1">
      <c r="A10" s="902">
        <f t="shared" si="2"/>
        <v>6</v>
      </c>
      <c r="B10" s="7" t="s">
        <v>731</v>
      </c>
      <c r="C10" s="233">
        <v>42247</v>
      </c>
      <c r="D10" s="233">
        <v>0</v>
      </c>
      <c r="E10" s="233">
        <v>0</v>
      </c>
      <c r="F10" s="8">
        <v>0</v>
      </c>
      <c r="G10" s="8">
        <v>82000</v>
      </c>
      <c r="H10" s="8">
        <v>1842950000</v>
      </c>
      <c r="I10" s="25">
        <f t="array" ref="I10">SUM(IF("341"&amp;B10=LEFT(KHN,3)&amp;KH,_TH))</f>
        <v>82000</v>
      </c>
      <c r="J10" s="8">
        <f t="array" ref="J10">SUM(IF("341"&amp;B10=LEFT(KHN,3)&amp;KH,TH))</f>
        <v>1842950000</v>
      </c>
      <c r="K10" s="8">
        <f t="array" ref="K10">SUM(IF("341"&amp;B10=LEFT(KHC,3)&amp;KH,_TH))</f>
        <v>0</v>
      </c>
      <c r="L10" s="8">
        <f t="array" ref="L10">SUM(IF("341"&amp;B10=LEFT(KHC,3)&amp;KH,TH))</f>
        <v>0</v>
      </c>
      <c r="M10" s="236">
        <f t="shared" si="3"/>
        <v>0</v>
      </c>
      <c r="N10" s="236">
        <f t="shared" si="0"/>
        <v>0</v>
      </c>
      <c r="O10" s="236">
        <f t="shared" si="1"/>
        <v>0</v>
      </c>
      <c r="P10" s="236">
        <f t="shared" si="1"/>
        <v>0</v>
      </c>
    </row>
    <row r="11" spans="1:16" s="10" customFormat="1" ht="18" customHeight="1">
      <c r="A11" s="902">
        <f t="shared" si="2"/>
        <v>7</v>
      </c>
      <c r="B11" s="7" t="s">
        <v>732</v>
      </c>
      <c r="C11" s="233">
        <v>42248</v>
      </c>
      <c r="D11" s="233">
        <v>0</v>
      </c>
      <c r="E11" s="233">
        <v>0</v>
      </c>
      <c r="F11" s="8">
        <v>0</v>
      </c>
      <c r="G11" s="8">
        <v>40000</v>
      </c>
      <c r="H11" s="8">
        <v>899520000</v>
      </c>
      <c r="I11" s="25">
        <f t="array" ref="I11">SUM(IF("341"&amp;B11=LEFT(KHN,3)&amp;KH,_TH))</f>
        <v>40000</v>
      </c>
      <c r="J11" s="8">
        <f t="array" ref="J11">SUM(IF("341"&amp;B11=LEFT(KHN,3)&amp;KH,TH))</f>
        <v>899520000</v>
      </c>
      <c r="K11" s="8">
        <f t="array" ref="K11">SUM(IF("341"&amp;B11=LEFT(KHC,3)&amp;KH,_TH))</f>
        <v>0</v>
      </c>
      <c r="L11" s="8">
        <f t="array" ref="L11">SUM(IF("341"&amp;B11=LEFT(KHC,3)&amp;KH,TH))</f>
        <v>0</v>
      </c>
      <c r="M11" s="236">
        <f t="shared" si="3"/>
        <v>0</v>
      </c>
      <c r="N11" s="236">
        <f t="shared" si="0"/>
        <v>0</v>
      </c>
      <c r="O11" s="236">
        <f t="shared" si="1"/>
        <v>0</v>
      </c>
      <c r="P11" s="236">
        <f t="shared" si="1"/>
        <v>0</v>
      </c>
    </row>
    <row r="12" spans="1:16" s="10" customFormat="1" ht="18" customHeight="1">
      <c r="A12" s="902">
        <f t="shared" si="2"/>
        <v>8</v>
      </c>
      <c r="B12" s="7" t="s">
        <v>733</v>
      </c>
      <c r="C12" s="233">
        <v>42251</v>
      </c>
      <c r="D12" s="233">
        <v>0</v>
      </c>
      <c r="E12" s="233">
        <v>0</v>
      </c>
      <c r="F12" s="8">
        <v>0</v>
      </c>
      <c r="G12" s="8">
        <v>50000</v>
      </c>
      <c r="H12" s="8">
        <v>1124250000</v>
      </c>
      <c r="I12" s="25">
        <f t="array" ref="I12">SUM(IF("341"&amp;B12=LEFT(KHN,3)&amp;KH,_TH))</f>
        <v>50000</v>
      </c>
      <c r="J12" s="8">
        <f t="array" ref="J12">SUM(IF("341"&amp;B12=LEFT(KHN,3)&amp;KH,TH))</f>
        <v>1124250000</v>
      </c>
      <c r="K12" s="8">
        <f t="array" ref="K12">SUM(IF("341"&amp;B12=LEFT(KHC,3)&amp;KH,_TH))</f>
        <v>0</v>
      </c>
      <c r="L12" s="8">
        <f t="array" ref="L12">SUM(IF("341"&amp;B12=LEFT(KHC,3)&amp;KH,TH))</f>
        <v>0</v>
      </c>
      <c r="M12" s="236">
        <f t="shared" si="3"/>
        <v>0</v>
      </c>
      <c r="N12" s="236">
        <f t="shared" si="0"/>
        <v>0</v>
      </c>
      <c r="O12" s="236">
        <f t="shared" si="1"/>
        <v>0</v>
      </c>
      <c r="P12" s="236">
        <f t="shared" si="1"/>
        <v>0</v>
      </c>
    </row>
    <row r="13" spans="1:16" s="10" customFormat="1" ht="18" customHeight="1">
      <c r="A13" s="902">
        <f t="shared" si="2"/>
        <v>9</v>
      </c>
      <c r="B13" s="7" t="s">
        <v>734</v>
      </c>
      <c r="C13" s="233">
        <v>42278</v>
      </c>
      <c r="D13" s="233">
        <v>0</v>
      </c>
      <c r="E13" s="233">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36">
        <f t="shared" si="3"/>
        <v>0</v>
      </c>
      <c r="N13" s="236">
        <f t="shared" si="0"/>
        <v>0</v>
      </c>
      <c r="O13" s="236">
        <f t="shared" si="1"/>
        <v>89500</v>
      </c>
      <c r="P13" s="236">
        <f t="shared" si="1"/>
        <v>2011244000</v>
      </c>
    </row>
    <row r="14" spans="1:16" s="10" customFormat="1" ht="18" customHeight="1">
      <c r="A14" s="902">
        <f t="shared" si="2"/>
        <v>10</v>
      </c>
      <c r="B14" s="7" t="s">
        <v>735</v>
      </c>
      <c r="C14" s="233">
        <v>42279</v>
      </c>
      <c r="D14" s="233">
        <v>0</v>
      </c>
      <c r="E14" s="233">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36">
        <f t="shared" si="3"/>
        <v>0</v>
      </c>
      <c r="N14" s="236">
        <f t="shared" si="0"/>
        <v>0</v>
      </c>
      <c r="O14" s="236">
        <f t="shared" si="1"/>
        <v>89000</v>
      </c>
      <c r="P14" s="236">
        <f t="shared" si="1"/>
        <v>2001165000</v>
      </c>
    </row>
    <row r="15" spans="1:16" s="10" customFormat="1" ht="18" customHeight="1">
      <c r="A15" s="902">
        <f t="shared" si="2"/>
        <v>11</v>
      </c>
      <c r="B15" s="7" t="s">
        <v>736</v>
      </c>
      <c r="C15" s="233">
        <v>42339</v>
      </c>
      <c r="D15" s="233">
        <v>0</v>
      </c>
      <c r="E15" s="233">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36">
        <f t="shared" si="3"/>
        <v>0</v>
      </c>
      <c r="N15" s="236">
        <f t="shared" si="0"/>
        <v>0</v>
      </c>
      <c r="O15" s="236">
        <f t="shared" si="1"/>
        <v>89000</v>
      </c>
      <c r="P15" s="236">
        <f t="shared" si="1"/>
        <v>2001343000</v>
      </c>
    </row>
    <row r="16" spans="1:16" s="10" customFormat="1" ht="18" customHeight="1">
      <c r="A16" s="902">
        <f t="shared" si="2"/>
        <v>12</v>
      </c>
      <c r="B16" s="7" t="s">
        <v>737</v>
      </c>
      <c r="C16" s="233">
        <v>42360</v>
      </c>
      <c r="D16" s="233">
        <v>0</v>
      </c>
      <c r="E16" s="233">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36">
        <f t="shared" si="3"/>
        <v>0</v>
      </c>
      <c r="N16" s="236">
        <f t="shared" si="0"/>
        <v>0</v>
      </c>
      <c r="O16" s="236">
        <f t="shared" si="1"/>
        <v>88000</v>
      </c>
      <c r="P16" s="236">
        <f t="shared" si="1"/>
        <v>1983520000</v>
      </c>
    </row>
    <row r="17" spans="1:16" s="10" customFormat="1" ht="18" customHeight="1">
      <c r="A17" s="902">
        <f t="shared" si="2"/>
        <v>13</v>
      </c>
      <c r="B17" s="7" t="s">
        <v>727</v>
      </c>
      <c r="C17" s="233">
        <v>42234</v>
      </c>
      <c r="D17" s="233">
        <v>0</v>
      </c>
      <c r="E17" s="233">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36">
        <f t="shared" si="3"/>
        <v>0</v>
      </c>
      <c r="N17" s="236">
        <f t="shared" si="0"/>
        <v>0</v>
      </c>
      <c r="O17" s="236">
        <f t="shared" si="1"/>
        <v>0</v>
      </c>
      <c r="P17" s="236">
        <f>ROUND(MAX(H17+L17-F17-J17,0),2)</f>
        <v>0</v>
      </c>
    </row>
    <row r="18" spans="1:16" s="10" customFormat="1" ht="18" customHeight="1">
      <c r="A18" s="902">
        <f t="shared" si="2"/>
        <v>14</v>
      </c>
      <c r="B18" s="7" t="s">
        <v>738</v>
      </c>
      <c r="C18" s="233">
        <v>42340</v>
      </c>
      <c r="D18" s="233">
        <v>0</v>
      </c>
      <c r="E18" s="233">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36">
        <f t="shared" si="3"/>
        <v>0</v>
      </c>
      <c r="N18" s="236">
        <f t="shared" si="0"/>
        <v>0</v>
      </c>
      <c r="O18" s="236">
        <f t="shared" si="1"/>
        <v>70900</v>
      </c>
      <c r="P18" s="236">
        <f t="shared" si="1"/>
        <v>1595604500</v>
      </c>
    </row>
    <row r="19" spans="1:16" s="10" customFormat="1" ht="18" customHeight="1">
      <c r="A19" s="902">
        <f t="shared" si="2"/>
        <v>15</v>
      </c>
      <c r="B19" s="7" t="s">
        <v>739</v>
      </c>
      <c r="C19" s="233">
        <v>42346</v>
      </c>
      <c r="D19" s="233">
        <v>0</v>
      </c>
      <c r="E19" s="233">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36">
        <f t="shared" si="3"/>
        <v>0</v>
      </c>
      <c r="N19" s="236">
        <f>ROUND(MAX(F19+J19-H19-L19,0),2)</f>
        <v>0</v>
      </c>
      <c r="O19" s="236">
        <f t="shared" si="1"/>
        <v>62000</v>
      </c>
      <c r="P19" s="236">
        <f>ROUND(MAX(H19+L19-F19-J19,0),2)</f>
        <v>1392210000</v>
      </c>
    </row>
    <row r="20" spans="1:16" s="10" customFormat="1" ht="18" customHeight="1">
      <c r="A20" s="902">
        <f t="shared" si="2"/>
        <v>16</v>
      </c>
      <c r="B20" s="7" t="s">
        <v>740</v>
      </c>
      <c r="C20" s="233">
        <v>42348</v>
      </c>
      <c r="D20" s="233">
        <v>0</v>
      </c>
      <c r="E20" s="233">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36">
        <f>ROUND(MAX(E20+I20-G20-K20,0),2)</f>
        <v>0</v>
      </c>
      <c r="N20" s="236">
        <f>ROUND(MAX(F20+J20-H20-L20,0),2)</f>
        <v>0</v>
      </c>
      <c r="O20" s="236">
        <f>ROUND(MAX(G20+K20-E20-I20,0),2)</f>
        <v>33000</v>
      </c>
      <c r="P20" s="236">
        <f>ROUND(MAX(H20+L20-F20-J20,0),2)</f>
        <v>741675000</v>
      </c>
    </row>
    <row r="21" spans="1:16" s="10" customFormat="1" ht="18" customHeight="1">
      <c r="A21" s="902">
        <f t="shared" si="2"/>
        <v>17</v>
      </c>
      <c r="B21" s="7" t="s">
        <v>741</v>
      </c>
      <c r="C21" s="233">
        <v>42363</v>
      </c>
      <c r="D21" s="233">
        <v>0</v>
      </c>
      <c r="E21" s="233">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36">
        <f>ROUND(MAX(E21+I21-G21-K21,0),2)</f>
        <v>0</v>
      </c>
      <c r="N21" s="236">
        <f>ROUND(MAX(F21+J21-H21-L21,0),2)</f>
        <v>0</v>
      </c>
      <c r="O21" s="236">
        <f>ROUND(MAX(G21+K21-E21-I21,0),2)</f>
        <v>43000</v>
      </c>
      <c r="P21" s="236">
        <f>ROUND(MAX(H21+L21-F21-J21,0),2)</f>
        <v>968790000</v>
      </c>
    </row>
    <row r="22" spans="1:16" s="10" customFormat="1" ht="18" customHeight="1">
      <c r="A22" s="902">
        <f t="shared" si="2"/>
        <v>18</v>
      </c>
      <c r="B22" s="7" t="s">
        <v>742</v>
      </c>
      <c r="C22" s="233">
        <v>42328</v>
      </c>
      <c r="D22" s="233">
        <v>0</v>
      </c>
      <c r="E22" s="233">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36">
        <f>ROUND(MAX(E22+I22-G22-K22,0),2)</f>
        <v>0</v>
      </c>
      <c r="N22" s="236">
        <f>ROUND(MAX(F22+J22-H22-L22,0),2)</f>
        <v>0</v>
      </c>
      <c r="O22" s="236">
        <f>ROUND(MAX(G22+K22-E22-I22,0),2)</f>
        <v>61000</v>
      </c>
      <c r="P22" s="236">
        <f>ROUND(MAX(H22+L22-F22-J22,0),2)</f>
        <v>1368840000</v>
      </c>
    </row>
    <row r="23" spans="1:16" s="10" customFormat="1" ht="18" customHeight="1">
      <c r="A23" s="902">
        <f t="shared" si="2"/>
        <v>19</v>
      </c>
      <c r="B23" s="7" t="s">
        <v>745</v>
      </c>
      <c r="C23" s="233">
        <v>42394</v>
      </c>
      <c r="D23" s="233"/>
      <c r="E23" s="233"/>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36">
        <f t="shared" ref="M23:M26" si="4">ROUND(MAX(E23+I23-G23-K23,0),2)</f>
        <v>0</v>
      </c>
      <c r="N23" s="236">
        <f t="shared" ref="N23:N26" si="5">ROUND(MAX(F23+J23-H23-L23,0),2)</f>
        <v>0</v>
      </c>
      <c r="O23" s="236">
        <f t="shared" ref="O23:O26" si="6">ROUND(MAX(G23+K23-E23-I23,0),2)</f>
        <v>97000</v>
      </c>
      <c r="P23" s="236">
        <f t="shared" ref="P23:P26" si="7">ROUND(MAX(H23+L23-F23-J23,0),2)</f>
        <v>2168920000</v>
      </c>
    </row>
    <row r="24" spans="1:16" s="10" customFormat="1" ht="18" customHeight="1">
      <c r="A24" s="902">
        <f t="shared" si="2"/>
        <v>20</v>
      </c>
      <c r="B24" s="7" t="s">
        <v>751</v>
      </c>
      <c r="C24" s="233">
        <v>42398</v>
      </c>
      <c r="D24" s="233"/>
      <c r="E24" s="233"/>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36">
        <f t="shared" si="4"/>
        <v>0</v>
      </c>
      <c r="N24" s="236">
        <f t="shared" si="5"/>
        <v>0</v>
      </c>
      <c r="O24" s="236">
        <f t="shared" si="6"/>
        <v>52300</v>
      </c>
      <c r="P24" s="236">
        <f t="shared" si="7"/>
        <v>1162106000</v>
      </c>
    </row>
    <row r="25" spans="1:16" s="10" customFormat="1" ht="18" customHeight="1">
      <c r="A25" s="902">
        <f t="shared" si="2"/>
        <v>21</v>
      </c>
      <c r="B25" s="74" t="s">
        <v>1200</v>
      </c>
      <c r="C25" s="233">
        <v>42436</v>
      </c>
      <c r="D25" s="233"/>
      <c r="E25" s="233"/>
      <c r="F25" s="8"/>
      <c r="G25" s="8"/>
      <c r="H25" s="8"/>
      <c r="I25" s="25">
        <f t="array" ref="I25">SUM(IF("341"&amp;B25=LEFT(KHN,3)&amp;KH,_TH))</f>
        <v>0</v>
      </c>
      <c r="J25" s="8">
        <f t="array" ref="J25">SUM(IF("341"&amp;B25=LEFT(KHN,3)&amp;KH,TH))</f>
        <v>0</v>
      </c>
      <c r="K25" s="8">
        <f t="array" ref="K25">SUM(IF("341"&amp;B25=LEFT(KHC,3)&amp;KH,_TH))</f>
        <v>82000</v>
      </c>
      <c r="L25" s="8">
        <f t="array" ref="L25">SUM(IF("341"&amp;B25=LEFT(KHC,3)&amp;KH,TH))</f>
        <v>1828600000</v>
      </c>
      <c r="M25" s="236">
        <f t="shared" si="4"/>
        <v>0</v>
      </c>
      <c r="N25" s="236">
        <f t="shared" si="5"/>
        <v>0</v>
      </c>
      <c r="O25" s="236">
        <f t="shared" si="6"/>
        <v>82000</v>
      </c>
      <c r="P25" s="236">
        <f t="shared" si="7"/>
        <v>1828600000</v>
      </c>
    </row>
    <row r="26" spans="1:16" s="10" customFormat="1" ht="18" customHeight="1">
      <c r="A26" s="902">
        <f t="shared" si="2"/>
        <v>22</v>
      </c>
      <c r="B26" s="74" t="s">
        <v>1202</v>
      </c>
      <c r="C26" s="233">
        <v>42437</v>
      </c>
      <c r="D26" s="233"/>
      <c r="E26" s="233"/>
      <c r="F26" s="8"/>
      <c r="G26" s="8"/>
      <c r="H26" s="8"/>
      <c r="I26" s="25">
        <f t="array" ref="I26">SUM(IF("341"&amp;B26=LEFT(KHN,3)&amp;KH,_TH))</f>
        <v>0</v>
      </c>
      <c r="J26" s="8">
        <f t="array" ref="J26">SUM(IF("341"&amp;B26=LEFT(KHN,3)&amp;KH,TH))</f>
        <v>0</v>
      </c>
      <c r="K26" s="8">
        <f t="array" ref="K26">SUM(IF("341"&amp;B26=LEFT(KHC,3)&amp;KH,_TH))</f>
        <v>90000</v>
      </c>
      <c r="L26" s="8">
        <f t="array" ref="L26">SUM(IF("341"&amp;B26=LEFT(KHC,3)&amp;KH,TH))</f>
        <v>2007000000</v>
      </c>
      <c r="M26" s="236">
        <f t="shared" si="4"/>
        <v>0</v>
      </c>
      <c r="N26" s="236">
        <f t="shared" si="5"/>
        <v>0</v>
      </c>
      <c r="O26" s="236">
        <f t="shared" si="6"/>
        <v>90000</v>
      </c>
      <c r="P26" s="236">
        <f t="shared" si="7"/>
        <v>2007000000</v>
      </c>
    </row>
    <row r="27" spans="1:16" s="10" customFormat="1" ht="18" customHeight="1">
      <c r="A27" s="902" t="str">
        <f t="shared" si="2"/>
        <v/>
      </c>
      <c r="B27" s="74"/>
      <c r="C27" s="233"/>
      <c r="D27" s="233"/>
      <c r="E27" s="233"/>
      <c r="F27" s="8"/>
      <c r="G27" s="8"/>
      <c r="H27" s="8"/>
      <c r="I27" s="25">
        <f t="array" ref="I27">SUM(IF("341"&amp;B27=LEFT(KHN,3)&amp;KH,_TH))</f>
        <v>0</v>
      </c>
      <c r="J27" s="8">
        <f t="array" ref="J27">SUM(IF("341"&amp;B27=LEFT(KHN,3)&amp;KH,TH))</f>
        <v>0</v>
      </c>
      <c r="K27" s="8">
        <f t="array" ref="K27">SUM(IF("341"&amp;B27=LEFT(KHC,3)&amp;KH,_TH))</f>
        <v>0</v>
      </c>
      <c r="L27" s="8">
        <f t="array" ref="L27">SUM(IF("341"&amp;B27=LEFT(KHC,3)&amp;KH,TH))</f>
        <v>0</v>
      </c>
      <c r="M27" s="236">
        <f t="shared" ref="M27:M32" si="8">ROUND(MAX(E27+I27-G27-K27,0),2)</f>
        <v>0</v>
      </c>
      <c r="N27" s="236">
        <f t="shared" ref="N27:N32" si="9">ROUND(MAX(F27+J27-H27-L27,0),2)</f>
        <v>0</v>
      </c>
      <c r="O27" s="236">
        <f t="shared" ref="O27:O32" si="10">ROUND(MAX(G27+K27-E27-I27,0),2)</f>
        <v>0</v>
      </c>
      <c r="P27" s="236">
        <f t="shared" ref="P27:P32" si="11">ROUND(MAX(H27+L27-F27-J27,0),2)</f>
        <v>0</v>
      </c>
    </row>
    <row r="28" spans="1:16" s="10" customFormat="1" ht="18" customHeight="1">
      <c r="A28" s="902" t="str">
        <f t="shared" si="2"/>
        <v/>
      </c>
      <c r="B28" s="74"/>
      <c r="C28" s="233"/>
      <c r="D28" s="233"/>
      <c r="E28" s="233"/>
      <c r="F28" s="8"/>
      <c r="G28" s="8"/>
      <c r="H28" s="8"/>
      <c r="I28" s="25">
        <f t="array" ref="I28">SUM(IF("341"&amp;B28=LEFT(KHN,3)&amp;KH,_TH))</f>
        <v>0</v>
      </c>
      <c r="J28" s="8">
        <f t="array" ref="J28">SUM(IF("341"&amp;B28=LEFT(KHN,3)&amp;KH,TH))</f>
        <v>0</v>
      </c>
      <c r="K28" s="8">
        <f t="array" ref="K28">SUM(IF("341"&amp;B28=LEFT(KHC,3)&amp;KH,_TH))</f>
        <v>0</v>
      </c>
      <c r="L28" s="8">
        <f t="array" ref="L28">SUM(IF("341"&amp;B28=LEFT(KHC,3)&amp;KH,TH))</f>
        <v>0</v>
      </c>
      <c r="M28" s="236">
        <f t="shared" si="8"/>
        <v>0</v>
      </c>
      <c r="N28" s="236">
        <f t="shared" si="9"/>
        <v>0</v>
      </c>
      <c r="O28" s="236">
        <f t="shared" si="10"/>
        <v>0</v>
      </c>
      <c r="P28" s="236">
        <f t="shared" si="11"/>
        <v>0</v>
      </c>
    </row>
    <row r="29" spans="1:16" s="10" customFormat="1" ht="18" customHeight="1">
      <c r="A29" s="902" t="str">
        <f t="shared" si="2"/>
        <v/>
      </c>
      <c r="B29" s="74"/>
      <c r="C29" s="233"/>
      <c r="D29" s="233"/>
      <c r="E29" s="233"/>
      <c r="F29" s="8"/>
      <c r="G29" s="8"/>
      <c r="H29" s="8"/>
      <c r="I29" s="25">
        <f t="array" ref="I29">SUM(IF("341"&amp;B29=LEFT(KHN,3)&amp;KH,_TH))</f>
        <v>0</v>
      </c>
      <c r="J29" s="8">
        <f t="array" ref="J29">SUM(IF("341"&amp;B29=LEFT(KHN,3)&amp;KH,TH))</f>
        <v>0</v>
      </c>
      <c r="K29" s="8">
        <f t="array" ref="K29">SUM(IF("341"&amp;B29=LEFT(KHC,3)&amp;KH,_TH))</f>
        <v>0</v>
      </c>
      <c r="L29" s="8">
        <f t="array" ref="L29">SUM(IF("341"&amp;B29=LEFT(KHC,3)&amp;KH,TH))</f>
        <v>0</v>
      </c>
      <c r="M29" s="236">
        <f t="shared" si="8"/>
        <v>0</v>
      </c>
      <c r="N29" s="236">
        <f t="shared" si="9"/>
        <v>0</v>
      </c>
      <c r="O29" s="236">
        <f t="shared" si="10"/>
        <v>0</v>
      </c>
      <c r="P29" s="236">
        <f t="shared" si="11"/>
        <v>0</v>
      </c>
    </row>
    <row r="30" spans="1:16" s="10" customFormat="1" ht="18" customHeight="1">
      <c r="A30" s="902" t="str">
        <f t="shared" si="2"/>
        <v/>
      </c>
      <c r="B30" s="74"/>
      <c r="C30" s="233"/>
      <c r="D30" s="233"/>
      <c r="E30" s="233"/>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6">
        <f t="shared" si="8"/>
        <v>0</v>
      </c>
      <c r="N30" s="236">
        <f t="shared" si="9"/>
        <v>0</v>
      </c>
      <c r="O30" s="236">
        <f t="shared" si="10"/>
        <v>0</v>
      </c>
      <c r="P30" s="236">
        <f t="shared" si="11"/>
        <v>0</v>
      </c>
    </row>
    <row r="31" spans="1:16" s="10" customFormat="1" ht="18" customHeight="1">
      <c r="A31" s="902" t="str">
        <f t="shared" si="2"/>
        <v/>
      </c>
      <c r="B31" s="74"/>
      <c r="C31" s="233"/>
      <c r="D31" s="233"/>
      <c r="E31" s="233"/>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6">
        <f t="shared" si="8"/>
        <v>0</v>
      </c>
      <c r="N31" s="236">
        <f t="shared" si="9"/>
        <v>0</v>
      </c>
      <c r="O31" s="236">
        <f t="shared" si="10"/>
        <v>0</v>
      </c>
      <c r="P31" s="236">
        <f t="shared" si="11"/>
        <v>0</v>
      </c>
    </row>
    <row r="32" spans="1:16" s="10" customFormat="1" ht="18" customHeight="1">
      <c r="A32" s="902" t="str">
        <f t="shared" si="2"/>
        <v/>
      </c>
      <c r="B32" s="74"/>
      <c r="C32" s="233"/>
      <c r="D32" s="233"/>
      <c r="E32" s="233"/>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6">
        <f t="shared" si="8"/>
        <v>0</v>
      </c>
      <c r="N32" s="236">
        <f t="shared" si="9"/>
        <v>0</v>
      </c>
      <c r="O32" s="236">
        <f t="shared" si="10"/>
        <v>0</v>
      </c>
      <c r="P32" s="236">
        <f t="shared" si="11"/>
        <v>0</v>
      </c>
    </row>
    <row r="33" spans="1:16" s="10" customFormat="1" ht="18" customHeight="1">
      <c r="A33" s="902" t="str">
        <f t="shared" si="2"/>
        <v/>
      </c>
      <c r="B33" s="237"/>
      <c r="C33" s="238"/>
      <c r="D33" s="238"/>
      <c r="E33" s="238"/>
      <c r="F33" s="234"/>
      <c r="G33" s="234"/>
      <c r="H33" s="234"/>
      <c r="I33" s="234"/>
      <c r="J33" s="234"/>
      <c r="K33" s="234"/>
      <c r="L33" s="234"/>
      <c r="M33" s="339"/>
      <c r="N33" s="235"/>
      <c r="O33" s="235"/>
      <c r="P33" s="235"/>
    </row>
    <row r="34" spans="1:16" s="14" customFormat="1" ht="18" customHeight="1">
      <c r="A34" s="11"/>
      <c r="B34" s="12" t="s">
        <v>41</v>
      </c>
      <c r="C34" s="12"/>
      <c r="D34" s="12"/>
      <c r="E34" s="12"/>
      <c r="F34" s="13">
        <f>SUM(F5:F33)</f>
        <v>0</v>
      </c>
      <c r="G34" s="13"/>
      <c r="H34" s="13">
        <f>SUM(H5:H33)</f>
        <v>23372042379</v>
      </c>
      <c r="I34" s="13"/>
      <c r="J34" s="13">
        <f>SUM(J5:J33)</f>
        <v>7211867000</v>
      </c>
      <c r="K34" s="13"/>
      <c r="L34" s="13">
        <f>SUM(L5:L33)</f>
        <v>7239964000</v>
      </c>
      <c r="M34" s="13">
        <f>SUM(M5:M33)</f>
        <v>0</v>
      </c>
      <c r="N34" s="13">
        <f>SUM(N5:N33)</f>
        <v>0</v>
      </c>
      <c r="O34" s="13">
        <f>SUM(O5:O33)</f>
        <v>1043169.73</v>
      </c>
      <c r="P34" s="13">
        <f>SUM(P5:P33)</f>
        <v>23400139379</v>
      </c>
    </row>
    <row r="35" spans="1:16">
      <c r="P35" s="15">
        <f>CDPS!$H$53</f>
        <v>23400139379</v>
      </c>
    </row>
    <row r="36" spans="1:16">
      <c r="P36" s="239">
        <f>P34-P35</f>
        <v>0</v>
      </c>
    </row>
    <row r="38" spans="1:16">
      <c r="B38" s="232">
        <v>1</v>
      </c>
      <c r="C38" s="232">
        <v>2</v>
      </c>
      <c r="D38" s="232">
        <v>3</v>
      </c>
      <c r="E38" s="232">
        <v>4</v>
      </c>
      <c r="F38" s="232">
        <v>5</v>
      </c>
      <c r="G38" s="232">
        <v>6</v>
      </c>
      <c r="H38" s="232">
        <v>7</v>
      </c>
      <c r="I38" s="232">
        <v>8</v>
      </c>
      <c r="J38" s="232">
        <v>9</v>
      </c>
      <c r="K38" s="232">
        <v>10</v>
      </c>
      <c r="L38" s="232">
        <v>11</v>
      </c>
      <c r="M38" s="232">
        <v>12</v>
      </c>
      <c r="N38" s="232">
        <v>13</v>
      </c>
      <c r="O38" s="232">
        <v>14</v>
      </c>
      <c r="P38" s="23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46" customWidth="1"/>
    <col min="2" max="2" width="7" style="246" customWidth="1"/>
    <col min="3" max="3" width="8.140625" style="246" customWidth="1"/>
    <col min="4" max="4" width="35.42578125" style="246" customWidth="1"/>
    <col min="5" max="5" width="6.5703125" style="246" customWidth="1"/>
    <col min="6" max="6" width="9.140625" style="246"/>
    <col min="7" max="7" width="9.7109375" style="246" customWidth="1"/>
    <col min="8" max="8" width="12" style="246" customWidth="1"/>
    <col min="9" max="9" width="9.7109375" style="246" customWidth="1"/>
    <col min="10" max="10" width="12.42578125" style="246" customWidth="1"/>
    <col min="11" max="11" width="9.28515625" style="246" customWidth="1"/>
    <col min="12" max="12" width="11" style="246" customWidth="1"/>
    <col min="13" max="13" width="10.85546875" style="246" customWidth="1"/>
    <col min="14" max="14" width="14" style="246" customWidth="1"/>
    <col min="15" max="16384" width="9.140625" style="246"/>
  </cols>
  <sheetData>
    <row r="1" spans="1:14" s="241" customFormat="1" ht="16.5" customHeight="1">
      <c r="A1" s="247" t="s">
        <v>14</v>
      </c>
      <c r="B1" s="240"/>
      <c r="C1" s="240"/>
      <c r="H1" s="240"/>
      <c r="I1" s="240"/>
      <c r="J1" s="1283" t="s">
        <v>239</v>
      </c>
      <c r="K1" s="1283"/>
      <c r="L1" s="1283"/>
      <c r="M1" s="1283"/>
      <c r="N1" s="1283"/>
    </row>
    <row r="2" spans="1:14" s="241" customFormat="1" ht="16.5" customHeight="1">
      <c r="A2" s="248" t="s">
        <v>180</v>
      </c>
      <c r="B2" s="364"/>
      <c r="C2" s="364"/>
      <c r="H2" s="242"/>
      <c r="I2" s="242"/>
      <c r="J2" s="1284" t="s">
        <v>240</v>
      </c>
      <c r="K2" s="1284"/>
      <c r="L2" s="1284"/>
      <c r="M2" s="1284"/>
      <c r="N2" s="1284"/>
    </row>
    <row r="3" spans="1:14" s="241" customFormat="1" ht="16.5" customHeight="1">
      <c r="A3" s="364"/>
      <c r="B3" s="364"/>
      <c r="C3" s="364"/>
      <c r="H3" s="242"/>
      <c r="I3" s="242"/>
      <c r="J3" s="1284"/>
      <c r="K3" s="1284"/>
      <c r="L3" s="1284"/>
      <c r="M3" s="1284"/>
      <c r="N3" s="1284"/>
    </row>
    <row r="4" spans="1:14" s="241" customFormat="1" ht="16.5" customHeight="1">
      <c r="A4" s="364"/>
      <c r="B4" s="364"/>
      <c r="C4" s="364"/>
      <c r="H4" s="242"/>
      <c r="I4" s="242"/>
      <c r="J4" s="365"/>
      <c r="K4" s="365"/>
      <c r="L4" s="365"/>
      <c r="M4" s="365"/>
      <c r="N4" s="365"/>
    </row>
    <row r="5" spans="1:14" s="18" customFormat="1" ht="23.25" customHeight="1">
      <c r="A5" s="1267" t="s">
        <v>241</v>
      </c>
      <c r="B5" s="1267"/>
      <c r="C5" s="1267"/>
      <c r="D5" s="1267"/>
      <c r="E5" s="1267"/>
      <c r="F5" s="1267"/>
      <c r="G5" s="1267"/>
      <c r="H5" s="1267"/>
      <c r="I5" s="1267"/>
      <c r="J5" s="1267"/>
      <c r="K5" s="1267"/>
      <c r="L5" s="1267"/>
      <c r="M5" s="1267"/>
      <c r="N5" s="1267"/>
    </row>
    <row r="6" spans="1:14" s="18" customFormat="1">
      <c r="A6" s="1224" t="s">
        <v>242</v>
      </c>
      <c r="B6" s="1224"/>
      <c r="C6" s="1224"/>
      <c r="D6" s="1224"/>
      <c r="E6" s="1224"/>
      <c r="F6" s="1224"/>
      <c r="G6" s="1224"/>
      <c r="H6" s="1224"/>
      <c r="I6" s="1224"/>
      <c r="J6" s="1224"/>
      <c r="K6" s="1224"/>
      <c r="L6" s="1224"/>
      <c r="M6" s="1224"/>
      <c r="N6" s="1224"/>
    </row>
    <row r="7" spans="1:14" s="18" customFormat="1">
      <c r="A7" s="1224" t="s">
        <v>243</v>
      </c>
      <c r="B7" s="1224"/>
      <c r="C7" s="1224"/>
      <c r="D7" s="1224"/>
      <c r="E7" s="1224"/>
      <c r="F7" s="1224"/>
      <c r="G7" s="1224"/>
      <c r="H7" s="1224"/>
      <c r="I7" s="1224"/>
      <c r="J7" s="1224"/>
      <c r="K7" s="1224"/>
      <c r="L7" s="1224"/>
      <c r="M7" s="1224"/>
      <c r="N7" s="1224"/>
    </row>
    <row r="8" spans="1:14" s="18" customFormat="1" ht="15" customHeight="1">
      <c r="A8" s="1224" t="str">
        <f>IF(MID($H$9,4,4)="1015","Đối tượng cho vay: NH Eximbank CN Q11","Đối tượng cho vay: NH Eximbank CN Q4")</f>
        <v>Đối tượng cho vay: NH Eximbank CN Q11</v>
      </c>
      <c r="B8" s="1224"/>
      <c r="C8" s="1224"/>
      <c r="D8" s="1224"/>
      <c r="E8" s="1224"/>
      <c r="F8" s="1224"/>
      <c r="G8" s="1224"/>
      <c r="H8" s="1224"/>
      <c r="I8" s="1224"/>
      <c r="J8" s="1224"/>
      <c r="K8" s="1224"/>
      <c r="L8" s="1224"/>
      <c r="M8" s="1224"/>
      <c r="N8" s="1224"/>
    </row>
    <row r="9" spans="1:14" s="18" customFormat="1">
      <c r="A9" s="363"/>
      <c r="B9" s="363"/>
      <c r="C9" s="363"/>
      <c r="D9" s="363"/>
      <c r="E9" s="363"/>
      <c r="F9" s="363"/>
      <c r="G9" s="20" t="s">
        <v>244</v>
      </c>
      <c r="H9" s="1294" t="s">
        <v>733</v>
      </c>
      <c r="I9" s="1294"/>
      <c r="J9" s="366" t="str">
        <f>"ngày "&amp; TEXT(VLOOKUP($H$9,'341'!$B$5:$P$33,2,0),"dd/MM/yy")</f>
        <v>ngày 04/09/15</v>
      </c>
      <c r="K9" s="363"/>
      <c r="L9" s="363"/>
      <c r="M9" s="363"/>
      <c r="N9" s="363"/>
    </row>
    <row r="10" spans="1:14" s="18" customFormat="1">
      <c r="A10" s="1224" t="s">
        <v>245</v>
      </c>
      <c r="B10" s="1224"/>
      <c r="C10" s="1224"/>
      <c r="D10" s="1224"/>
      <c r="E10" s="1224"/>
      <c r="F10" s="1224"/>
      <c r="G10" s="1224"/>
      <c r="H10" s="1224"/>
      <c r="I10" s="1224"/>
      <c r="J10" s="1224"/>
      <c r="K10" s="1224"/>
      <c r="L10" s="1224"/>
      <c r="M10" s="1224"/>
      <c r="N10" s="1224"/>
    </row>
    <row r="11" spans="1:14" s="18" customFormat="1">
      <c r="C11" s="1286"/>
      <c r="D11" s="1286"/>
      <c r="E11" s="1286"/>
      <c r="F11" s="1286"/>
      <c r="G11" s="1286"/>
      <c r="H11" s="1286"/>
      <c r="I11" s="1286"/>
      <c r="J11" s="1286"/>
      <c r="K11" s="1286"/>
      <c r="L11" s="1286"/>
      <c r="M11" s="1286"/>
      <c r="N11" s="1286"/>
    </row>
    <row r="12" spans="1:14" s="18" customFormat="1" ht="15.75" customHeight="1">
      <c r="A12" s="1295" t="s">
        <v>22</v>
      </c>
      <c r="B12" s="1288" t="s">
        <v>1</v>
      </c>
      <c r="C12" s="1289"/>
      <c r="D12" s="1295" t="s">
        <v>0</v>
      </c>
      <c r="E12" s="1295" t="s">
        <v>16</v>
      </c>
      <c r="F12" s="1295" t="s">
        <v>246</v>
      </c>
      <c r="G12" s="1288" t="s">
        <v>23</v>
      </c>
      <c r="H12" s="1300"/>
      <c r="I12" s="1300"/>
      <c r="J12" s="1293"/>
      <c r="K12" s="1288" t="s">
        <v>33</v>
      </c>
      <c r="L12" s="1300"/>
      <c r="M12" s="1300"/>
      <c r="N12" s="1293"/>
    </row>
    <row r="13" spans="1:14" s="18" customFormat="1" ht="15.75" customHeight="1">
      <c r="A13" s="1296"/>
      <c r="B13" s="1301" t="s">
        <v>17</v>
      </c>
      <c r="C13" s="1301" t="s">
        <v>34</v>
      </c>
      <c r="D13" s="1296"/>
      <c r="E13" s="1296"/>
      <c r="F13" s="1298"/>
      <c r="G13" s="1292" t="s">
        <v>24</v>
      </c>
      <c r="H13" s="1293"/>
      <c r="I13" s="1292" t="s">
        <v>25</v>
      </c>
      <c r="J13" s="1293"/>
      <c r="K13" s="1292" t="s">
        <v>24</v>
      </c>
      <c r="L13" s="1293"/>
      <c r="M13" s="1292" t="s">
        <v>25</v>
      </c>
      <c r="N13" s="1293"/>
    </row>
    <row r="14" spans="1:14" s="18" customFormat="1" ht="32.25" customHeight="1">
      <c r="A14" s="1297"/>
      <c r="B14" s="1302"/>
      <c r="C14" s="1302"/>
      <c r="D14" s="1297"/>
      <c r="E14" s="1297"/>
      <c r="F14" s="1299"/>
      <c r="G14" s="30" t="s">
        <v>247</v>
      </c>
      <c r="H14" s="30" t="s">
        <v>248</v>
      </c>
      <c r="I14" s="30" t="s">
        <v>247</v>
      </c>
      <c r="J14" s="30" t="s">
        <v>248</v>
      </c>
      <c r="K14" s="30" t="s">
        <v>247</v>
      </c>
      <c r="L14" s="30" t="s">
        <v>248</v>
      </c>
      <c r="M14" s="30" t="s">
        <v>247</v>
      </c>
      <c r="N14" s="30" t="s">
        <v>248</v>
      </c>
    </row>
    <row r="15" spans="1:14" s="363" customFormat="1">
      <c r="A15" s="367" t="s">
        <v>2</v>
      </c>
      <c r="B15" s="368" t="s">
        <v>3</v>
      </c>
      <c r="C15" s="367" t="s">
        <v>4</v>
      </c>
      <c r="D15" s="367" t="s">
        <v>5</v>
      </c>
      <c r="E15" s="367" t="s">
        <v>6</v>
      </c>
      <c r="F15" s="367">
        <v>1</v>
      </c>
      <c r="G15" s="367">
        <v>2</v>
      </c>
      <c r="H15" s="367">
        <v>3</v>
      </c>
      <c r="I15" s="367">
        <v>4</v>
      </c>
      <c r="J15" s="367">
        <v>5</v>
      </c>
      <c r="K15" s="367">
        <v>6</v>
      </c>
      <c r="L15" s="367">
        <v>7</v>
      </c>
      <c r="M15" s="367">
        <v>8</v>
      </c>
      <c r="N15" s="367">
        <v>9</v>
      </c>
    </row>
    <row r="16" spans="1:14" s="18" customFormat="1" ht="19.5" customHeight="1">
      <c r="A16" s="392"/>
      <c r="B16" s="392"/>
      <c r="C16" s="392"/>
      <c r="D16" s="393" t="s">
        <v>7</v>
      </c>
      <c r="E16" s="394"/>
      <c r="F16" s="394"/>
      <c r="G16" s="392"/>
      <c r="H16" s="392"/>
      <c r="I16" s="392"/>
      <c r="J16" s="392"/>
      <c r="K16" s="395">
        <f>VLOOKUP($H$9,'341'!$B$5:$P$33,4,0)</f>
        <v>0</v>
      </c>
      <c r="L16" s="396">
        <f>VLOOKUP($H$9,'341'!$B$5:$P$33,5,0)</f>
        <v>0</v>
      </c>
      <c r="M16" s="395">
        <f>VLOOKUP($H$9,'341'!$B$5:$P$33,6,0)</f>
        <v>50000</v>
      </c>
      <c r="N16" s="396">
        <f>VLOOKUP($H$9,'341'!$B$5:$P$33,7,0)</f>
        <v>1124250000</v>
      </c>
    </row>
    <row r="17" spans="1:14" s="18" customFormat="1" ht="19.5" customHeight="1">
      <c r="A17" s="334">
        <f ca="1">IF(ROWS($1:1)&gt;COUNT(Dong4),"",OFFSET(TH!C$1,SMALL(Dong4,ROWS($1:1)),))</f>
        <v>42437</v>
      </c>
      <c r="B17" s="243" t="str">
        <f ca="1">IF(ROWS($1:1)&gt;COUNT(Dong4),"",OFFSET(TH!D$1,SMALL(Dong4,ROWS($1:1)),))</f>
        <v>GBN</v>
      </c>
      <c r="C17" s="243">
        <f ca="1">IF(ROWS($1:1)&gt;COUNT(Dong4),"",OFFSET(TH!E$1,SMALL(Dong4,ROWS($1:1)),))</f>
        <v>42437</v>
      </c>
      <c r="D17" s="397" t="str">
        <f ca="1">IF(ROWS($1:1)&gt;COUNT(Dong4),"",OFFSET(TH!F$1,SMALL(Dong4,ROWS($1:1)),))</f>
        <v>Trả gốc vay</v>
      </c>
      <c r="E17" s="243" t="str">
        <f ca="1">IF(ROWS($1:1)&gt;COUNT(Dong4),"",IF(LEFT(OFFSET(TH!O$1,SMALL(Dong4,ROWS($1:1)),),3)="341",OFFSET(TH!N$1,SMALL(Dong4,ROWS($1:1)),),OFFSET(TH!O$1,SMALL(Dong4,ROWS($1:1)),)))</f>
        <v>1122</v>
      </c>
      <c r="F17" s="398"/>
      <c r="G17" s="399">
        <f ca="1">IF(ROWS($1:1)&gt;COUNT(Dong4),"",IF(LEFT(OFFSET(TH!N$1,SMALL(Dong4,ROWS($1:1)),),3)="341",OFFSET(TH!K$1,SMALL(Dong4,ROWS($1:1)),),0))</f>
        <v>50000</v>
      </c>
      <c r="H17" s="398">
        <f ca="1">IF(ROWS($1:1)&gt;COUNT(Dong4),"",IF(LEFT(OFFSET(TH!N$1,SMALL(Dong4,ROWS($1:1)),),3)="341",OFFSET(TH!M$1,SMALL(Dong4,ROWS($1:1)),),0))</f>
        <v>1115000000</v>
      </c>
      <c r="I17" s="399">
        <f ca="1">IF(ROWS($1:1)&gt;COUNT(Dong4),"",IF(LEFT(OFFSET(TH!O$1,SMALL(Dong4,ROWS($1:1)),),3)="341",OFFSET(TH!K$1,SMALL(Dong4,ROWS($1:1)),),0))</f>
        <v>0</v>
      </c>
      <c r="J17" s="398">
        <f ca="1">IF(ROWS($1:1)&gt;COUNT(Dong4),"",IF(LEFT(OFFSET(TH!O$1,SMALL(Dong4,ROWS($1:1)),),3)="341",OFFSET(TH!M$1,SMALL(Dong4,ROWS($1:1)),),0))</f>
        <v>0</v>
      </c>
      <c r="K17" s="234">
        <f ca="1">IF(C17&lt;&gt;"",ROUND(MAX(K16+G17-I17-M16,0),2),0)</f>
        <v>0</v>
      </c>
      <c r="L17" s="8">
        <f ca="1">IF(C17&lt;&gt;"",MAX(L16-N16+H17-J17,0),0)</f>
        <v>0</v>
      </c>
      <c r="M17" s="234">
        <f ca="1">IF(C17&lt;&gt;"",ROUND(MAX(M16+I17-G17-K16,0),2),0)</f>
        <v>0</v>
      </c>
      <c r="N17" s="8">
        <f ca="1">IF(C17&lt;&gt;"",MAX(N16-L16+J17-H17,0),0)</f>
        <v>9250000</v>
      </c>
    </row>
    <row r="18" spans="1:14" s="400" customFormat="1" ht="19.5" customHeight="1">
      <c r="A18" s="334">
        <f ca="1">IF(ROWS($1:2)&gt;COUNT(Dong4),"",OFFSET(TH!C$1,SMALL(Dong4,ROWS($1:2)),))</f>
        <v>42437</v>
      </c>
      <c r="B18" s="243" t="str">
        <f ca="1">IF(ROWS($1:2)&gt;COUNT(Dong4),"",OFFSET(TH!D$1,SMALL(Dong4,ROWS($1:2)),))</f>
        <v>CTGS</v>
      </c>
      <c r="C18" s="243">
        <f ca="1">IF(ROWS($1:2)&gt;COUNT(Dong4),"",OFFSET(TH!E$1,SMALL(Dong4,ROWS($1:2)),))</f>
        <v>42437</v>
      </c>
      <c r="D18" s="397" t="str">
        <f ca="1">IF(ROWS($1:2)&gt;COUNT(Dong4),"",OFFSET(TH!F$1,SMALL(Dong4,ROWS($1:2)),))</f>
        <v>Chênh lệch tỷ giá vay</v>
      </c>
      <c r="E18" s="243" t="str">
        <f ca="1">IF(ROWS($1:2)&gt;COUNT(Dong4),"",IF(LEFT(OFFSET(TH!O$1,SMALL(Dong4,ROWS($1:2)),),3)="341",OFFSET(TH!N$1,SMALL(Dong4,ROWS($1:2)),),OFFSET(TH!O$1,SMALL(Dong4,ROWS($1:2)),)))</f>
        <v>515</v>
      </c>
      <c r="F18" s="398"/>
      <c r="G18" s="399">
        <f ca="1">IF(ROWS($1:2)&gt;COUNT(Dong4),"",IF(LEFT(OFFSET(TH!N$1,SMALL(Dong4,ROWS($1:2)),),3)="341",OFFSET(TH!K$1,SMALL(Dong4,ROWS($1:2)),),0))</f>
        <v>0</v>
      </c>
      <c r="H18" s="398">
        <f ca="1">IF(ROWS($1:2)&gt;COUNT(Dong4),"",IF(LEFT(OFFSET(TH!N$1,SMALL(Dong4,ROWS($1:2)),),3)="341",OFFSET(TH!M$1,SMALL(Dong4,ROWS($1:2)),),0))</f>
        <v>9250000</v>
      </c>
      <c r="I18" s="399">
        <f ca="1">IF(ROWS($1:2)&gt;COUNT(Dong4),"",IF(LEFT(OFFSET(TH!O$1,SMALL(Dong4,ROWS($1:2)),),3)="341",OFFSET(TH!K$1,SMALL(Dong4,ROWS($1:2)),),0))</f>
        <v>0</v>
      </c>
      <c r="J18" s="398">
        <f ca="1">IF(ROWS($1:2)&gt;COUNT(Dong4),"",IF(LEFT(OFFSET(TH!O$1,SMALL(Dong4,ROWS($1:2)),),3)="341",OFFSET(TH!M$1,SMALL(Dong4,ROWS($1:2)),),0))</f>
        <v>0</v>
      </c>
      <c r="K18" s="234">
        <f ca="1">IF(C18&lt;&gt;"",ROUND(MAX(K17+G18-I18-M17,0),2),0)</f>
        <v>0</v>
      </c>
      <c r="L18" s="8">
        <f ca="1">IF(C18&lt;&gt;"",MAX(L17-N17+H18-J18,0),0)</f>
        <v>0</v>
      </c>
      <c r="M18" s="234">
        <f ca="1">IF(C18&lt;&gt;"",ROUND(MAX(M17+I18-G18-K17,0),2),0)</f>
        <v>0</v>
      </c>
      <c r="N18" s="8">
        <f ca="1">IF(C18&lt;&gt;"",MAX(N17-L17+J18-H18,0),0)</f>
        <v>0</v>
      </c>
    </row>
    <row r="19" spans="1:14" s="400" customFormat="1" ht="19.5" customHeight="1">
      <c r="A19" s="334" t="str">
        <f ca="1">IF(ROWS($1:3)&gt;COUNT(Dong4),"",OFFSET(TH!C$1,SMALL(Dong4,ROWS($1:3)),))</f>
        <v/>
      </c>
      <c r="B19" s="243" t="str">
        <f ca="1">IF(ROWS($1:3)&gt;COUNT(Dong4),"",OFFSET(TH!D$1,SMALL(Dong4,ROWS($1:3)),))</f>
        <v/>
      </c>
      <c r="C19" s="243" t="str">
        <f ca="1">IF(ROWS($1:3)&gt;COUNT(Dong4),"",OFFSET(TH!E$1,SMALL(Dong4,ROWS($1:3)),))</f>
        <v/>
      </c>
      <c r="D19" s="397" t="str">
        <f ca="1">IF(ROWS($1:3)&gt;COUNT(Dong4),"",OFFSET(TH!F$1,SMALL(Dong4,ROWS($1:3)),))</f>
        <v/>
      </c>
      <c r="E19" s="243" t="str">
        <f ca="1">IF(ROWS($1:3)&gt;COUNT(Dong4),"",IF(LEFT(OFFSET(TH!O$1,SMALL(Dong4,ROWS($1:3)),),3)="341",OFFSET(TH!N$1,SMALL(Dong4,ROWS($1:3)),),OFFSET(TH!O$1,SMALL(Dong4,ROWS($1:3)),)))</f>
        <v/>
      </c>
      <c r="F19" s="398"/>
      <c r="G19" s="399" t="str">
        <f ca="1">IF(ROWS($1:3)&gt;COUNT(Dong4),"",IF(LEFT(OFFSET(TH!N$1,SMALL(Dong4,ROWS($1:3)),),3)="341",OFFSET(TH!K$1,SMALL(Dong4,ROWS($1:3)),),0))</f>
        <v/>
      </c>
      <c r="H19" s="398" t="str">
        <f ca="1">IF(ROWS($1:3)&gt;COUNT(Dong4),"",IF(LEFT(OFFSET(TH!N$1,SMALL(Dong4,ROWS($1:3)),),3)="341",OFFSET(TH!M$1,SMALL(Dong4,ROWS($1:3)),),0))</f>
        <v/>
      </c>
      <c r="I19" s="399" t="str">
        <f ca="1">IF(ROWS($1:3)&gt;COUNT(Dong4),"",IF(LEFT(OFFSET(TH!O$1,SMALL(Dong4,ROWS($1:3)),),3)="341",OFFSET(TH!K$1,SMALL(Dong4,ROWS($1:3)),),0))</f>
        <v/>
      </c>
      <c r="J19" s="398" t="str">
        <f ca="1">IF(ROWS($1:3)&gt;COUNT(Dong4),"",IF(LEFT(OFFSET(TH!O$1,SMALL(Dong4,ROWS($1:3)),),3)="341",OFFSET(TH!M$1,SMALL(Dong4,ROWS($1:3)),),0))</f>
        <v/>
      </c>
      <c r="K19" s="234">
        <f ca="1">IF(C19&lt;&gt;"",ROUND(MAX(K18+G19-I19-M18,0),2),0)</f>
        <v>0</v>
      </c>
      <c r="L19" s="8">
        <f ca="1">IF(C19&lt;&gt;"",MAX(L18-N18+H19-J19,0),0)</f>
        <v>0</v>
      </c>
      <c r="M19" s="234">
        <f ca="1">IF(C19&lt;&gt;"",ROUND(MAX(M18+I19-G19-K18,0),2),0)</f>
        <v>0</v>
      </c>
      <c r="N19" s="8">
        <f ca="1">IF(C19&lt;&gt;"",MAX(N18-L18+J19-H19,0),0)</f>
        <v>0</v>
      </c>
    </row>
    <row r="20" spans="1:14" s="400" customFormat="1" ht="19.5" customHeight="1">
      <c r="A20" s="401"/>
      <c r="B20" s="401"/>
      <c r="C20" s="401"/>
      <c r="D20" s="402"/>
      <c r="E20" s="403"/>
      <c r="F20" s="404"/>
      <c r="G20" s="405"/>
      <c r="H20" s="405"/>
      <c r="I20" s="405"/>
      <c r="J20" s="406"/>
      <c r="K20" s="234"/>
      <c r="L20" s="8"/>
      <c r="M20" s="234"/>
      <c r="N20" s="8"/>
    </row>
    <row r="21" spans="1:14" s="18" customFormat="1" ht="19.5" customHeight="1">
      <c r="A21" s="243"/>
      <c r="B21" s="243"/>
      <c r="C21" s="243"/>
      <c r="D21" s="407" t="s">
        <v>35</v>
      </c>
      <c r="E21" s="335" t="s">
        <v>21</v>
      </c>
      <c r="F21" s="335" t="s">
        <v>21</v>
      </c>
      <c r="G21" s="408">
        <f ca="1">SUM(G17:G18)</f>
        <v>50000</v>
      </c>
      <c r="H21" s="409">
        <f ca="1">SUM(H17:H18)</f>
        <v>1124250000</v>
      </c>
      <c r="I21" s="408">
        <f ca="1">SUM(I17:I18)</f>
        <v>0</v>
      </c>
      <c r="J21" s="409">
        <f ca="1">SUM(J17:J18)</f>
        <v>0</v>
      </c>
      <c r="K21" s="409" t="s">
        <v>21</v>
      </c>
      <c r="L21" s="409" t="s">
        <v>21</v>
      </c>
      <c r="M21" s="409" t="s">
        <v>21</v>
      </c>
      <c r="N21" s="409" t="s">
        <v>21</v>
      </c>
    </row>
    <row r="22" spans="1:14" s="18" customFormat="1" ht="19.5" customHeight="1">
      <c r="A22" s="410"/>
      <c r="B22" s="410"/>
      <c r="C22" s="410"/>
      <c r="D22" s="411" t="s">
        <v>10</v>
      </c>
      <c r="E22" s="412" t="s">
        <v>21</v>
      </c>
      <c r="F22" s="412" t="s">
        <v>21</v>
      </c>
      <c r="G22" s="412" t="s">
        <v>21</v>
      </c>
      <c r="H22" s="412" t="s">
        <v>21</v>
      </c>
      <c r="I22" s="412" t="s">
        <v>21</v>
      </c>
      <c r="J22" s="412" t="s">
        <v>21</v>
      </c>
      <c r="K22" s="413">
        <f ca="1">MAX(K16+G21-M16-I21,0)</f>
        <v>0</v>
      </c>
      <c r="L22" s="414">
        <f ca="1">MAX(L16+H21-N16-J21,0)</f>
        <v>0</v>
      </c>
      <c r="M22" s="413">
        <f ca="1">MAX(M16+I21-K16-G21,0)</f>
        <v>0</v>
      </c>
      <c r="N22" s="414">
        <f ca="1">MAX(N16+J21-L16-H21,0)</f>
        <v>0</v>
      </c>
    </row>
    <row r="23" spans="1:14" s="18" customFormat="1">
      <c r="E23" s="363"/>
      <c r="F23" s="363"/>
    </row>
    <row r="24" spans="1:14" s="18" customFormat="1">
      <c r="A24" s="244" t="s">
        <v>249</v>
      </c>
      <c r="E24" s="363"/>
      <c r="F24" s="363"/>
    </row>
    <row r="25" spans="1:14" s="18" customFormat="1">
      <c r="A25" s="244" t="str">
        <f>"- Ngày mở sổ: "&amp; TEXT(VLOOKUP($H$9,'341'!$B$5:$P$33,2,0),"dd/MM/yy")</f>
        <v>- Ngày mở sổ: 04/09/15</v>
      </c>
      <c r="E25" s="363"/>
      <c r="F25" s="363"/>
    </row>
    <row r="26" spans="1:14" s="18" customFormat="1">
      <c r="E26" s="363"/>
      <c r="F26" s="363"/>
      <c r="L26" s="363" t="s">
        <v>250</v>
      </c>
    </row>
    <row r="27" spans="1:14" s="18" customFormat="1">
      <c r="C27" s="363" t="s">
        <v>11</v>
      </c>
      <c r="E27" s="363"/>
      <c r="F27" s="363"/>
      <c r="L27" s="363" t="s">
        <v>12</v>
      </c>
    </row>
    <row r="28" spans="1:14" s="18" customFormat="1">
      <c r="C28" s="363" t="s">
        <v>13</v>
      </c>
      <c r="E28" s="363"/>
      <c r="F28" s="363"/>
      <c r="L28" s="363" t="s">
        <v>13</v>
      </c>
    </row>
    <row r="29" spans="1:14" s="18" customFormat="1">
      <c r="E29" s="363"/>
      <c r="F29" s="363"/>
    </row>
    <row r="30" spans="1:14" s="18" customFormat="1">
      <c r="E30" s="363"/>
      <c r="F30" s="363"/>
    </row>
    <row r="31" spans="1:14" s="245" customFormat="1"/>
    <row r="32" spans="1:14" s="245" customFormat="1"/>
    <row r="33" spans="2:4" s="245" customFormat="1"/>
    <row r="34" spans="2:4" s="245" customFormat="1"/>
    <row r="35" spans="2:4" s="245" customFormat="1" ht="15">
      <c r="B35" s="415"/>
      <c r="C35" s="416" t="s">
        <v>251</v>
      </c>
      <c r="D35" s="415"/>
    </row>
    <row r="36" spans="2:4" s="245" customFormat="1"/>
    <row r="37" spans="2:4" s="245" customFormat="1"/>
    <row r="38" spans="2:4" s="245" customFormat="1"/>
    <row r="39" spans="2:4" s="245" customFormat="1"/>
    <row r="40" spans="2:4" s="245" customFormat="1"/>
    <row r="41" spans="2:4" s="245" customFormat="1"/>
    <row r="42" spans="2:4" s="245" customFormat="1"/>
    <row r="43" spans="2:4" s="245"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4"/>
  <sheetViews>
    <sheetView zoomScale="90" workbookViewId="0">
      <selection activeCell="E17" sqref="E17:E18"/>
    </sheetView>
  </sheetViews>
  <sheetFormatPr defaultRowHeight="15"/>
  <cols>
    <col min="1" max="1" width="7.7109375" style="471" customWidth="1"/>
    <col min="2" max="2" width="7" style="471" customWidth="1"/>
    <col min="3" max="3" width="9.140625" style="471"/>
    <col min="4" max="4" width="25" style="471" customWidth="1"/>
    <col min="5" max="5" width="6.5703125" style="471" customWidth="1"/>
    <col min="6" max="10" width="10" style="471" customWidth="1"/>
    <col min="11" max="11" width="8.7109375" style="471" customWidth="1"/>
    <col min="12" max="12" width="15" style="471" customWidth="1"/>
    <col min="13" max="13" width="10" style="471" customWidth="1"/>
    <col min="14" max="14" width="9.42578125" style="471" customWidth="1"/>
    <col min="15" max="16384" width="9.140625" style="471"/>
  </cols>
  <sheetData>
    <row r="2" spans="1:14">
      <c r="A2" s="470" t="s">
        <v>182</v>
      </c>
      <c r="C2" s="472"/>
      <c r="F2" s="473"/>
      <c r="G2" s="473"/>
      <c r="H2" s="473"/>
      <c r="I2" s="473"/>
      <c r="J2" s="473"/>
      <c r="K2" s="473" t="s">
        <v>305</v>
      </c>
      <c r="L2" s="473"/>
      <c r="M2" s="473"/>
      <c r="N2" s="473"/>
    </row>
    <row r="3" spans="1:14">
      <c r="A3" s="470" t="s">
        <v>184</v>
      </c>
      <c r="C3" s="472"/>
      <c r="F3" s="474"/>
      <c r="G3" s="474"/>
      <c r="H3" s="474"/>
      <c r="I3" s="474"/>
      <c r="J3" s="474"/>
      <c r="K3" s="474" t="s">
        <v>237</v>
      </c>
      <c r="L3" s="474"/>
      <c r="M3" s="474"/>
      <c r="N3" s="474"/>
    </row>
    <row r="4" spans="1:14">
      <c r="F4" s="474"/>
      <c r="G4" s="474"/>
      <c r="H4" s="474"/>
      <c r="I4" s="474"/>
      <c r="J4" s="474"/>
      <c r="K4" s="474" t="s">
        <v>238</v>
      </c>
      <c r="L4" s="474"/>
      <c r="M4" s="474"/>
      <c r="N4" s="474"/>
    </row>
    <row r="5" spans="1:14" s="475" customFormat="1" ht="23.25" customHeight="1">
      <c r="A5" s="1311" t="s">
        <v>306</v>
      </c>
      <c r="B5" s="1311"/>
      <c r="C5" s="1311"/>
      <c r="D5" s="1311"/>
      <c r="E5" s="1311"/>
      <c r="F5" s="1311"/>
      <c r="G5" s="1311"/>
      <c r="H5" s="1311"/>
      <c r="I5" s="1311"/>
      <c r="J5" s="1311"/>
      <c r="K5" s="1311"/>
      <c r="L5" s="1311"/>
      <c r="M5" s="1311"/>
      <c r="N5" s="1311"/>
    </row>
    <row r="6" spans="1:14">
      <c r="A6" s="1312" t="s">
        <v>257</v>
      </c>
      <c r="B6" s="1312" t="s">
        <v>307</v>
      </c>
      <c r="C6" s="1312"/>
      <c r="D6" s="1312"/>
      <c r="E6" s="1312"/>
      <c r="F6" s="1312"/>
      <c r="G6" s="1312"/>
      <c r="H6" s="1312"/>
      <c r="I6" s="1312"/>
      <c r="J6" s="1312"/>
      <c r="K6" s="1312"/>
      <c r="L6" s="1312"/>
      <c r="M6" s="1312"/>
      <c r="N6" s="1312"/>
    </row>
    <row r="7" spans="1:14">
      <c r="C7" s="1313"/>
      <c r="D7" s="1313"/>
      <c r="E7" s="1313"/>
      <c r="F7" s="1313"/>
      <c r="G7" s="1313"/>
      <c r="H7" s="1313"/>
      <c r="I7" s="1313"/>
      <c r="J7" s="1313"/>
      <c r="K7" s="1313"/>
      <c r="L7" s="1313"/>
      <c r="M7" s="1313"/>
      <c r="N7" s="1313"/>
    </row>
    <row r="8" spans="1:14" ht="15.75" customHeight="1">
      <c r="A8" s="1305" t="s">
        <v>22</v>
      </c>
      <c r="B8" s="1314" t="s">
        <v>1</v>
      </c>
      <c r="C8" s="1315"/>
      <c r="D8" s="1305" t="s">
        <v>0</v>
      </c>
      <c r="E8" s="1305" t="s">
        <v>16</v>
      </c>
      <c r="F8" s="1304" t="s">
        <v>23</v>
      </c>
      <c r="G8" s="1304"/>
      <c r="H8" s="1304"/>
      <c r="I8" s="1304"/>
      <c r="J8" s="1304"/>
      <c r="K8" s="1304"/>
      <c r="L8" s="1304" t="s">
        <v>33</v>
      </c>
      <c r="M8" s="1304"/>
      <c r="N8" s="1304"/>
    </row>
    <row r="9" spans="1:14" ht="15.75" customHeight="1">
      <c r="A9" s="1305"/>
      <c r="B9" s="1316"/>
      <c r="C9" s="1317"/>
      <c r="D9" s="1305"/>
      <c r="E9" s="1305"/>
      <c r="F9" s="1304" t="s">
        <v>308</v>
      </c>
      <c r="G9" s="1304"/>
      <c r="H9" s="1304"/>
      <c r="I9" s="1304" t="s">
        <v>309</v>
      </c>
      <c r="J9" s="1304"/>
      <c r="K9" s="1304"/>
      <c r="L9" s="1305" t="s">
        <v>310</v>
      </c>
      <c r="M9" s="1305" t="s">
        <v>311</v>
      </c>
      <c r="N9" s="1305" t="s">
        <v>312</v>
      </c>
    </row>
    <row r="10" spans="1:14" ht="15.75" customHeight="1">
      <c r="A10" s="1305"/>
      <c r="B10" s="1307" t="s">
        <v>17</v>
      </c>
      <c r="C10" s="1307" t="s">
        <v>34</v>
      </c>
      <c r="D10" s="1305"/>
      <c r="E10" s="1305"/>
      <c r="F10" s="1309" t="s">
        <v>310</v>
      </c>
      <c r="G10" s="1309" t="s">
        <v>311</v>
      </c>
      <c r="H10" s="1309" t="s">
        <v>312</v>
      </c>
      <c r="I10" s="1309" t="s">
        <v>310</v>
      </c>
      <c r="J10" s="1309" t="s">
        <v>311</v>
      </c>
      <c r="K10" s="1309" t="s">
        <v>312</v>
      </c>
      <c r="L10" s="1306"/>
      <c r="M10" s="1306"/>
      <c r="N10" s="1306"/>
    </row>
    <row r="11" spans="1:14">
      <c r="A11" s="1305"/>
      <c r="B11" s="1308"/>
      <c r="C11" s="1308"/>
      <c r="D11" s="1305"/>
      <c r="E11" s="1305"/>
      <c r="F11" s="1310"/>
      <c r="G11" s="1310"/>
      <c r="H11" s="1310"/>
      <c r="I11" s="1310"/>
      <c r="J11" s="1310"/>
      <c r="K11" s="1310"/>
      <c r="L11" s="1306"/>
      <c r="M11" s="1306"/>
      <c r="N11" s="1306"/>
    </row>
    <row r="12" spans="1:14" s="474" customFormat="1">
      <c r="A12" s="476" t="s">
        <v>2</v>
      </c>
      <c r="B12" s="477" t="s">
        <v>3</v>
      </c>
      <c r="C12" s="476" t="s">
        <v>4</v>
      </c>
      <c r="D12" s="476" t="s">
        <v>5</v>
      </c>
      <c r="E12" s="476" t="s">
        <v>6</v>
      </c>
      <c r="F12" s="476">
        <v>1</v>
      </c>
      <c r="G12" s="476"/>
      <c r="H12" s="476"/>
      <c r="I12" s="476"/>
      <c r="J12" s="476"/>
      <c r="K12" s="476"/>
      <c r="L12" s="476"/>
      <c r="M12" s="476"/>
      <c r="N12" s="476"/>
    </row>
    <row r="13" spans="1:14">
      <c r="A13" s="478"/>
      <c r="B13" s="478"/>
      <c r="C13" s="478"/>
      <c r="D13" s="479" t="s">
        <v>7</v>
      </c>
      <c r="E13" s="478"/>
      <c r="F13" s="478"/>
      <c r="G13" s="478"/>
      <c r="H13" s="478"/>
      <c r="I13" s="478"/>
      <c r="J13" s="478"/>
      <c r="K13" s="478"/>
      <c r="L13" s="480">
        <f>CDPS!$D$55</f>
        <v>10000000000</v>
      </c>
      <c r="M13" s="478"/>
      <c r="N13" s="478"/>
    </row>
    <row r="14" spans="1:14">
      <c r="A14" s="481"/>
      <c r="B14" s="481"/>
      <c r="C14" s="481"/>
      <c r="D14" s="482" t="s">
        <v>313</v>
      </c>
      <c r="E14" s="481"/>
      <c r="F14" s="481"/>
      <c r="G14" s="481"/>
      <c r="H14" s="481"/>
      <c r="I14" s="481"/>
      <c r="J14" s="481"/>
      <c r="K14" s="481"/>
      <c r="L14" s="481"/>
      <c r="M14" s="481"/>
      <c r="N14" s="481"/>
    </row>
    <row r="15" spans="1:14">
      <c r="A15" s="481"/>
      <c r="B15" s="481"/>
      <c r="C15" s="481"/>
      <c r="D15" s="481"/>
      <c r="E15" s="481"/>
      <c r="F15" s="481"/>
      <c r="G15" s="481"/>
      <c r="H15" s="481"/>
      <c r="I15" s="481"/>
      <c r="J15" s="481"/>
      <c r="K15" s="481"/>
      <c r="L15" s="481"/>
      <c r="M15" s="481"/>
      <c r="N15" s="481"/>
    </row>
    <row r="16" spans="1:14">
      <c r="A16" s="481"/>
      <c r="B16" s="481"/>
      <c r="C16" s="481"/>
      <c r="D16" s="483"/>
      <c r="E16" s="483"/>
      <c r="F16" s="483"/>
      <c r="G16" s="483"/>
      <c r="H16" s="483"/>
      <c r="I16" s="483"/>
      <c r="J16" s="483"/>
      <c r="K16" s="483"/>
      <c r="L16" s="483"/>
      <c r="M16" s="483"/>
      <c r="N16" s="483"/>
    </row>
    <row r="17" spans="1:14">
      <c r="A17" s="481"/>
      <c r="B17" s="481"/>
      <c r="C17" s="481"/>
      <c r="D17" s="484" t="s">
        <v>158</v>
      </c>
      <c r="E17" s="1024" t="s">
        <v>21</v>
      </c>
      <c r="F17" s="485"/>
      <c r="G17" s="485"/>
      <c r="H17" s="485"/>
      <c r="I17" s="485"/>
      <c r="J17" s="485"/>
      <c r="K17" s="485"/>
      <c r="L17" s="485"/>
      <c r="M17" s="485"/>
      <c r="N17" s="485"/>
    </row>
    <row r="18" spans="1:14">
      <c r="A18" s="486"/>
      <c r="B18" s="486"/>
      <c r="C18" s="486"/>
      <c r="D18" s="487" t="s">
        <v>10</v>
      </c>
      <c r="E18" s="1025" t="s">
        <v>21</v>
      </c>
      <c r="F18" s="486"/>
      <c r="G18" s="486"/>
      <c r="H18" s="486"/>
      <c r="I18" s="486"/>
      <c r="J18" s="486"/>
      <c r="K18" s="486"/>
      <c r="L18" s="488">
        <f>L13+L17</f>
        <v>10000000000</v>
      </c>
      <c r="M18" s="486"/>
      <c r="N18" s="486"/>
    </row>
    <row r="20" spans="1:14">
      <c r="C20" s="489" t="s">
        <v>314</v>
      </c>
    </row>
    <row r="21" spans="1:14">
      <c r="C21" s="489" t="s">
        <v>315</v>
      </c>
    </row>
    <row r="22" spans="1:14">
      <c r="B22" s="490"/>
      <c r="C22" s="490"/>
      <c r="D22" s="490"/>
      <c r="E22" s="1303" t="s">
        <v>316</v>
      </c>
      <c r="F22" s="1303"/>
      <c r="G22" s="1303"/>
      <c r="H22" s="1303"/>
      <c r="I22" s="1303"/>
      <c r="J22" s="1303"/>
      <c r="K22" s="1303"/>
      <c r="L22" s="1303"/>
      <c r="M22" s="1303"/>
      <c r="N22" s="1303"/>
    </row>
    <row r="23" spans="1:14">
      <c r="A23" s="1303" t="s">
        <v>11</v>
      </c>
      <c r="B23" s="1303"/>
      <c r="C23" s="1303"/>
      <c r="D23" s="1303"/>
      <c r="E23" s="1303" t="s">
        <v>12</v>
      </c>
      <c r="F23" s="1303"/>
      <c r="G23" s="1303"/>
      <c r="H23" s="1303"/>
      <c r="I23" s="1303"/>
      <c r="J23" s="1303"/>
      <c r="K23" s="1303"/>
      <c r="L23" s="1303"/>
      <c r="M23" s="1303"/>
      <c r="N23" s="1303"/>
    </row>
    <row r="24" spans="1:14">
      <c r="A24" s="1303" t="s">
        <v>13</v>
      </c>
      <c r="B24" s="1303"/>
      <c r="C24" s="1303"/>
      <c r="D24" s="1303"/>
      <c r="E24" s="1303" t="s">
        <v>13</v>
      </c>
      <c r="F24" s="1303"/>
      <c r="G24" s="1303"/>
      <c r="H24" s="1303"/>
      <c r="I24" s="1303"/>
      <c r="J24" s="1303"/>
      <c r="K24" s="1303"/>
      <c r="L24" s="1303"/>
      <c r="M24" s="1303"/>
      <c r="N24" s="1303"/>
    </row>
  </sheetData>
  <mergeCells count="27">
    <mergeCell ref="E23:N23"/>
    <mergeCell ref="A5:N5"/>
    <mergeCell ref="A6:N6"/>
    <mergeCell ref="C7:N7"/>
    <mergeCell ref="A8:A11"/>
    <mergeCell ref="B8:C9"/>
    <mergeCell ref="D8:D11"/>
    <mergeCell ref="E8:E11"/>
    <mergeCell ref="F8:K8"/>
    <mergeCell ref="L8:N8"/>
    <mergeCell ref="F9:H9"/>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6" workbookViewId="0">
      <pane xSplit="3" ySplit="6" topLeftCell="D42" activePane="bottomRight" state="frozen"/>
      <selection activeCell="C33" sqref="C33"/>
      <selection pane="topRight" activeCell="C33" sqref="C33"/>
      <selection pane="bottomLeft" activeCell="C33" sqref="C33"/>
      <selection pane="bottomRight" activeCell="L32" sqref="L32"/>
    </sheetView>
  </sheetViews>
  <sheetFormatPr defaultRowHeight="12.75"/>
  <cols>
    <col min="1" max="1" width="3.7109375" style="504" customWidth="1"/>
    <col min="2" max="2" width="3.42578125" style="504" customWidth="1"/>
    <col min="3" max="3" width="28.28515625" style="504" customWidth="1"/>
    <col min="4" max="4" width="7.7109375" style="509" customWidth="1"/>
    <col min="5" max="5" width="9.42578125" style="545" customWidth="1"/>
    <col min="6" max="6" width="12.5703125" style="545" customWidth="1"/>
    <col min="7" max="7" width="9.85546875" style="513" customWidth="1"/>
    <col min="8" max="8" width="15.42578125" style="513" customWidth="1"/>
    <col min="9" max="9" width="11.7109375" style="513" customWidth="1"/>
    <col min="10" max="10" width="13.85546875" style="513" customWidth="1"/>
    <col min="11" max="11" width="12" style="513" customWidth="1"/>
    <col min="12" max="12" width="12.85546875" style="513" customWidth="1"/>
    <col min="13" max="13" width="3.28515625" style="505" customWidth="1"/>
    <col min="14" max="14" width="24.140625" style="504" customWidth="1"/>
    <col min="15" max="15" width="10.5703125" style="504" customWidth="1"/>
    <col min="16" max="16" width="10.42578125" style="504" customWidth="1"/>
    <col min="17" max="17" width="22.28515625" style="504" customWidth="1"/>
    <col min="18" max="18" width="12" style="504" customWidth="1"/>
    <col min="19" max="19" width="4.85546875" style="504" customWidth="1"/>
    <col min="20" max="16384" width="9.140625" style="504"/>
  </cols>
  <sheetData>
    <row r="1" spans="1:19" s="459" customFormat="1" ht="14.25" customHeight="1">
      <c r="B1" s="491" t="s">
        <v>317</v>
      </c>
      <c r="C1" s="492"/>
      <c r="D1" s="492"/>
      <c r="E1" s="492"/>
      <c r="F1" s="493"/>
      <c r="G1" s="493"/>
      <c r="H1" s="1283" t="s">
        <v>318</v>
      </c>
      <c r="I1" s="1283"/>
      <c r="J1" s="1283"/>
      <c r="K1" s="1283"/>
      <c r="L1" s="1283"/>
      <c r="M1" s="494"/>
      <c r="N1" s="241"/>
      <c r="O1" s="457"/>
    </row>
    <row r="2" spans="1:19" s="459" customFormat="1" ht="14.25" customHeight="1">
      <c r="B2" s="495" t="s">
        <v>319</v>
      </c>
      <c r="C2" s="496"/>
      <c r="D2" s="496"/>
      <c r="E2" s="496"/>
      <c r="F2" s="496"/>
      <c r="G2" s="496"/>
      <c r="H2" s="1284" t="s">
        <v>320</v>
      </c>
      <c r="I2" s="1284"/>
      <c r="J2" s="1284"/>
      <c r="K2" s="1284"/>
      <c r="L2" s="1284"/>
      <c r="M2" s="497"/>
      <c r="N2" s="242"/>
      <c r="O2" s="458"/>
    </row>
    <row r="3" spans="1:19" s="459" customFormat="1" ht="14.25" customHeight="1">
      <c r="B3" s="496"/>
      <c r="C3" s="496"/>
      <c r="D3" s="496"/>
      <c r="E3" s="496"/>
      <c r="F3" s="496"/>
      <c r="G3" s="496"/>
      <c r="H3" s="1319" t="s">
        <v>321</v>
      </c>
      <c r="I3" s="1319"/>
      <c r="J3" s="1319"/>
      <c r="K3" s="1319"/>
      <c r="L3" s="1319"/>
      <c r="M3" s="498"/>
      <c r="N3" s="499"/>
      <c r="O3" s="458"/>
    </row>
    <row r="4" spans="1:19" s="500" customFormat="1" ht="27.75" customHeight="1">
      <c r="B4" s="1320" t="s">
        <v>322</v>
      </c>
      <c r="C4" s="1320"/>
      <c r="D4" s="1320"/>
      <c r="E4" s="1320"/>
      <c r="F4" s="1320"/>
      <c r="G4" s="1320"/>
      <c r="H4" s="1320"/>
      <c r="I4" s="1320"/>
      <c r="J4" s="1320"/>
      <c r="K4" s="1320"/>
      <c r="L4" s="1320"/>
      <c r="M4" s="501"/>
    </row>
    <row r="5" spans="1:19" s="500" customFormat="1" ht="15" customHeight="1">
      <c r="B5" s="1318" t="s">
        <v>323</v>
      </c>
      <c r="C5" s="1318"/>
      <c r="D5" s="1318"/>
      <c r="E5" s="1318"/>
      <c r="F5" s="1318"/>
      <c r="G5" s="1318"/>
      <c r="H5" s="1318"/>
      <c r="I5" s="1318"/>
      <c r="J5" s="1318"/>
      <c r="K5" s="1318"/>
      <c r="L5" s="1318"/>
      <c r="M5" s="501"/>
    </row>
    <row r="6" spans="1:19" s="500" customFormat="1" ht="12.75" hidden="1" customHeight="1">
      <c r="B6" s="1318" t="s">
        <v>324</v>
      </c>
      <c r="C6" s="1318"/>
      <c r="D6" s="1318"/>
      <c r="E6" s="1318"/>
      <c r="F6" s="1318"/>
      <c r="G6" s="1318"/>
      <c r="H6" s="1318"/>
      <c r="I6" s="1318"/>
      <c r="J6" s="1318"/>
      <c r="K6" s="1318"/>
      <c r="L6" s="1318"/>
      <c r="M6" s="501"/>
    </row>
    <row r="7" spans="1:19" s="502" customFormat="1" ht="24" hidden="1" customHeight="1">
      <c r="C7" s="1330" t="s">
        <v>325</v>
      </c>
      <c r="D7" s="1330"/>
      <c r="E7" s="1330"/>
      <c r="F7" s="1330"/>
      <c r="G7" s="1330"/>
      <c r="H7" s="1330"/>
      <c r="I7" s="1330"/>
      <c r="J7" s="1330"/>
      <c r="K7" s="1330"/>
      <c r="L7" s="1330"/>
      <c r="M7" s="503"/>
    </row>
    <row r="8" spans="1:19" ht="20.25" customHeight="1">
      <c r="B8" s="1321" t="s">
        <v>37</v>
      </c>
      <c r="C8" s="1322" t="s">
        <v>326</v>
      </c>
      <c r="D8" s="1323" t="s">
        <v>327</v>
      </c>
      <c r="E8" s="1325" t="s">
        <v>168</v>
      </c>
      <c r="F8" s="1325"/>
      <c r="G8" s="1325"/>
      <c r="H8" s="1325"/>
      <c r="I8" s="1325"/>
      <c r="J8" s="1325"/>
      <c r="K8" s="1325"/>
      <c r="L8" s="1325"/>
      <c r="N8" s="1326" t="s">
        <v>328</v>
      </c>
      <c r="O8" s="1326" t="s">
        <v>329</v>
      </c>
      <c r="P8" s="1326" t="s">
        <v>330</v>
      </c>
      <c r="Q8" s="1326" t="s">
        <v>331</v>
      </c>
      <c r="R8" s="1326" t="s">
        <v>332</v>
      </c>
      <c r="S8" s="1326" t="s">
        <v>333</v>
      </c>
    </row>
    <row r="9" spans="1:19" ht="20.25" customHeight="1">
      <c r="B9" s="1321"/>
      <c r="C9" s="1322"/>
      <c r="D9" s="1324"/>
      <c r="E9" s="1325" t="s">
        <v>334</v>
      </c>
      <c r="F9" s="1325"/>
      <c r="G9" s="1329" t="s">
        <v>335</v>
      </c>
      <c r="H9" s="1329"/>
      <c r="I9" s="1329" t="s">
        <v>336</v>
      </c>
      <c r="J9" s="1329"/>
      <c r="K9" s="1329" t="s">
        <v>337</v>
      </c>
      <c r="L9" s="1329"/>
      <c r="N9" s="1327"/>
      <c r="O9" s="1327"/>
      <c r="P9" s="1327"/>
      <c r="Q9" s="1327"/>
      <c r="R9" s="1327"/>
      <c r="S9" s="1327"/>
    </row>
    <row r="10" spans="1:19" ht="20.25" hidden="1" customHeight="1">
      <c r="B10" s="1321"/>
      <c r="C10" s="1322"/>
      <c r="D10" s="506"/>
      <c r="E10" s="507" t="s">
        <v>338</v>
      </c>
      <c r="F10" s="507" t="s">
        <v>339</v>
      </c>
      <c r="G10" s="507" t="s">
        <v>338</v>
      </c>
      <c r="H10" s="507" t="s">
        <v>339</v>
      </c>
      <c r="I10" s="507" t="s">
        <v>338</v>
      </c>
      <c r="J10" s="507" t="s">
        <v>339</v>
      </c>
      <c r="K10" s="507" t="s">
        <v>338</v>
      </c>
      <c r="L10" s="507" t="s">
        <v>339</v>
      </c>
      <c r="N10" s="1328"/>
      <c r="O10" s="1328"/>
      <c r="P10" s="1328"/>
      <c r="Q10" s="1328"/>
      <c r="R10" s="508"/>
      <c r="S10" s="1328"/>
    </row>
    <row r="11" spans="1:19" s="509" customFormat="1">
      <c r="B11" s="510" t="s">
        <v>2</v>
      </c>
      <c r="C11" s="506" t="s">
        <v>3</v>
      </c>
      <c r="D11" s="506"/>
      <c r="E11" s="507">
        <v>1</v>
      </c>
      <c r="F11" s="507">
        <v>1</v>
      </c>
      <c r="G11" s="507">
        <v>2</v>
      </c>
      <c r="H11" s="507">
        <v>2</v>
      </c>
      <c r="I11" s="507">
        <v>3</v>
      </c>
      <c r="J11" s="507">
        <v>3</v>
      </c>
      <c r="K11" s="507">
        <v>4</v>
      </c>
      <c r="L11" s="507">
        <v>4</v>
      </c>
      <c r="M11" s="511"/>
      <c r="N11" s="512"/>
      <c r="O11" s="512"/>
      <c r="P11" s="512"/>
      <c r="Q11" s="512"/>
      <c r="R11" s="512"/>
      <c r="S11" s="512"/>
    </row>
    <row r="12" spans="1:19" ht="18" customHeight="1">
      <c r="A12" s="513" t="str">
        <f>IF(B12&lt;&gt;"","VL","")</f>
        <v>VL</v>
      </c>
      <c r="B12" s="514">
        <f>IF(C12&lt;&gt;"",ROW()-11,"")</f>
        <v>1</v>
      </c>
      <c r="C12" s="515" t="s">
        <v>340</v>
      </c>
      <c r="D12" s="516" t="s">
        <v>341</v>
      </c>
      <c r="E12" s="25">
        <v>450</v>
      </c>
      <c r="F12" s="25">
        <v>15950000</v>
      </c>
      <c r="G12" s="25">
        <f t="array" ref="G12">SUM(IF("1522"&amp;C12=KHN&amp;MH,SL))</f>
        <v>0</v>
      </c>
      <c r="H12" s="25">
        <f t="array" ref="H12">SUM(IF("1522"&amp;C12=KHN&amp;MH,TH))</f>
        <v>0</v>
      </c>
      <c r="I12" s="25">
        <f t="array" ref="I12">SUM(IF("1522"&amp;C12=KHC&amp;MH,SL))</f>
        <v>170</v>
      </c>
      <c r="J12" s="25">
        <f t="array" ref="J12">SUM(IF("1522"&amp;C12=KHC&amp;MH,TH))</f>
        <v>6025555</v>
      </c>
      <c r="K12" s="25">
        <f t="shared" ref="K12:L28" si="0">E12+G12-I12</f>
        <v>280</v>
      </c>
      <c r="L12" s="25">
        <f t="shared" si="0"/>
        <v>9924445</v>
      </c>
      <c r="M12" s="517"/>
      <c r="N12" s="518" t="s">
        <v>342</v>
      </c>
      <c r="O12" s="515" t="s">
        <v>343</v>
      </c>
      <c r="P12" s="519">
        <v>330593933</v>
      </c>
      <c r="Q12" s="519" t="s">
        <v>344</v>
      </c>
      <c r="R12" s="519"/>
      <c r="S12" s="519" t="s">
        <v>339</v>
      </c>
    </row>
    <row r="13" spans="1:19" ht="18" customHeight="1">
      <c r="A13" s="513" t="str">
        <f t="shared" ref="A13:A36" si="1">IF(B13&lt;&gt;"","VL","")</f>
        <v>VL</v>
      </c>
      <c r="B13" s="514">
        <f t="shared" ref="B13:B35" si="2">IF(C13&lt;&gt;"",ROW()-11,"")</f>
        <v>2</v>
      </c>
      <c r="C13" s="520" t="s">
        <v>346</v>
      </c>
      <c r="D13" s="521" t="s">
        <v>341</v>
      </c>
      <c r="E13" s="8">
        <v>525</v>
      </c>
      <c r="F13" s="8">
        <v>24539130</v>
      </c>
      <c r="G13" s="25">
        <f t="array" ref="G13">SUM(IF("1522"&amp;C13=KHN&amp;MH,SL))</f>
        <v>0</v>
      </c>
      <c r="H13" s="25">
        <f t="array" ref="H13">SUM(IF("1522"&amp;C13=KHN&amp;MH,TH))</f>
        <v>0</v>
      </c>
      <c r="I13" s="25">
        <f t="array" ref="I13">SUM(IF("1522"&amp;C13=KHC&amp;MH,SL))</f>
        <v>45</v>
      </c>
      <c r="J13" s="25">
        <f t="array" ref="J13">SUM(IF("1522"&amp;C13=KHC&amp;MH,TH))</f>
        <v>2103354</v>
      </c>
      <c r="K13" s="8">
        <f t="shared" si="0"/>
        <v>480</v>
      </c>
      <c r="L13" s="8">
        <f t="shared" si="0"/>
        <v>22435776</v>
      </c>
      <c r="M13" s="517"/>
      <c r="N13" s="520" t="s">
        <v>347</v>
      </c>
      <c r="O13" s="519" t="s">
        <v>343</v>
      </c>
      <c r="P13" s="519">
        <v>320775664</v>
      </c>
      <c r="Q13" s="519" t="s">
        <v>348</v>
      </c>
      <c r="R13" s="519"/>
      <c r="S13" s="519" t="s">
        <v>339</v>
      </c>
    </row>
    <row r="14" spans="1:19" ht="18" customHeight="1">
      <c r="A14" s="513" t="str">
        <f t="shared" si="1"/>
        <v>VL</v>
      </c>
      <c r="B14" s="514">
        <f t="shared" si="2"/>
        <v>3</v>
      </c>
      <c r="C14" s="520" t="s">
        <v>349</v>
      </c>
      <c r="D14" s="521" t="s">
        <v>341</v>
      </c>
      <c r="E14" s="8">
        <v>300</v>
      </c>
      <c r="F14" s="8">
        <v>3500002</v>
      </c>
      <c r="G14" s="25">
        <f t="array" ref="G14">SUM(IF("1522"&amp;C14=KHN&amp;MH,SL))</f>
        <v>4000</v>
      </c>
      <c r="H14" s="25">
        <f t="array" ref="H14">SUM(IF("1522"&amp;C14=KHN&amp;MH,TH))</f>
        <v>56285715</v>
      </c>
      <c r="I14" s="25">
        <f t="array" ref="I14">SUM(IF("1522"&amp;C14=KHC&amp;MH,SL))</f>
        <v>450</v>
      </c>
      <c r="J14" s="25">
        <f t="array" ref="J14">SUM(IF("1522"&amp;C14=KHC&amp;MH,TH))</f>
        <v>5535716</v>
      </c>
      <c r="K14" s="8">
        <f t="shared" si="0"/>
        <v>3850</v>
      </c>
      <c r="L14" s="8">
        <f t="shared" si="0"/>
        <v>54250001</v>
      </c>
      <c r="M14" s="517"/>
      <c r="N14" s="520" t="s">
        <v>350</v>
      </c>
      <c r="O14" s="522" t="s">
        <v>343</v>
      </c>
      <c r="P14" s="519">
        <v>320892558</v>
      </c>
      <c r="Q14" s="519" t="s">
        <v>351</v>
      </c>
      <c r="R14" s="519"/>
      <c r="S14" s="519" t="s">
        <v>339</v>
      </c>
    </row>
    <row r="15" spans="1:19" ht="18" customHeight="1">
      <c r="A15" s="513" t="str">
        <f t="shared" si="1"/>
        <v>VL</v>
      </c>
      <c r="B15" s="514">
        <f t="shared" si="2"/>
        <v>4</v>
      </c>
      <c r="C15" s="520" t="s">
        <v>225</v>
      </c>
      <c r="D15" s="521" t="s">
        <v>341</v>
      </c>
      <c r="E15" s="8">
        <v>495</v>
      </c>
      <c r="F15" s="8">
        <v>10879997</v>
      </c>
      <c r="G15" s="25">
        <f t="array" ref="G15">SUM(IF("1522"&amp;C15=KHN&amp;MH,SL))</f>
        <v>450</v>
      </c>
      <c r="H15" s="25">
        <f t="array" ref="H15">SUM(IF("1522"&amp;C15=KHN&amp;MH,TH))</f>
        <v>8286363</v>
      </c>
      <c r="I15" s="25">
        <f t="array" ref="I15">SUM(IF("1522"&amp;C15=KHC&amp;MH,SL))</f>
        <v>345</v>
      </c>
      <c r="J15" s="25">
        <f t="array" ref="J15">SUM(IF("1522"&amp;C15=KHC&amp;MH,TH))</f>
        <v>7583028</v>
      </c>
      <c r="K15" s="8">
        <f t="shared" si="0"/>
        <v>600</v>
      </c>
      <c r="L15" s="8">
        <f t="shared" si="0"/>
        <v>11583332</v>
      </c>
      <c r="M15" s="517"/>
      <c r="N15" s="520" t="s">
        <v>352</v>
      </c>
      <c r="O15" s="522" t="s">
        <v>343</v>
      </c>
      <c r="P15" s="519">
        <v>320892578</v>
      </c>
      <c r="Q15" s="519" t="s">
        <v>353</v>
      </c>
      <c r="R15" s="519"/>
      <c r="S15" s="519" t="s">
        <v>339</v>
      </c>
    </row>
    <row r="16" spans="1:19" ht="18" customHeight="1">
      <c r="A16" s="513" t="str">
        <f t="shared" si="1"/>
        <v>VL</v>
      </c>
      <c r="B16" s="514">
        <f t="shared" si="2"/>
        <v>5</v>
      </c>
      <c r="C16" s="520" t="s">
        <v>354</v>
      </c>
      <c r="D16" s="521" t="s">
        <v>341</v>
      </c>
      <c r="E16" s="8">
        <v>50</v>
      </c>
      <c r="F16" s="8">
        <v>175000</v>
      </c>
      <c r="G16" s="25">
        <f t="array" ref="G16">SUM(IF("1522"&amp;C16=KHN&amp;MH,SL))</f>
        <v>0</v>
      </c>
      <c r="H16" s="25">
        <f t="array" ref="H16">SUM(IF("1522"&amp;C16=KHN&amp;MH,TH))</f>
        <v>0</v>
      </c>
      <c r="I16" s="25">
        <f t="array" ref="I16">SUM(IF("1522"&amp;C16=KHC&amp;MH,SL))</f>
        <v>0</v>
      </c>
      <c r="J16" s="25">
        <f t="array" ref="J16">SUM(IF("1522"&amp;C16=KHC&amp;MH,TH))</f>
        <v>0</v>
      </c>
      <c r="K16" s="8">
        <f t="shared" si="0"/>
        <v>50</v>
      </c>
      <c r="L16" s="8">
        <f t="shared" si="0"/>
        <v>175000</v>
      </c>
      <c r="M16" s="517"/>
      <c r="N16" s="520" t="s">
        <v>355</v>
      </c>
      <c r="O16" s="522" t="s">
        <v>343</v>
      </c>
      <c r="P16" s="519">
        <v>321179471</v>
      </c>
      <c r="Q16" s="519" t="s">
        <v>356</v>
      </c>
      <c r="R16" s="519"/>
      <c r="S16" s="519" t="s">
        <v>339</v>
      </c>
    </row>
    <row r="17" spans="1:20" ht="18" customHeight="1">
      <c r="A17" s="513" t="str">
        <f t="shared" si="1"/>
        <v>VL</v>
      </c>
      <c r="B17" s="514">
        <f t="shared" si="2"/>
        <v>6</v>
      </c>
      <c r="C17" s="523" t="s">
        <v>357</v>
      </c>
      <c r="D17" s="524" t="s">
        <v>341</v>
      </c>
      <c r="E17" s="449">
        <v>5400</v>
      </c>
      <c r="F17" s="449">
        <v>80459999</v>
      </c>
      <c r="G17" s="25">
        <f t="array" ref="G17">SUM(IF("1522"&amp;C17=KHN&amp;MH,SL))</f>
        <v>5400</v>
      </c>
      <c r="H17" s="25">
        <f t="array" ref="H17">SUM(IF("1522"&amp;C17=KHN&amp;MH,TH))</f>
        <v>77760000</v>
      </c>
      <c r="I17" s="25">
        <f t="array" ref="I17">SUM(IF("1522"&amp;C17=KHC&amp;MH,SL))</f>
        <v>5400</v>
      </c>
      <c r="J17" s="25">
        <f t="array" ref="J17">SUM(IF("1522"&amp;C17=KHC&amp;MH,TH))</f>
        <v>80459999</v>
      </c>
      <c r="K17" s="8">
        <f t="shared" si="0"/>
        <v>5400</v>
      </c>
      <c r="L17" s="8">
        <f t="shared" si="0"/>
        <v>77760000</v>
      </c>
      <c r="M17" s="517"/>
      <c r="N17" s="520" t="s">
        <v>358</v>
      </c>
      <c r="O17" s="522" t="s">
        <v>343</v>
      </c>
      <c r="P17" s="519">
        <v>324478047</v>
      </c>
      <c r="Q17" s="519" t="s">
        <v>359</v>
      </c>
      <c r="R17" s="519"/>
      <c r="S17" s="519" t="s">
        <v>339</v>
      </c>
    </row>
    <row r="18" spans="1:20" ht="18" customHeight="1">
      <c r="A18" s="513" t="str">
        <f t="shared" si="1"/>
        <v>VL</v>
      </c>
      <c r="B18" s="514">
        <f t="shared" si="2"/>
        <v>7</v>
      </c>
      <c r="C18" s="523" t="s">
        <v>360</v>
      </c>
      <c r="D18" s="525" t="s">
        <v>361</v>
      </c>
      <c r="E18" s="449">
        <v>950</v>
      </c>
      <c r="F18" s="449">
        <v>8075000</v>
      </c>
      <c r="G18" s="25">
        <f t="array" ref="G18">SUM(IF("1522"&amp;C18=KHN&amp;MH,SL))</f>
        <v>600</v>
      </c>
      <c r="H18" s="25">
        <f t="array" ref="H18">SUM(IF("1522"&amp;C18=KHN&amp;MH,TH))</f>
        <v>5100000</v>
      </c>
      <c r="I18" s="25">
        <f t="array" ref="I18">SUM(IF("1522"&amp;C18=KHC&amp;MH,SL))</f>
        <v>800</v>
      </c>
      <c r="J18" s="25">
        <f t="array" ref="J18">SUM(IF("1522"&amp;C18=KHC&amp;MH,TH))</f>
        <v>6800000</v>
      </c>
      <c r="K18" s="8">
        <f t="shared" si="0"/>
        <v>750</v>
      </c>
      <c r="L18" s="8">
        <f t="shared" si="0"/>
        <v>6375000</v>
      </c>
      <c r="M18" s="517"/>
      <c r="N18" s="520" t="s">
        <v>362</v>
      </c>
      <c r="O18" s="522" t="s">
        <v>343</v>
      </c>
      <c r="P18" s="519">
        <v>321413712</v>
      </c>
      <c r="Q18" s="519" t="s">
        <v>363</v>
      </c>
      <c r="R18" s="519"/>
      <c r="S18" s="519" t="s">
        <v>339</v>
      </c>
    </row>
    <row r="19" spans="1:20" ht="18" customHeight="1">
      <c r="A19" s="513" t="str">
        <f t="shared" si="1"/>
        <v>VL</v>
      </c>
      <c r="B19" s="514">
        <f t="shared" si="2"/>
        <v>8</v>
      </c>
      <c r="C19" s="523" t="s">
        <v>364</v>
      </c>
      <c r="D19" s="525" t="s">
        <v>341</v>
      </c>
      <c r="E19" s="449">
        <v>1646.6999999999971</v>
      </c>
      <c r="F19" s="449">
        <v>531969</v>
      </c>
      <c r="G19" s="25">
        <f t="array" ref="G19">SUM(IF("1522"&amp;C19=KHN&amp;MH,SL))</f>
        <v>1000</v>
      </c>
      <c r="H19" s="25">
        <f t="array" ref="H19">SUM(IF("1522"&amp;C19=KHN&amp;MH,TH))</f>
        <v>33000000</v>
      </c>
      <c r="I19" s="25">
        <f t="array" ref="I19">SUM(IF("1522"&amp;C19=KHC&amp;MH,SL))</f>
        <v>1947</v>
      </c>
      <c r="J19" s="25">
        <f t="array" ref="J19">SUM(IF("1522"&amp;C19=KHC&amp;MH,TH))</f>
        <v>10431969</v>
      </c>
      <c r="K19" s="449">
        <f t="shared" si="0"/>
        <v>699.69999999999709</v>
      </c>
      <c r="L19" s="449">
        <f t="shared" si="0"/>
        <v>23100000</v>
      </c>
      <c r="M19" s="517"/>
      <c r="N19" s="520" t="s">
        <v>365</v>
      </c>
      <c r="O19" s="515" t="s">
        <v>343</v>
      </c>
      <c r="P19" s="519">
        <v>320744085</v>
      </c>
      <c r="Q19" s="519" t="s">
        <v>348</v>
      </c>
      <c r="R19" s="519"/>
      <c r="S19" s="519" t="s">
        <v>339</v>
      </c>
    </row>
    <row r="20" spans="1:20" ht="18" customHeight="1">
      <c r="A20" s="513" t="str">
        <f t="shared" si="1"/>
        <v>VL</v>
      </c>
      <c r="B20" s="514">
        <f t="shared" si="2"/>
        <v>9</v>
      </c>
      <c r="C20" s="523" t="s">
        <v>657</v>
      </c>
      <c r="D20" s="528" t="s">
        <v>383</v>
      </c>
      <c r="E20" s="449"/>
      <c r="F20" s="449"/>
      <c r="G20" s="25">
        <f t="array" ref="G20">SUM(IF("1522"&amp;C20=KHN&amp;MH,SL))</f>
        <v>2500</v>
      </c>
      <c r="H20" s="25">
        <f t="array" ref="H20">SUM(IF("1522"&amp;C20=KHN&amp;MH,TH))</f>
        <v>35000000</v>
      </c>
      <c r="I20" s="25">
        <f t="array" ref="I20">SUM(IF("1522"&amp;C20=KHC&amp;MH,SL))</f>
        <v>2500</v>
      </c>
      <c r="J20" s="25">
        <f t="array" ref="J20">SUM(IF("1522"&amp;C20=KHC&amp;MH,TH))</f>
        <v>35000000</v>
      </c>
      <c r="K20" s="449">
        <f t="shared" ref="K20:K23" si="3">E20+G20-I20</f>
        <v>0</v>
      </c>
      <c r="L20" s="449">
        <f t="shared" ref="L20:L23" si="4">F20+H20-J20</f>
        <v>0</v>
      </c>
      <c r="M20" s="517"/>
      <c r="N20" s="520" t="s">
        <v>368</v>
      </c>
      <c r="O20" s="515" t="s">
        <v>343</v>
      </c>
      <c r="P20" s="519">
        <v>320807672</v>
      </c>
      <c r="Q20" s="519" t="s">
        <v>369</v>
      </c>
      <c r="R20" s="519"/>
      <c r="S20" s="519" t="s">
        <v>339</v>
      </c>
    </row>
    <row r="21" spans="1:20" ht="18" customHeight="1">
      <c r="A21" s="513" t="str">
        <f t="shared" si="1"/>
        <v>VL</v>
      </c>
      <c r="B21" s="514">
        <f t="shared" si="2"/>
        <v>10</v>
      </c>
      <c r="C21" s="970" t="s">
        <v>366</v>
      </c>
      <c r="D21" s="971" t="s">
        <v>367</v>
      </c>
      <c r="E21" s="972">
        <v>93800</v>
      </c>
      <c r="F21" s="972">
        <v>28140000</v>
      </c>
      <c r="G21" s="973">
        <f t="array" ref="G21">SUM(IF("1522"&amp;C21=KHN&amp;MH,SL))</f>
        <v>0</v>
      </c>
      <c r="H21" s="973">
        <f t="array" ref="H21">SUM(IF("1522"&amp;C21=KHN&amp;MH,TH))</f>
        <v>0</v>
      </c>
      <c r="I21" s="973">
        <f t="array" ref="I21">SUM(IF("1522"&amp;C21=KHC&amp;MH,SL))</f>
        <v>0</v>
      </c>
      <c r="J21" s="973">
        <f t="array" ref="J21">SUM(IF("1522"&amp;C21=KHC&amp;MH,TH))</f>
        <v>0</v>
      </c>
      <c r="K21" s="974">
        <f t="shared" si="3"/>
        <v>93800</v>
      </c>
      <c r="L21" s="974">
        <f t="shared" si="4"/>
        <v>28140000</v>
      </c>
      <c r="M21" s="517"/>
      <c r="N21" s="520" t="s">
        <v>371</v>
      </c>
      <c r="O21" s="515" t="s">
        <v>343</v>
      </c>
      <c r="P21" s="519">
        <v>320044169</v>
      </c>
      <c r="Q21" s="519" t="s">
        <v>372</v>
      </c>
      <c r="R21" s="519"/>
      <c r="S21" s="519" t="s">
        <v>339</v>
      </c>
    </row>
    <row r="22" spans="1:20" ht="18" customHeight="1">
      <c r="A22" s="513" t="str">
        <f t="shared" si="1"/>
        <v>VL</v>
      </c>
      <c r="B22" s="514">
        <f t="shared" si="2"/>
        <v>11</v>
      </c>
      <c r="C22" s="975" t="s">
        <v>370</v>
      </c>
      <c r="D22" s="971" t="s">
        <v>367</v>
      </c>
      <c r="E22" s="972">
        <v>48700</v>
      </c>
      <c r="F22" s="972">
        <v>19480000</v>
      </c>
      <c r="G22" s="973">
        <f t="array" ref="G22">SUM(IF("1522"&amp;C22=KHN&amp;MH,SL))</f>
        <v>0</v>
      </c>
      <c r="H22" s="973">
        <f t="array" ref="H22">SUM(IF("1522"&amp;C22=KHN&amp;MH,TH))</f>
        <v>0</v>
      </c>
      <c r="I22" s="973">
        <f t="array" ref="I22">SUM(IF("1522"&amp;C22=KHC&amp;MH,SL))</f>
        <v>0</v>
      </c>
      <c r="J22" s="973">
        <f t="array" ref="J22">SUM(IF("1522"&amp;C22=KHC&amp;MH,TH))</f>
        <v>0</v>
      </c>
      <c r="K22" s="974">
        <f t="shared" si="3"/>
        <v>48700</v>
      </c>
      <c r="L22" s="974">
        <f t="shared" si="4"/>
        <v>19480000</v>
      </c>
      <c r="M22" s="517"/>
      <c r="N22" s="526" t="s">
        <v>374</v>
      </c>
      <c r="O22" s="515" t="s">
        <v>343</v>
      </c>
      <c r="P22" s="519">
        <v>320881573</v>
      </c>
      <c r="Q22" s="519" t="s">
        <v>369</v>
      </c>
      <c r="R22" s="519"/>
      <c r="S22" s="519" t="s">
        <v>339</v>
      </c>
    </row>
    <row r="23" spans="1:20" ht="18" customHeight="1">
      <c r="A23" s="513" t="str">
        <f t="shared" si="1"/>
        <v>VL</v>
      </c>
      <c r="B23" s="514">
        <f t="shared" si="2"/>
        <v>12</v>
      </c>
      <c r="C23" s="975" t="s">
        <v>373</v>
      </c>
      <c r="D23" s="971" t="s">
        <v>367</v>
      </c>
      <c r="E23" s="972">
        <v>12300</v>
      </c>
      <c r="F23" s="972">
        <v>2890500</v>
      </c>
      <c r="G23" s="973">
        <f t="array" ref="G23">SUM(IF("1522"&amp;C23=KHN&amp;MH,SL))</f>
        <v>0</v>
      </c>
      <c r="H23" s="973">
        <f t="array" ref="H23">SUM(IF("1522"&amp;C23=KHN&amp;MH,TH))</f>
        <v>0</v>
      </c>
      <c r="I23" s="973">
        <f t="array" ref="I23">SUM(IF("1522"&amp;C23=KHC&amp;MH,SL))</f>
        <v>0</v>
      </c>
      <c r="J23" s="973">
        <f t="array" ref="J23">SUM(IF("1522"&amp;C23=KHC&amp;MH,TH))</f>
        <v>0</v>
      </c>
      <c r="K23" s="974">
        <f t="shared" si="3"/>
        <v>12300</v>
      </c>
      <c r="L23" s="974">
        <f t="shared" si="4"/>
        <v>2890500</v>
      </c>
      <c r="M23" s="517"/>
      <c r="N23" s="520" t="s">
        <v>376</v>
      </c>
      <c r="O23" s="515" t="s">
        <v>343</v>
      </c>
      <c r="P23" s="519">
        <v>320876558</v>
      </c>
      <c r="Q23" s="519" t="s">
        <v>377</v>
      </c>
      <c r="R23" s="519"/>
      <c r="S23" s="519" t="s">
        <v>339</v>
      </c>
    </row>
    <row r="24" spans="1:20" ht="18" customHeight="1">
      <c r="A24" s="513" t="str">
        <f t="shared" si="1"/>
        <v>VL</v>
      </c>
      <c r="B24" s="514">
        <f t="shared" si="2"/>
        <v>13</v>
      </c>
      <c r="C24" s="975" t="s">
        <v>375</v>
      </c>
      <c r="D24" s="971" t="s">
        <v>367</v>
      </c>
      <c r="E24" s="972">
        <v>295214</v>
      </c>
      <c r="F24" s="972">
        <v>102435290</v>
      </c>
      <c r="G24" s="973">
        <f t="array" ref="G24">SUM(IF("1522"&amp;C24=KHN&amp;MH,SL))</f>
        <v>0</v>
      </c>
      <c r="H24" s="973">
        <f t="array" ref="H24">SUM(IF("1522"&amp;C24=KHN&amp;MH,TH))</f>
        <v>0</v>
      </c>
      <c r="I24" s="973">
        <f t="array" ref="I24">SUM(IF("1522"&amp;C24=KHC&amp;MH,SL))</f>
        <v>0</v>
      </c>
      <c r="J24" s="973">
        <f t="array" ref="J24">SUM(IF("1522"&amp;C24=KHC&amp;MH,TH))</f>
        <v>0</v>
      </c>
      <c r="K24" s="974">
        <f t="shared" si="0"/>
        <v>295214</v>
      </c>
      <c r="L24" s="974">
        <f t="shared" si="0"/>
        <v>102435290</v>
      </c>
      <c r="M24" s="517"/>
      <c r="N24" s="520" t="s">
        <v>379</v>
      </c>
      <c r="O24" s="522" t="s">
        <v>380</v>
      </c>
      <c r="P24" s="519">
        <v>250746332</v>
      </c>
      <c r="Q24" s="519" t="s">
        <v>381</v>
      </c>
      <c r="R24" s="519"/>
      <c r="S24" s="519" t="s">
        <v>339</v>
      </c>
    </row>
    <row r="25" spans="1:20" ht="18" customHeight="1">
      <c r="A25" s="513" t="str">
        <f t="shared" si="1"/>
        <v>VL</v>
      </c>
      <c r="B25" s="514">
        <f t="shared" si="2"/>
        <v>14</v>
      </c>
      <c r="C25" s="975" t="s">
        <v>378</v>
      </c>
      <c r="D25" s="971" t="s">
        <v>367</v>
      </c>
      <c r="E25" s="972">
        <v>6600</v>
      </c>
      <c r="F25" s="972">
        <v>3597000</v>
      </c>
      <c r="G25" s="973">
        <f t="array" ref="G25">SUM(IF("1522"&amp;C25=KHN&amp;MH,SL))</f>
        <v>0</v>
      </c>
      <c r="H25" s="973">
        <f t="array" ref="H25">SUM(IF("1522"&amp;C25=KHN&amp;MH,TH))</f>
        <v>0</v>
      </c>
      <c r="I25" s="973">
        <f t="array" ref="I25">SUM(IF("1522"&amp;C25=KHC&amp;MH,SL))</f>
        <v>0</v>
      </c>
      <c r="J25" s="973">
        <f t="array" ref="J25">SUM(IF("1522"&amp;C25=KHC&amp;MH,TH))</f>
        <v>0</v>
      </c>
      <c r="K25" s="972">
        <f t="shared" si="0"/>
        <v>6600</v>
      </c>
      <c r="L25" s="972">
        <f t="shared" si="0"/>
        <v>3597000</v>
      </c>
      <c r="M25" s="517"/>
      <c r="N25" s="520" t="s">
        <v>384</v>
      </c>
      <c r="O25" s="522" t="s">
        <v>380</v>
      </c>
      <c r="P25" s="519">
        <v>260682094</v>
      </c>
      <c r="Q25" s="519" t="s">
        <v>381</v>
      </c>
      <c r="R25" s="519"/>
      <c r="S25" s="519" t="s">
        <v>339</v>
      </c>
    </row>
    <row r="26" spans="1:20" ht="18" customHeight="1">
      <c r="A26" s="513" t="str">
        <f t="shared" si="1"/>
        <v>VL</v>
      </c>
      <c r="B26" s="514">
        <f t="shared" si="2"/>
        <v>15</v>
      </c>
      <c r="C26" s="527" t="s">
        <v>382</v>
      </c>
      <c r="D26" s="528" t="s">
        <v>383</v>
      </c>
      <c r="E26" s="529">
        <v>9928</v>
      </c>
      <c r="F26" s="529">
        <v>57392400</v>
      </c>
      <c r="G26" s="25">
        <f t="array" ref="G26">SUM(IF("1522"&amp;C26=KHN&amp;MH,SL))</f>
        <v>0</v>
      </c>
      <c r="H26" s="25">
        <f t="array" ref="H26">SUM(IF("1522"&amp;C26=KHN&amp;MH,TH))</f>
        <v>0</v>
      </c>
      <c r="I26" s="25">
        <f t="array" ref="I26">SUM(IF("1522"&amp;C26=KHC&amp;MH,SL))</f>
        <v>2100</v>
      </c>
      <c r="J26" s="25">
        <f t="array" ref="J26">SUM(IF("1522"&amp;C26=KHC&amp;MH,TH))</f>
        <v>12139811</v>
      </c>
      <c r="K26" s="530">
        <f t="shared" si="0"/>
        <v>7828</v>
      </c>
      <c r="L26" s="530">
        <f t="shared" si="0"/>
        <v>45252589</v>
      </c>
      <c r="M26" s="517"/>
      <c r="N26" s="520" t="s">
        <v>386</v>
      </c>
      <c r="O26" s="522" t="s">
        <v>380</v>
      </c>
      <c r="P26" s="519">
        <v>260690910</v>
      </c>
      <c r="Q26" s="519" t="s">
        <v>387</v>
      </c>
      <c r="R26" s="519"/>
      <c r="S26" s="519" t="s">
        <v>339</v>
      </c>
    </row>
    <row r="27" spans="1:20" ht="18" customHeight="1">
      <c r="A27" s="513" t="str">
        <f t="shared" si="1"/>
        <v>VL</v>
      </c>
      <c r="B27" s="514">
        <f t="shared" si="2"/>
        <v>16</v>
      </c>
      <c r="C27" s="527" t="s">
        <v>385</v>
      </c>
      <c r="D27" s="528" t="s">
        <v>383</v>
      </c>
      <c r="E27" s="529">
        <v>13938</v>
      </c>
      <c r="F27" s="529">
        <v>62251600</v>
      </c>
      <c r="G27" s="25">
        <f t="array" ref="G27">SUM(IF("1522"&amp;C27=KHN&amp;MH,SL))</f>
        <v>0</v>
      </c>
      <c r="H27" s="25">
        <f t="array" ref="H27">SUM(IF("1522"&amp;C27=KHN&amp;MH,TH))</f>
        <v>0</v>
      </c>
      <c r="I27" s="25">
        <f t="array" ref="I27">SUM(IF("1522"&amp;C27=KHC&amp;MH,SL))</f>
        <v>2700</v>
      </c>
      <c r="J27" s="25">
        <f t="array" ref="J27">SUM(IF("1522"&amp;C27=KHC&amp;MH,TH))</f>
        <v>12059070</v>
      </c>
      <c r="K27" s="530">
        <f t="shared" si="0"/>
        <v>11238</v>
      </c>
      <c r="L27" s="530">
        <f t="shared" si="0"/>
        <v>50192530</v>
      </c>
      <c r="M27" s="517"/>
      <c r="N27" s="520" t="s">
        <v>389</v>
      </c>
      <c r="O27" s="522" t="s">
        <v>380</v>
      </c>
      <c r="P27" s="519">
        <v>260178873</v>
      </c>
      <c r="Q27" s="519" t="s">
        <v>390</v>
      </c>
      <c r="R27" s="519"/>
      <c r="S27" s="519" t="s">
        <v>339</v>
      </c>
    </row>
    <row r="28" spans="1:20" ht="18" customHeight="1">
      <c r="A28" s="513" t="str">
        <f t="shared" si="1"/>
        <v>VL</v>
      </c>
      <c r="B28" s="514">
        <f t="shared" si="2"/>
        <v>17</v>
      </c>
      <c r="C28" s="527" t="s">
        <v>388</v>
      </c>
      <c r="D28" s="528" t="s">
        <v>383</v>
      </c>
      <c r="E28" s="529">
        <v>7380</v>
      </c>
      <c r="F28" s="529">
        <v>106222000</v>
      </c>
      <c r="G28" s="25">
        <f t="array" ref="G28">SUM(IF("1522"&amp;C28=KHN&amp;MH,SL))</f>
        <v>0</v>
      </c>
      <c r="H28" s="25">
        <f t="array" ref="H28">SUM(IF("1522"&amp;C28=KHN&amp;MH,TH))</f>
        <v>0</v>
      </c>
      <c r="I28" s="25">
        <f t="array" ref="I28">SUM(IF("1522"&amp;C28=KHC&amp;MH,SL))</f>
        <v>0</v>
      </c>
      <c r="J28" s="25">
        <f t="array" ref="J28">SUM(IF("1522"&amp;C28=KHC&amp;MH,TH))</f>
        <v>0</v>
      </c>
      <c r="K28" s="530">
        <f t="shared" si="0"/>
        <v>7380</v>
      </c>
      <c r="L28" s="530">
        <f t="shared" si="0"/>
        <v>106222000</v>
      </c>
      <c r="M28" s="517"/>
      <c r="N28" s="520" t="s">
        <v>392</v>
      </c>
      <c r="O28" s="522" t="s">
        <v>380</v>
      </c>
      <c r="P28" s="519">
        <v>260850613</v>
      </c>
      <c r="Q28" s="519" t="s">
        <v>390</v>
      </c>
      <c r="R28" s="519"/>
      <c r="S28" s="519" t="s">
        <v>339</v>
      </c>
      <c r="T28" s="531"/>
    </row>
    <row r="29" spans="1:20" s="531" customFormat="1" ht="18" customHeight="1">
      <c r="A29" s="513" t="str">
        <f t="shared" si="1"/>
        <v>VL</v>
      </c>
      <c r="B29" s="514">
        <f t="shared" si="2"/>
        <v>18</v>
      </c>
      <c r="C29" s="527" t="s">
        <v>391</v>
      </c>
      <c r="D29" s="528" t="s">
        <v>383</v>
      </c>
      <c r="E29" s="529"/>
      <c r="F29" s="529"/>
      <c r="G29" s="25">
        <f t="array" ref="G29">SUM(IF("1522"&amp;C29=KHN&amp;MH,SL))</f>
        <v>2165</v>
      </c>
      <c r="H29" s="25">
        <f t="array" ref="H29">SUM(IF("1522"&amp;C29=KHN&amp;MH,TH))</f>
        <v>25980000</v>
      </c>
      <c r="I29" s="25">
        <f t="array" ref="I29">SUM(IF("1522"&amp;C29=KHC&amp;MH,SL))</f>
        <v>2165</v>
      </c>
      <c r="J29" s="25">
        <f t="array" ref="J29">SUM(IF("1522"&amp;C29=KHC&amp;MH,TH))</f>
        <v>25980000</v>
      </c>
      <c r="K29" s="530">
        <f t="shared" ref="K29:L34" si="5">E29+G29-I29</f>
        <v>0</v>
      </c>
      <c r="L29" s="530">
        <f t="shared" si="5"/>
        <v>0</v>
      </c>
      <c r="M29" s="517"/>
      <c r="N29" s="520" t="s">
        <v>394</v>
      </c>
      <c r="O29" s="522" t="s">
        <v>380</v>
      </c>
      <c r="P29" s="519">
        <v>280853616</v>
      </c>
      <c r="Q29" s="519" t="s">
        <v>390</v>
      </c>
      <c r="R29" s="519"/>
      <c r="S29" s="519" t="s">
        <v>339</v>
      </c>
    </row>
    <row r="30" spans="1:20" s="531" customFormat="1" ht="18" customHeight="1">
      <c r="A30" s="513" t="str">
        <f t="shared" si="1"/>
        <v>VL</v>
      </c>
      <c r="B30" s="514">
        <f>IF(C30&lt;&gt;"",ROW()-11,"")</f>
        <v>19</v>
      </c>
      <c r="C30" s="527" t="s">
        <v>393</v>
      </c>
      <c r="D30" s="528" t="s">
        <v>383</v>
      </c>
      <c r="E30" s="529"/>
      <c r="F30" s="529"/>
      <c r="G30" s="25">
        <f t="array" ref="G30">SUM(IF("1522"&amp;C30=KHN&amp;MH,SL))</f>
        <v>525</v>
      </c>
      <c r="H30" s="25">
        <f t="array" ref="H30">SUM(IF("1522"&amp;C30=KHN&amp;MH,TH))</f>
        <v>4987500</v>
      </c>
      <c r="I30" s="25">
        <f t="array" ref="I30">SUM(IF("1522"&amp;C30=KHC&amp;MH,SL))</f>
        <v>525</v>
      </c>
      <c r="J30" s="25">
        <f t="array" ref="J30">SUM(IF("1522"&amp;C30=KHC&amp;MH,TH))</f>
        <v>4987500</v>
      </c>
      <c r="K30" s="529">
        <f t="shared" si="5"/>
        <v>0</v>
      </c>
      <c r="L30" s="529">
        <f t="shared" si="5"/>
        <v>0</v>
      </c>
      <c r="M30" s="517"/>
      <c r="N30" s="520" t="s">
        <v>396</v>
      </c>
      <c r="O30" s="522" t="s">
        <v>380</v>
      </c>
      <c r="P30" s="519">
        <v>261005222</v>
      </c>
      <c r="Q30" s="519" t="s">
        <v>397</v>
      </c>
      <c r="R30" s="519"/>
      <c r="S30" s="519" t="s">
        <v>339</v>
      </c>
    </row>
    <row r="31" spans="1:20" s="531" customFormat="1" ht="18" customHeight="1">
      <c r="A31" s="513" t="str">
        <f t="shared" si="1"/>
        <v>VL</v>
      </c>
      <c r="B31" s="514">
        <f t="shared" si="2"/>
        <v>20</v>
      </c>
      <c r="C31" s="527" t="s">
        <v>395</v>
      </c>
      <c r="D31" s="528" t="s">
        <v>383</v>
      </c>
      <c r="E31" s="529"/>
      <c r="F31" s="529"/>
      <c r="G31" s="25">
        <f t="array" ref="G31">SUM(IF("1522"&amp;C31=KHN&amp;MH,SL))</f>
        <v>400</v>
      </c>
      <c r="H31" s="25">
        <f t="array" ref="H31">SUM(IF("1522"&amp;C31=KHN&amp;MH,TH))</f>
        <v>6800000</v>
      </c>
      <c r="I31" s="25">
        <f t="array" ref="I31">SUM(IF("1522"&amp;C31=KHC&amp;MH,SL))</f>
        <v>400</v>
      </c>
      <c r="J31" s="25">
        <f t="array" ref="J31">SUM(IF("1522"&amp;C31=KHC&amp;MH,TH))</f>
        <v>6800000</v>
      </c>
      <c r="K31" s="529">
        <f t="shared" si="5"/>
        <v>0</v>
      </c>
      <c r="L31" s="529">
        <f t="shared" si="5"/>
        <v>0</v>
      </c>
      <c r="M31" s="517"/>
      <c r="N31" s="520" t="s">
        <v>399</v>
      </c>
      <c r="O31" s="522" t="s">
        <v>400</v>
      </c>
      <c r="P31" s="519">
        <v>370047763</v>
      </c>
      <c r="Q31" s="519" t="s">
        <v>401</v>
      </c>
      <c r="R31" s="519"/>
      <c r="S31" s="519" t="s">
        <v>345</v>
      </c>
      <c r="T31" s="504"/>
    </row>
    <row r="32" spans="1:20" ht="18.75" customHeight="1">
      <c r="A32" s="513" t="str">
        <f t="shared" si="1"/>
        <v>VL</v>
      </c>
      <c r="B32" s="514">
        <f t="shared" si="2"/>
        <v>21</v>
      </c>
      <c r="C32" s="527" t="s">
        <v>1103</v>
      </c>
      <c r="D32" s="528" t="s">
        <v>383</v>
      </c>
      <c r="E32" s="529"/>
      <c r="F32" s="529"/>
      <c r="G32" s="25">
        <f t="array" ref="G32">SUM(IF("1522"&amp;C32=KHN&amp;MH,SL))</f>
        <v>400</v>
      </c>
      <c r="H32" s="25">
        <f t="array" ref="H32">SUM(IF("1522"&amp;C32=KHN&amp;MH,TH))</f>
        <v>1000000</v>
      </c>
      <c r="I32" s="25">
        <f t="array" ref="I32">SUM(IF("1522"&amp;C32=KHC&amp;MH,SL))</f>
        <v>400</v>
      </c>
      <c r="J32" s="25">
        <f t="array" ref="J32">SUM(IF("1522"&amp;C32=KHC&amp;MH,TH))</f>
        <v>1000000</v>
      </c>
      <c r="K32" s="529">
        <f t="shared" si="5"/>
        <v>0</v>
      </c>
      <c r="L32" s="529">
        <f t="shared" si="5"/>
        <v>0</v>
      </c>
      <c r="M32" s="517"/>
      <c r="N32" s="520" t="s">
        <v>403</v>
      </c>
      <c r="O32" s="522" t="s">
        <v>400</v>
      </c>
      <c r="P32" s="519">
        <v>370054438</v>
      </c>
      <c r="Q32" s="519" t="s">
        <v>401</v>
      </c>
      <c r="R32" s="519"/>
      <c r="S32" s="519" t="s">
        <v>345</v>
      </c>
    </row>
    <row r="33" spans="1:19" ht="18.75" customHeight="1">
      <c r="A33" s="513" t="str">
        <f t="shared" si="1"/>
        <v>VL</v>
      </c>
      <c r="B33" s="514">
        <f t="shared" si="2"/>
        <v>22</v>
      </c>
      <c r="C33" s="527" t="s">
        <v>402</v>
      </c>
      <c r="D33" s="528" t="s">
        <v>383</v>
      </c>
      <c r="E33" s="529"/>
      <c r="F33" s="529"/>
      <c r="G33" s="25">
        <f t="array" ref="G33">SUM(IF("1522"&amp;C33=KHN&amp;MH,SL))</f>
        <v>620</v>
      </c>
      <c r="H33" s="25">
        <f t="array" ref="H33">SUM(IF("1522"&amp;C33=KHN&amp;MH,TH))</f>
        <v>11346000</v>
      </c>
      <c r="I33" s="25">
        <f t="array" ref="I33">SUM(IF("1522"&amp;C33=KHC&amp;MH,SL))</f>
        <v>620</v>
      </c>
      <c r="J33" s="25">
        <f t="array" ref="J33">SUM(IF("1522"&amp;C33=KHC&amp;MH,TH))</f>
        <v>11346000</v>
      </c>
      <c r="K33" s="529">
        <f t="shared" si="5"/>
        <v>0</v>
      </c>
      <c r="L33" s="529">
        <f t="shared" si="5"/>
        <v>0</v>
      </c>
      <c r="M33" s="517"/>
      <c r="N33" s="520" t="s">
        <v>404</v>
      </c>
      <c r="O33" s="522" t="s">
        <v>400</v>
      </c>
      <c r="P33" s="519">
        <v>370615318</v>
      </c>
      <c r="Q33" s="519" t="s">
        <v>405</v>
      </c>
      <c r="R33" s="519"/>
      <c r="S33" s="519" t="s">
        <v>345</v>
      </c>
    </row>
    <row r="34" spans="1:19" ht="18.75" customHeight="1">
      <c r="A34" s="513" t="str">
        <f t="shared" si="1"/>
        <v/>
      </c>
      <c r="B34" s="514" t="str">
        <f t="shared" si="2"/>
        <v/>
      </c>
      <c r="C34" s="527"/>
      <c r="D34" s="528"/>
      <c r="E34" s="529"/>
      <c r="F34" s="529"/>
      <c r="G34" s="25">
        <f t="array" ref="G34">SUM(IF("1522"&amp;C34=KHN&amp;MH,SL))</f>
        <v>0</v>
      </c>
      <c r="H34" s="25">
        <f t="array" ref="H34">SUM(IF("1522"&amp;C34=KHN&amp;MH,TH))</f>
        <v>0</v>
      </c>
      <c r="I34" s="25">
        <f t="array" ref="I34">SUM(IF("1522"&amp;C34=KHC&amp;MH,SL))</f>
        <v>0</v>
      </c>
      <c r="J34" s="25">
        <f t="array" ref="J34">SUM(IF("1522"&amp;C34=KHC&amp;MH,TH))</f>
        <v>0</v>
      </c>
      <c r="K34" s="529">
        <f t="shared" si="5"/>
        <v>0</v>
      </c>
      <c r="L34" s="529">
        <f t="shared" si="5"/>
        <v>0</v>
      </c>
      <c r="M34" s="517"/>
      <c r="N34" s="520" t="s">
        <v>406</v>
      </c>
      <c r="O34" s="522" t="s">
        <v>400</v>
      </c>
      <c r="P34" s="519">
        <v>370825748</v>
      </c>
      <c r="Q34" s="519" t="s">
        <v>405</v>
      </c>
      <c r="R34" s="519"/>
      <c r="S34" s="519" t="s">
        <v>345</v>
      </c>
    </row>
    <row r="35" spans="1:19" ht="18.75" customHeight="1">
      <c r="A35" s="513" t="str">
        <f t="shared" si="1"/>
        <v/>
      </c>
      <c r="B35" s="514" t="str">
        <f t="shared" si="2"/>
        <v/>
      </c>
      <c r="C35" s="526"/>
      <c r="D35" s="532"/>
      <c r="E35" s="533"/>
      <c r="F35" s="533"/>
      <c r="G35" s="25"/>
      <c r="H35" s="533"/>
      <c r="I35" s="533"/>
      <c r="J35" s="533"/>
      <c r="K35" s="533"/>
      <c r="L35" s="533"/>
      <c r="M35" s="517"/>
      <c r="N35" s="520" t="s">
        <v>407</v>
      </c>
      <c r="O35" s="522" t="s">
        <v>400</v>
      </c>
      <c r="P35" s="519">
        <v>370698949</v>
      </c>
      <c r="Q35" s="519" t="s">
        <v>408</v>
      </c>
      <c r="R35" s="519" t="s">
        <v>409</v>
      </c>
      <c r="S35" s="519" t="s">
        <v>345</v>
      </c>
    </row>
    <row r="36" spans="1:19" ht="18.75" customHeight="1">
      <c r="A36" s="513" t="str">
        <f t="shared" si="1"/>
        <v/>
      </c>
      <c r="B36" s="510"/>
      <c r="C36" s="534" t="s">
        <v>423</v>
      </c>
      <c r="D36" s="13"/>
      <c r="E36" s="13">
        <f t="shared" ref="E36:L36" si="6">SUM(E12:E35)</f>
        <v>497676.7</v>
      </c>
      <c r="F36" s="13">
        <f t="shared" si="6"/>
        <v>526519887</v>
      </c>
      <c r="G36" s="13">
        <f t="shared" si="6"/>
        <v>18060</v>
      </c>
      <c r="H36" s="13">
        <f t="shared" si="6"/>
        <v>265545578</v>
      </c>
      <c r="I36" s="13">
        <f t="shared" si="6"/>
        <v>20567</v>
      </c>
      <c r="J36" s="13">
        <f t="shared" si="6"/>
        <v>228252002</v>
      </c>
      <c r="K36" s="13">
        <f t="shared" si="6"/>
        <v>495169.7</v>
      </c>
      <c r="L36" s="13">
        <f t="shared" si="6"/>
        <v>563813463</v>
      </c>
      <c r="M36" s="517"/>
      <c r="N36" s="520" t="s">
        <v>410</v>
      </c>
      <c r="O36" s="522" t="s">
        <v>400</v>
      </c>
      <c r="P36" s="519">
        <v>370803567</v>
      </c>
      <c r="Q36" s="519" t="s">
        <v>411</v>
      </c>
      <c r="R36" s="519"/>
      <c r="S36" s="519" t="s">
        <v>345</v>
      </c>
    </row>
    <row r="37" spans="1:19" ht="18.75" customHeight="1">
      <c r="A37" s="513"/>
      <c r="B37" s="967"/>
      <c r="C37" s="968"/>
      <c r="D37" s="969"/>
      <c r="E37" s="969">
        <f>F36-F37</f>
        <v>0</v>
      </c>
      <c r="F37" s="969">
        <f>CDPS!C22</f>
        <v>526519887</v>
      </c>
      <c r="G37" s="969">
        <f>H36-H37</f>
        <v>0</v>
      </c>
      <c r="H37" s="969">
        <f>CDPS!E22</f>
        <v>265545578</v>
      </c>
      <c r="I37" s="969">
        <f>J36-J37</f>
        <v>0</v>
      </c>
      <c r="J37" s="969">
        <f>CDPS!F22</f>
        <v>228252002</v>
      </c>
      <c r="K37" s="969">
        <f>L36-L37</f>
        <v>0</v>
      </c>
      <c r="L37" s="969">
        <f>CDPS!G22</f>
        <v>563813463</v>
      </c>
      <c r="M37" s="517"/>
      <c r="N37" s="520" t="s">
        <v>412</v>
      </c>
      <c r="O37" s="522" t="s">
        <v>400</v>
      </c>
      <c r="P37" s="519">
        <v>370004125</v>
      </c>
      <c r="Q37" s="519" t="s">
        <v>401</v>
      </c>
      <c r="R37" s="519"/>
      <c r="S37" s="519" t="s">
        <v>345</v>
      </c>
    </row>
    <row r="38" spans="1:19" ht="18.75" customHeight="1">
      <c r="A38" s="513" t="str">
        <f t="shared" ref="A38:A44" si="7">IF(B38&lt;&gt;"","NL","")</f>
        <v>NL</v>
      </c>
      <c r="B38" s="966">
        <f>IF(C38&lt;&gt;"",ROW()-(ROW()-1),"")</f>
        <v>1</v>
      </c>
      <c r="C38" s="515" t="s">
        <v>687</v>
      </c>
      <c r="D38" s="516" t="s">
        <v>341</v>
      </c>
      <c r="E38" s="25">
        <v>46400</v>
      </c>
      <c r="F38" s="25">
        <v>858400000</v>
      </c>
      <c r="G38" s="25">
        <f t="array" ref="G38">SUM(IF("1521"&amp;C38=KHN&amp;MH,SL))</f>
        <v>32000</v>
      </c>
      <c r="H38" s="25">
        <f t="array" ref="H38">SUM(IF("1521"&amp;C38=KHN&amp;MH,TH))</f>
        <v>592000000</v>
      </c>
      <c r="I38" s="25">
        <f t="array" ref="I38">SUM(IF("1521"&amp;C38=KHC&amp;MH,SL))</f>
        <v>78400</v>
      </c>
      <c r="J38" s="25">
        <f t="array" ref="J38">SUM(IF("1521"&amp;C38=KHC&amp;MH,TH))</f>
        <v>1450400000</v>
      </c>
      <c r="K38" s="25">
        <f t="shared" ref="K38:L42" si="8">E38+G38-I38</f>
        <v>0</v>
      </c>
      <c r="L38" s="25">
        <f t="shared" si="8"/>
        <v>0</v>
      </c>
      <c r="M38" s="517"/>
      <c r="N38" s="520" t="s">
        <v>413</v>
      </c>
      <c r="O38" s="522" t="s">
        <v>400</v>
      </c>
      <c r="P38" s="519">
        <v>370033286</v>
      </c>
      <c r="Q38" s="519" t="s">
        <v>401</v>
      </c>
      <c r="R38" s="519"/>
      <c r="S38" s="519" t="s">
        <v>345</v>
      </c>
    </row>
    <row r="39" spans="1:19" ht="18.75" customHeight="1">
      <c r="A39" s="513" t="str">
        <f t="shared" si="7"/>
        <v>NL</v>
      </c>
      <c r="B39" s="514">
        <f>IF(C39&lt;&gt;"",B38+1,"")</f>
        <v>2</v>
      </c>
      <c r="C39" s="520" t="s">
        <v>688</v>
      </c>
      <c r="D39" s="516" t="s">
        <v>341</v>
      </c>
      <c r="E39" s="8">
        <v>132000</v>
      </c>
      <c r="F39" s="8">
        <v>1914000000</v>
      </c>
      <c r="G39" s="25">
        <f t="array" ref="G39">SUM(IF("1521"&amp;C39=KHN&amp;MH,SL))</f>
        <v>215600</v>
      </c>
      <c r="H39" s="25">
        <f t="array" ref="H39">SUM(IF("1521"&amp;C39=KHN&amp;MH,TH))</f>
        <v>3064600000</v>
      </c>
      <c r="I39" s="25">
        <f t="array" ref="I39">SUM(IF("1521"&amp;C39=KHC&amp;MH,SL))</f>
        <v>347600</v>
      </c>
      <c r="J39" s="25">
        <f t="array" ref="J39">SUM(IF("1521"&amp;C39=KHC&amp;MH,TH))</f>
        <v>4978600000</v>
      </c>
      <c r="K39" s="8">
        <f t="shared" si="8"/>
        <v>0</v>
      </c>
      <c r="L39" s="8">
        <f t="shared" si="8"/>
        <v>0</v>
      </c>
      <c r="M39" s="517"/>
      <c r="N39" s="520" t="s">
        <v>414</v>
      </c>
      <c r="O39" s="522" t="s">
        <v>415</v>
      </c>
      <c r="P39" s="519">
        <v>310703274</v>
      </c>
      <c r="Q39" s="519" t="s">
        <v>416</v>
      </c>
      <c r="R39" s="519"/>
      <c r="S39" s="519" t="s">
        <v>345</v>
      </c>
    </row>
    <row r="40" spans="1:19" ht="18.75" customHeight="1">
      <c r="A40" s="513" t="str">
        <f t="shared" si="7"/>
        <v/>
      </c>
      <c r="B40" s="514" t="str">
        <f>IF(C40&lt;&gt;"",B39+1,"")</f>
        <v/>
      </c>
      <c r="C40" s="520"/>
      <c r="D40" s="516"/>
      <c r="E40" s="8"/>
      <c r="F40" s="8"/>
      <c r="G40" s="25">
        <f t="array" ref="G40">SUM(IF("1521"&amp;C40=KHN&amp;MH,SL))</f>
        <v>0</v>
      </c>
      <c r="H40" s="25">
        <f t="array" ref="H40">SUM(IF("1521"&amp;C40=KHN&amp;MH,TH))</f>
        <v>0</v>
      </c>
      <c r="I40" s="25">
        <f t="array" ref="I40">SUM(IF("1521"&amp;C40=KHC&amp;MH,SL))</f>
        <v>0</v>
      </c>
      <c r="J40" s="25">
        <f t="array" ref="J40">SUM(IF("1521"&amp;C40=KHC&amp;MH,TH))</f>
        <v>0</v>
      </c>
      <c r="K40" s="8">
        <f t="shared" si="8"/>
        <v>0</v>
      </c>
      <c r="L40" s="8">
        <f t="shared" si="8"/>
        <v>0</v>
      </c>
      <c r="M40" s="517"/>
      <c r="N40" s="520" t="s">
        <v>417</v>
      </c>
      <c r="O40" s="522" t="s">
        <v>415</v>
      </c>
      <c r="P40" s="519">
        <v>311704830</v>
      </c>
      <c r="Q40" s="519" t="s">
        <v>418</v>
      </c>
      <c r="R40" s="519"/>
      <c r="S40" s="519" t="s">
        <v>345</v>
      </c>
    </row>
    <row r="41" spans="1:19" ht="18.75" customHeight="1">
      <c r="A41" s="513" t="str">
        <f t="shared" si="7"/>
        <v/>
      </c>
      <c r="B41" s="514" t="str">
        <f>IF(C41&lt;&gt;"",B40+1,"")</f>
        <v/>
      </c>
      <c r="C41" s="520"/>
      <c r="D41" s="516"/>
      <c r="E41" s="8"/>
      <c r="F41" s="8"/>
      <c r="G41" s="25">
        <f t="array" ref="G41">SUM(IF("1521"&amp;C41=KHN&amp;MH,SL))</f>
        <v>0</v>
      </c>
      <c r="H41" s="25">
        <f t="array" ref="H41">SUM(IF("1521"&amp;C41=KHN&amp;MH,TH))</f>
        <v>0</v>
      </c>
      <c r="I41" s="25">
        <f t="array" ref="I41">SUM(IF("1521"&amp;C41=KHC&amp;MH,SL))</f>
        <v>0</v>
      </c>
      <c r="J41" s="25">
        <f t="array" ref="J41">SUM(IF("1521"&amp;C41=KHC&amp;MH,TH))</f>
        <v>0</v>
      </c>
      <c r="K41" s="8">
        <f t="shared" si="8"/>
        <v>0</v>
      </c>
      <c r="L41" s="8">
        <f t="shared" si="8"/>
        <v>0</v>
      </c>
      <c r="M41" s="517"/>
      <c r="N41" s="520" t="s">
        <v>419</v>
      </c>
      <c r="O41" s="522" t="s">
        <v>415</v>
      </c>
      <c r="P41" s="519">
        <v>311318331</v>
      </c>
      <c r="Q41" s="519" t="s">
        <v>420</v>
      </c>
      <c r="R41" s="519"/>
      <c r="S41" s="519" t="s">
        <v>345</v>
      </c>
    </row>
    <row r="42" spans="1:19" ht="18" customHeight="1">
      <c r="A42" s="513" t="str">
        <f t="shared" si="7"/>
        <v/>
      </c>
      <c r="B42" s="514" t="str">
        <f>IF(C42&lt;&gt;"",B41+1,"")</f>
        <v/>
      </c>
      <c r="C42" s="520"/>
      <c r="D42" s="516"/>
      <c r="E42" s="8"/>
      <c r="F42" s="8"/>
      <c r="G42" s="25">
        <f t="array" ref="G42">SUM(IF("1521"&amp;C42=KHN&amp;MH,SL))</f>
        <v>0</v>
      </c>
      <c r="H42" s="25">
        <f t="array" ref="H42">SUM(IF("1521"&amp;C42=KHN&amp;MH,TH))</f>
        <v>0</v>
      </c>
      <c r="I42" s="25">
        <f t="array" ref="I42">SUM(IF("1521"&amp;C42=KHC&amp;MH,SL))</f>
        <v>0</v>
      </c>
      <c r="J42" s="25">
        <f t="array" ref="J42">SUM(IF("1521"&amp;C42=KHC&amp;MH,TH))</f>
        <v>0</v>
      </c>
      <c r="K42" s="8">
        <f t="shared" si="8"/>
        <v>0</v>
      </c>
      <c r="L42" s="8">
        <f t="shared" si="8"/>
        <v>0</v>
      </c>
      <c r="M42" s="517"/>
      <c r="N42" s="520" t="s">
        <v>421</v>
      </c>
      <c r="O42" s="522" t="s">
        <v>415</v>
      </c>
      <c r="P42" s="519">
        <v>310882191</v>
      </c>
      <c r="Q42" s="519" t="s">
        <v>422</v>
      </c>
      <c r="R42" s="519"/>
      <c r="S42" s="519" t="s">
        <v>345</v>
      </c>
    </row>
    <row r="43" spans="1:19" ht="18" customHeight="1">
      <c r="A43" s="513" t="str">
        <f t="shared" si="7"/>
        <v/>
      </c>
      <c r="B43" s="514" t="str">
        <f>IF(C43&lt;&gt;"",B42+1,"")</f>
        <v/>
      </c>
      <c r="C43" s="535"/>
      <c r="D43" s="536"/>
      <c r="E43" s="537"/>
      <c r="F43" s="537"/>
      <c r="G43" s="537"/>
      <c r="H43" s="537"/>
      <c r="I43" s="537"/>
      <c r="J43" s="537"/>
      <c r="K43" s="8"/>
      <c r="L43" s="8"/>
      <c r="M43" s="517"/>
      <c r="N43" s="520" t="s">
        <v>424</v>
      </c>
      <c r="O43" s="522" t="s">
        <v>415</v>
      </c>
      <c r="P43" s="519">
        <v>310882158</v>
      </c>
      <c r="Q43" s="519" t="s">
        <v>425</v>
      </c>
      <c r="R43" s="519"/>
      <c r="S43" s="519" t="s">
        <v>345</v>
      </c>
    </row>
    <row r="44" spans="1:19" ht="19.5" customHeight="1">
      <c r="A44" s="513" t="str">
        <f t="shared" si="7"/>
        <v/>
      </c>
      <c r="B44" s="510"/>
      <c r="C44" s="534" t="s">
        <v>437</v>
      </c>
      <c r="D44" s="510"/>
      <c r="E44" s="13">
        <f>SUM(E38:E42)</f>
        <v>178400</v>
      </c>
      <c r="F44" s="13">
        <f>SUM(F38:F42)</f>
        <v>2772400000</v>
      </c>
      <c r="G44" s="13">
        <f t="shared" ref="G44:L44" si="9">SUM(G38:G41)</f>
        <v>247600</v>
      </c>
      <c r="H44" s="13">
        <f t="shared" si="9"/>
        <v>3656600000</v>
      </c>
      <c r="I44" s="13">
        <f t="shared" si="9"/>
        <v>426000</v>
      </c>
      <c r="J44" s="13">
        <f t="shared" si="9"/>
        <v>6429000000</v>
      </c>
      <c r="K44" s="13">
        <f t="shared" si="9"/>
        <v>0</v>
      </c>
      <c r="L44" s="13">
        <f t="shared" si="9"/>
        <v>0</v>
      </c>
      <c r="M44" s="517"/>
      <c r="N44" s="520" t="s">
        <v>426</v>
      </c>
      <c r="O44" s="522" t="s">
        <v>415</v>
      </c>
      <c r="P44" s="519">
        <v>310033074</v>
      </c>
      <c r="Q44" s="519" t="s">
        <v>416</v>
      </c>
      <c r="R44" s="519"/>
      <c r="S44" s="519" t="s">
        <v>345</v>
      </c>
    </row>
    <row r="45" spans="1:19" ht="19.5" customHeight="1">
      <c r="A45" s="513"/>
      <c r="B45" s="967"/>
      <c r="C45" s="968"/>
      <c r="D45" s="967"/>
      <c r="E45" s="969">
        <f>F44-F45</f>
        <v>0</v>
      </c>
      <c r="F45" s="969">
        <f>CDPS!C21</f>
        <v>2772400000</v>
      </c>
      <c r="G45" s="969">
        <f>H44-H45</f>
        <v>0</v>
      </c>
      <c r="H45" s="969">
        <f>CDPS!E21</f>
        <v>3656600000</v>
      </c>
      <c r="I45" s="969">
        <f>J44-J45</f>
        <v>0</v>
      </c>
      <c r="J45" s="969">
        <f>CDPS!F21</f>
        <v>6429000000</v>
      </c>
      <c r="K45" s="969">
        <f>L44-L45</f>
        <v>0</v>
      </c>
      <c r="L45" s="969">
        <f>CDPS!G21</f>
        <v>0</v>
      </c>
      <c r="M45" s="517"/>
      <c r="N45" s="520" t="s">
        <v>427</v>
      </c>
      <c r="O45" s="522" t="s">
        <v>415</v>
      </c>
      <c r="P45" s="519">
        <v>310526150</v>
      </c>
      <c r="Q45" s="519" t="s">
        <v>416</v>
      </c>
      <c r="R45" s="519"/>
      <c r="S45" s="519" t="s">
        <v>345</v>
      </c>
    </row>
    <row r="46" spans="1:19" ht="19.5" customHeight="1">
      <c r="A46" s="513" t="str">
        <f>IF(B46&lt;&gt;"","TP","")</f>
        <v>TP</v>
      </c>
      <c r="B46" s="538">
        <f>IF(C46&lt;&gt;"",ROW()-(ROW()-1),"")</f>
        <v>1</v>
      </c>
      <c r="C46" s="515" t="s">
        <v>442</v>
      </c>
      <c r="D46" s="539" t="s">
        <v>341</v>
      </c>
      <c r="E46" s="25">
        <v>4725</v>
      </c>
      <c r="F46" s="25">
        <v>600463535</v>
      </c>
      <c r="G46" s="25">
        <f t="array" ref="G46">SUM(IF("155"&amp;C46=KHN&amp;MH,SL))</f>
        <v>0</v>
      </c>
      <c r="H46" s="25">
        <f t="array" ref="H46">SUM(IF("155"&amp;C46=KHN&amp;MH,TH))</f>
        <v>0</v>
      </c>
      <c r="I46" s="25">
        <f t="array" ref="I46">SUM(IF("155"&amp;C46=KHC&amp;MH,SL))</f>
        <v>0</v>
      </c>
      <c r="J46" s="25">
        <f t="array" ref="J46">SUM(IF("155"&amp;C46=KHC&amp;MH,TH))</f>
        <v>0</v>
      </c>
      <c r="K46" s="25">
        <f t="shared" ref="K46:L53" si="10">E46+G46-I46</f>
        <v>4725</v>
      </c>
      <c r="L46" s="25">
        <f t="shared" si="10"/>
        <v>600463535</v>
      </c>
      <c r="M46" s="517"/>
      <c r="N46" s="520" t="s">
        <v>428</v>
      </c>
      <c r="O46" s="522" t="s">
        <v>415</v>
      </c>
      <c r="P46" s="519">
        <v>311514350</v>
      </c>
      <c r="Q46" s="519" t="s">
        <v>418</v>
      </c>
      <c r="R46" s="519"/>
      <c r="S46" s="519" t="s">
        <v>345</v>
      </c>
    </row>
    <row r="47" spans="1:19" ht="19.5" customHeight="1">
      <c r="A47" s="513" t="str">
        <f t="shared" ref="A47:A55" si="11">IF(B47&lt;&gt;"","TP","")</f>
        <v>TP</v>
      </c>
      <c r="B47" s="540">
        <f>IF(C47&lt;&gt;"",B46+1,"")</f>
        <v>2</v>
      </c>
      <c r="C47" s="520" t="s">
        <v>444</v>
      </c>
      <c r="D47" s="539" t="s">
        <v>341</v>
      </c>
      <c r="E47" s="8">
        <v>31675</v>
      </c>
      <c r="F47" s="8">
        <v>4490555471</v>
      </c>
      <c r="G47" s="25">
        <f t="array" ref="G47">SUM(IF("155"&amp;C47=KHN&amp;MH,SL))</f>
        <v>0</v>
      </c>
      <c r="H47" s="25">
        <f t="array" ref="H47">SUM(IF("155"&amp;C47=KHN&amp;MH,TH))</f>
        <v>0</v>
      </c>
      <c r="I47" s="25">
        <f t="array" ref="I47">SUM(IF("155"&amp;C47=KHC&amp;MH,SL))</f>
        <v>0</v>
      </c>
      <c r="J47" s="25">
        <f t="array" ref="J47">SUM(IF("155"&amp;C47=KHC&amp;MH,TH))</f>
        <v>0</v>
      </c>
      <c r="K47" s="8">
        <f t="shared" si="10"/>
        <v>31675</v>
      </c>
      <c r="L47" s="8">
        <f t="shared" si="10"/>
        <v>4490555471</v>
      </c>
      <c r="M47" s="517"/>
      <c r="N47" s="520" t="s">
        <v>429</v>
      </c>
      <c r="O47" s="522" t="s">
        <v>430</v>
      </c>
      <c r="P47" s="519">
        <v>270106056</v>
      </c>
      <c r="Q47" s="519" t="s">
        <v>430</v>
      </c>
      <c r="R47" s="519" t="s">
        <v>431</v>
      </c>
      <c r="S47" s="519" t="s">
        <v>345</v>
      </c>
    </row>
    <row r="48" spans="1:19" ht="19.5" customHeight="1">
      <c r="A48" s="513" t="str">
        <f t="shared" si="11"/>
        <v>TP</v>
      </c>
      <c r="B48" s="540">
        <f t="shared" ref="B48:B53" si="12">IF(C48&lt;&gt;"",B47+1,"")</f>
        <v>3</v>
      </c>
      <c r="C48" s="520" t="s">
        <v>446</v>
      </c>
      <c r="D48" s="539" t="s">
        <v>341</v>
      </c>
      <c r="E48" s="8">
        <v>20987</v>
      </c>
      <c r="F48" s="8">
        <v>3171039713</v>
      </c>
      <c r="G48" s="25">
        <f t="array" ref="G48">SUM(IF("155"&amp;C48=KHN&amp;MH,SL))</f>
        <v>0</v>
      </c>
      <c r="H48" s="25">
        <f t="array" ref="H48">SUM(IF("155"&amp;C48=KHN&amp;MH,TH))</f>
        <v>0</v>
      </c>
      <c r="I48" s="25">
        <f t="array" ref="I48">SUM(IF("155"&amp;C48=KHC&amp;MH,SL))</f>
        <v>0</v>
      </c>
      <c r="J48" s="25">
        <f t="array" ref="J48">SUM(IF("155"&amp;C48=KHC&amp;MH,TH))</f>
        <v>0</v>
      </c>
      <c r="K48" s="8">
        <f t="shared" si="10"/>
        <v>20987</v>
      </c>
      <c r="L48" s="8">
        <f t="shared" si="10"/>
        <v>3171039713</v>
      </c>
      <c r="M48" s="517"/>
      <c r="N48" s="520" t="s">
        <v>432</v>
      </c>
      <c r="O48" s="522" t="s">
        <v>430</v>
      </c>
      <c r="P48" s="519">
        <v>270176684</v>
      </c>
      <c r="Q48" s="519" t="s">
        <v>430</v>
      </c>
      <c r="R48" s="519" t="s">
        <v>433</v>
      </c>
      <c r="S48" s="519" t="s">
        <v>345</v>
      </c>
    </row>
    <row r="49" spans="1:20" ht="19.5" customHeight="1">
      <c r="A49" s="513" t="str">
        <f t="shared" si="11"/>
        <v>TP</v>
      </c>
      <c r="B49" s="540">
        <f t="shared" si="12"/>
        <v>4</v>
      </c>
      <c r="C49" s="520" t="s">
        <v>449</v>
      </c>
      <c r="D49" s="539" t="s">
        <v>341</v>
      </c>
      <c r="E49" s="8">
        <v>122</v>
      </c>
      <c r="F49" s="8">
        <v>17080000</v>
      </c>
      <c r="G49" s="25">
        <f t="array" ref="G49">SUM(IF("155"&amp;C49=KHN&amp;MH,SL))</f>
        <v>0</v>
      </c>
      <c r="H49" s="25">
        <f t="array" ref="H49">SUM(IF("155"&amp;C49=KHN&amp;MH,TH))</f>
        <v>0</v>
      </c>
      <c r="I49" s="25">
        <f t="array" ref="I49">SUM(IF("155"&amp;C49=KHC&amp;MH,SL))</f>
        <v>0</v>
      </c>
      <c r="J49" s="25">
        <f t="array" ref="J49">SUM(IF("155"&amp;C49=KHC&amp;MH,TH))</f>
        <v>0</v>
      </c>
      <c r="K49" s="8">
        <f t="shared" si="10"/>
        <v>122</v>
      </c>
      <c r="L49" s="8">
        <f t="shared" si="10"/>
        <v>17080000</v>
      </c>
      <c r="M49" s="517"/>
      <c r="N49" s="520" t="s">
        <v>434</v>
      </c>
      <c r="O49" s="522" t="s">
        <v>430</v>
      </c>
      <c r="P49" s="519">
        <v>270176960</v>
      </c>
      <c r="Q49" s="519" t="s">
        <v>430</v>
      </c>
      <c r="R49" s="519" t="s">
        <v>435</v>
      </c>
      <c r="S49" s="519" t="s">
        <v>345</v>
      </c>
    </row>
    <row r="50" spans="1:20" ht="18" customHeight="1">
      <c r="A50" s="513" t="str">
        <f t="shared" si="11"/>
        <v>TP</v>
      </c>
      <c r="B50" s="540">
        <f t="shared" si="12"/>
        <v>5</v>
      </c>
      <c r="C50" s="520" t="s">
        <v>451</v>
      </c>
      <c r="D50" s="539" t="s">
        <v>341</v>
      </c>
      <c r="E50" s="8">
        <v>16075</v>
      </c>
      <c r="F50" s="8">
        <v>1107185105</v>
      </c>
      <c r="G50" s="25">
        <f t="array" ref="G50">SUM(IF("155"&amp;C50=KHN&amp;MH,SL))</f>
        <v>0</v>
      </c>
      <c r="H50" s="25">
        <f t="array" ref="H50">SUM(IF("155"&amp;C50=KHN&amp;MH,TH))</f>
        <v>0</v>
      </c>
      <c r="I50" s="25">
        <f t="array" ref="I50">SUM(IF("155"&amp;C50=KHC&amp;MH,SL))</f>
        <v>0</v>
      </c>
      <c r="J50" s="25">
        <f t="array" ref="J50">SUM(IF("155"&amp;C50=KHC&amp;MH,TH))</f>
        <v>0</v>
      </c>
      <c r="K50" s="8">
        <f t="shared" si="10"/>
        <v>16075</v>
      </c>
      <c r="L50" s="8">
        <f t="shared" si="10"/>
        <v>1107185105</v>
      </c>
      <c r="M50" s="517"/>
      <c r="N50" s="520" t="s">
        <v>436</v>
      </c>
      <c r="O50" s="522" t="s">
        <v>430</v>
      </c>
      <c r="P50" s="519">
        <v>271181056</v>
      </c>
      <c r="Q50" s="519" t="s">
        <v>430</v>
      </c>
      <c r="R50" s="519"/>
      <c r="S50" s="519" t="s">
        <v>345</v>
      </c>
    </row>
    <row r="51" spans="1:20" ht="18" customHeight="1">
      <c r="A51" s="513" t="str">
        <f t="shared" si="11"/>
        <v>TP</v>
      </c>
      <c r="B51" s="540">
        <f t="shared" si="12"/>
        <v>6</v>
      </c>
      <c r="C51" s="520" t="s">
        <v>452</v>
      </c>
      <c r="D51" s="539" t="s">
        <v>341</v>
      </c>
      <c r="E51" s="8">
        <v>0</v>
      </c>
      <c r="F51" s="8">
        <v>0</v>
      </c>
      <c r="G51" s="25">
        <f t="array" ref="G51">SUM(IF("155"&amp;C51=KHN&amp;MH,SL))</f>
        <v>7100</v>
      </c>
      <c r="H51" s="25">
        <f t="array" ref="H51">SUM(IF("155"&amp;C51=KHN&amp;MH,TH))</f>
        <v>1363337171</v>
      </c>
      <c r="I51" s="25">
        <f t="array" ref="I51">SUM(IF("155"&amp;C51=KHC&amp;MH,SL))</f>
        <v>7100</v>
      </c>
      <c r="J51" s="25">
        <f t="array" ref="J51">SUM(IF("155"&amp;C51=KHC&amp;MH,TH))</f>
        <v>1363337171</v>
      </c>
      <c r="K51" s="8">
        <f>E51+G51-I51</f>
        <v>0</v>
      </c>
      <c r="L51" s="8">
        <f>F51+H51-J51</f>
        <v>0</v>
      </c>
      <c r="M51" s="517"/>
      <c r="N51" s="520" t="s">
        <v>438</v>
      </c>
      <c r="O51" s="522" t="s">
        <v>430</v>
      </c>
      <c r="P51" s="519">
        <v>270986506</v>
      </c>
      <c r="Q51" s="519" t="s">
        <v>430</v>
      </c>
      <c r="R51" s="519"/>
      <c r="S51" s="519" t="s">
        <v>345</v>
      </c>
    </row>
    <row r="52" spans="1:20" ht="18.75" customHeight="1">
      <c r="A52" s="513" t="str">
        <f t="shared" si="11"/>
        <v>TP</v>
      </c>
      <c r="B52" s="540">
        <f t="shared" si="12"/>
        <v>7</v>
      </c>
      <c r="C52" s="520" t="s">
        <v>453</v>
      </c>
      <c r="D52" s="539" t="s">
        <v>341</v>
      </c>
      <c r="E52" s="8">
        <v>0</v>
      </c>
      <c r="F52" s="8">
        <v>0</v>
      </c>
      <c r="G52" s="25">
        <f t="array" ref="G52">SUM(IF("155"&amp;C52=KHN&amp;MH,SL))</f>
        <v>32500</v>
      </c>
      <c r="H52" s="25">
        <f t="array" ref="H52">SUM(IF("155"&amp;C52=KHN&amp;MH,TH))</f>
        <v>5823509011</v>
      </c>
      <c r="I52" s="25">
        <f t="array" ref="I52">SUM(IF("155"&amp;C52=KHC&amp;MH,SL))</f>
        <v>32500</v>
      </c>
      <c r="J52" s="25">
        <f t="array" ref="J52">SUM(IF("155"&amp;C52=KHC&amp;MH,TH))</f>
        <v>5823509011</v>
      </c>
      <c r="K52" s="8">
        <f>E52+G52-I52</f>
        <v>0</v>
      </c>
      <c r="L52" s="8">
        <f>F52+H52-J52</f>
        <v>0</v>
      </c>
      <c r="M52" s="517"/>
      <c r="N52" s="520" t="s">
        <v>439</v>
      </c>
      <c r="O52" s="522" t="s">
        <v>430</v>
      </c>
      <c r="P52" s="519">
        <v>273042454</v>
      </c>
      <c r="Q52" s="519" t="s">
        <v>440</v>
      </c>
      <c r="R52" s="519" t="s">
        <v>441</v>
      </c>
      <c r="S52" s="519" t="s">
        <v>345</v>
      </c>
    </row>
    <row r="53" spans="1:20" ht="18.75" customHeight="1">
      <c r="A53" s="513" t="str">
        <f t="shared" si="11"/>
        <v>TP</v>
      </c>
      <c r="B53" s="540">
        <f t="shared" si="12"/>
        <v>8</v>
      </c>
      <c r="C53" s="520" t="s">
        <v>454</v>
      </c>
      <c r="D53" s="539" t="s">
        <v>341</v>
      </c>
      <c r="E53" s="8">
        <v>0</v>
      </c>
      <c r="F53" s="8">
        <v>0</v>
      </c>
      <c r="G53" s="25">
        <f t="array" ref="G53">SUM(IF("155"&amp;C53=KHN&amp;MH,SL))</f>
        <v>18600</v>
      </c>
      <c r="H53" s="25">
        <f t="array" ref="H53">SUM(IF("155"&amp;C53=KHN&amp;MH,TH))</f>
        <v>1698250053</v>
      </c>
      <c r="I53" s="25">
        <f t="array" ref="I53">SUM(IF("155"&amp;C53=KHC&amp;MH,SL))</f>
        <v>18600</v>
      </c>
      <c r="J53" s="25">
        <f t="array" ref="J53">SUM(IF("155"&amp;C53=KHC&amp;MH,TH))</f>
        <v>808832906</v>
      </c>
      <c r="K53" s="8">
        <f t="shared" si="10"/>
        <v>0</v>
      </c>
      <c r="L53" s="8">
        <f t="shared" si="10"/>
        <v>889417147</v>
      </c>
      <c r="M53" s="517"/>
      <c r="N53" s="520" t="s">
        <v>443</v>
      </c>
      <c r="O53" s="522" t="s">
        <v>430</v>
      </c>
      <c r="P53" s="519">
        <v>273249576</v>
      </c>
      <c r="Q53" s="519" t="s">
        <v>430</v>
      </c>
      <c r="R53" s="519"/>
      <c r="S53" s="519" t="s">
        <v>345</v>
      </c>
    </row>
    <row r="54" spans="1:20" ht="18.75" customHeight="1">
      <c r="A54" s="513" t="str">
        <f t="shared" si="11"/>
        <v/>
      </c>
      <c r="B54" s="540" t="str">
        <f>IF(C54&lt;&gt;"",#REF!+1,"")</f>
        <v/>
      </c>
      <c r="C54" s="544"/>
      <c r="D54" s="536"/>
      <c r="E54" s="8"/>
      <c r="F54" s="8"/>
      <c r="G54" s="537"/>
      <c r="H54" s="537"/>
      <c r="I54" s="537"/>
      <c r="J54" s="537"/>
      <c r="K54" s="537"/>
      <c r="L54" s="537"/>
      <c r="M54" s="517"/>
      <c r="N54" s="520" t="s">
        <v>445</v>
      </c>
      <c r="O54" s="522" t="s">
        <v>430</v>
      </c>
      <c r="P54" s="519">
        <v>271642418</v>
      </c>
      <c r="Q54" s="519" t="s">
        <v>430</v>
      </c>
      <c r="R54" s="519"/>
      <c r="S54" s="519" t="s">
        <v>345</v>
      </c>
    </row>
    <row r="55" spans="1:20" ht="18.75" customHeight="1">
      <c r="A55" s="513" t="str">
        <f t="shared" si="11"/>
        <v/>
      </c>
      <c r="B55" s="510"/>
      <c r="C55" s="534" t="s">
        <v>456</v>
      </c>
      <c r="D55" s="510"/>
      <c r="E55" s="13">
        <f t="shared" ref="E55:L55" si="13">SUM(E46:E54)</f>
        <v>73584</v>
      </c>
      <c r="F55" s="13">
        <f t="shared" si="13"/>
        <v>9386323824</v>
      </c>
      <c r="G55" s="13">
        <f t="shared" si="13"/>
        <v>58200</v>
      </c>
      <c r="H55" s="13">
        <f t="shared" si="13"/>
        <v>8885096235</v>
      </c>
      <c r="I55" s="13">
        <f t="shared" si="13"/>
        <v>58200</v>
      </c>
      <c r="J55" s="13">
        <f t="shared" si="13"/>
        <v>7995679088</v>
      </c>
      <c r="K55" s="13">
        <f t="shared" si="13"/>
        <v>73584</v>
      </c>
      <c r="L55" s="13">
        <f t="shared" si="13"/>
        <v>10275740971</v>
      </c>
      <c r="M55" s="517"/>
      <c r="N55" s="526" t="s">
        <v>447</v>
      </c>
      <c r="O55" s="522" t="s">
        <v>430</v>
      </c>
      <c r="P55" s="519">
        <v>273017840</v>
      </c>
      <c r="Q55" s="519" t="s">
        <v>448</v>
      </c>
      <c r="R55" s="519"/>
      <c r="S55" s="519" t="s">
        <v>345</v>
      </c>
    </row>
    <row r="56" spans="1:20" ht="19.5" customHeight="1">
      <c r="A56" s="513" t="str">
        <f>IF(B56&lt;&gt;"","TP","")</f>
        <v/>
      </c>
      <c r="B56" s="968"/>
      <c r="C56" s="968"/>
      <c r="D56" s="967"/>
      <c r="E56" s="969">
        <f>F55-F56</f>
        <v>0</v>
      </c>
      <c r="F56" s="969">
        <f>CDPS!C26</f>
        <v>9386323824</v>
      </c>
      <c r="G56" s="969">
        <f>H55-H56</f>
        <v>0</v>
      </c>
      <c r="H56" s="969">
        <f>CDPS!E26</f>
        <v>8885096235</v>
      </c>
      <c r="I56" s="969">
        <f>J55-J56</f>
        <v>0</v>
      </c>
      <c r="J56" s="969">
        <f>CDPS!F26</f>
        <v>7995679088</v>
      </c>
      <c r="K56" s="969">
        <f>L55-L56</f>
        <v>0</v>
      </c>
      <c r="L56" s="969">
        <f>CDPS!G26</f>
        <v>10275740971</v>
      </c>
      <c r="M56" s="517"/>
      <c r="N56" s="520" t="s">
        <v>450</v>
      </c>
      <c r="O56" s="520"/>
      <c r="P56" s="520"/>
      <c r="Q56" s="520"/>
      <c r="R56" s="520"/>
      <c r="S56" s="520"/>
    </row>
    <row r="57" spans="1:20" ht="18.75" customHeight="1">
      <c r="M57" s="541"/>
      <c r="N57" s="541"/>
      <c r="O57" s="541"/>
      <c r="P57" s="541"/>
      <c r="Q57" s="541"/>
      <c r="R57" s="541"/>
      <c r="S57" s="541"/>
      <c r="T57" s="541"/>
    </row>
    <row r="58" spans="1:20" ht="18.75" customHeight="1">
      <c r="M58" s="504"/>
      <c r="P58" s="541"/>
      <c r="Q58" s="541"/>
      <c r="R58" s="541"/>
      <c r="S58" s="541"/>
      <c r="T58" s="541"/>
    </row>
    <row r="59" spans="1:20" ht="19.5" customHeight="1">
      <c r="C59" s="1331"/>
      <c r="D59" s="1331"/>
      <c r="E59" s="1331"/>
      <c r="F59" s="546"/>
      <c r="G59" s="546"/>
      <c r="H59" s="546"/>
      <c r="I59" s="546"/>
      <c r="J59" s="1331" t="s">
        <v>460</v>
      </c>
      <c r="K59" s="1331"/>
      <c r="L59" s="1331"/>
      <c r="M59" s="504"/>
      <c r="P59" s="541"/>
      <c r="Q59" s="541"/>
      <c r="R59" s="541"/>
      <c r="S59" s="541"/>
    </row>
    <row r="60" spans="1:20" ht="19.5" customHeight="1">
      <c r="C60" s="547" t="s">
        <v>11</v>
      </c>
      <c r="D60" s="547"/>
      <c r="E60" s="547"/>
      <c r="F60" s="1331" t="s">
        <v>12</v>
      </c>
      <c r="G60" s="1331"/>
      <c r="H60" s="1331"/>
      <c r="I60" s="546"/>
      <c r="J60" s="1331" t="s">
        <v>131</v>
      </c>
      <c r="K60" s="1331"/>
      <c r="L60" s="1331"/>
      <c r="M60" s="504"/>
      <c r="Q60" s="542"/>
      <c r="R60" s="542"/>
      <c r="S60" s="542"/>
    </row>
    <row r="61" spans="1:20" ht="19.5" customHeight="1">
      <c r="C61" s="547" t="s">
        <v>13</v>
      </c>
      <c r="D61" s="547" t="s">
        <v>463</v>
      </c>
      <c r="E61" s="547"/>
      <c r="F61" s="1331" t="s">
        <v>13</v>
      </c>
      <c r="G61" s="1331"/>
      <c r="H61" s="1331"/>
      <c r="I61" s="504"/>
      <c r="J61" s="1331" t="s">
        <v>161</v>
      </c>
      <c r="K61" s="1331"/>
      <c r="L61" s="1331"/>
      <c r="M61" s="504"/>
      <c r="Q61" s="515" t="s">
        <v>442</v>
      </c>
      <c r="R61" s="515"/>
      <c r="S61" s="539">
        <v>4.5</v>
      </c>
    </row>
    <row r="62" spans="1:20" ht="19.5" customHeight="1">
      <c r="M62" s="504"/>
      <c r="Q62" s="520" t="s">
        <v>444</v>
      </c>
      <c r="R62" s="515"/>
      <c r="S62" s="539">
        <v>5</v>
      </c>
    </row>
    <row r="63" spans="1:20" ht="20.25" customHeight="1">
      <c r="M63" s="504"/>
      <c r="Q63" s="520" t="s">
        <v>446</v>
      </c>
      <c r="R63" s="515"/>
      <c r="S63" s="539">
        <v>5</v>
      </c>
    </row>
    <row r="64" spans="1:20" ht="20.25" customHeight="1">
      <c r="M64" s="504"/>
      <c r="Q64" s="520" t="s">
        <v>449</v>
      </c>
      <c r="R64" s="515"/>
      <c r="S64" s="539">
        <v>5</v>
      </c>
    </row>
    <row r="65" spans="13:19" ht="20.25" customHeight="1">
      <c r="M65" s="504"/>
      <c r="Q65" s="520" t="s">
        <v>451</v>
      </c>
      <c r="R65" s="520"/>
      <c r="S65" s="543"/>
    </row>
    <row r="66" spans="13:19" ht="20.25" customHeight="1">
      <c r="M66" s="504"/>
      <c r="Q66" s="520" t="s">
        <v>455</v>
      </c>
      <c r="R66" s="520"/>
      <c r="S66" s="543">
        <v>8</v>
      </c>
    </row>
    <row r="67" spans="13:19" ht="20.25" customHeight="1">
      <c r="M67" s="504"/>
      <c r="Q67" s="520" t="s">
        <v>457</v>
      </c>
      <c r="R67" s="520"/>
      <c r="S67" s="543">
        <v>9</v>
      </c>
    </row>
    <row r="68" spans="13:19" ht="20.25" customHeight="1">
      <c r="M68" s="504"/>
      <c r="Q68" s="520" t="s">
        <v>458</v>
      </c>
      <c r="R68" s="520"/>
      <c r="S68" s="543">
        <v>8</v>
      </c>
    </row>
    <row r="69" spans="13:19" ht="20.25" customHeight="1">
      <c r="M69" s="504"/>
      <c r="Q69" s="520" t="s">
        <v>454</v>
      </c>
      <c r="R69" s="520"/>
      <c r="S69" s="543">
        <v>8</v>
      </c>
    </row>
    <row r="70" spans="13:19" ht="19.5" customHeight="1">
      <c r="M70" s="504"/>
      <c r="Q70" s="520" t="s">
        <v>459</v>
      </c>
      <c r="R70" s="520"/>
      <c r="S70" s="543">
        <v>5</v>
      </c>
    </row>
    <row r="71" spans="13:19" ht="19.5" customHeight="1">
      <c r="M71" s="504"/>
      <c r="Q71" s="520" t="s">
        <v>461</v>
      </c>
      <c r="R71" s="520"/>
      <c r="S71" s="543">
        <v>5</v>
      </c>
    </row>
    <row r="72" spans="13:19" ht="19.5" customHeight="1">
      <c r="M72" s="504"/>
      <c r="Q72" s="520" t="s">
        <v>462</v>
      </c>
      <c r="R72" s="520"/>
      <c r="S72" s="543">
        <v>5</v>
      </c>
    </row>
    <row r="73" spans="13:19" ht="19.5" customHeight="1">
      <c r="M73" s="504"/>
      <c r="Q73" s="520" t="s">
        <v>464</v>
      </c>
      <c r="R73" s="520"/>
      <c r="S73" s="543">
        <v>4.5</v>
      </c>
    </row>
    <row r="74" spans="13:19" ht="19.5" customHeight="1">
      <c r="M74" s="504"/>
      <c r="Q74" s="520" t="s">
        <v>465</v>
      </c>
      <c r="R74" s="520"/>
      <c r="S74" s="543">
        <v>4.5</v>
      </c>
    </row>
    <row r="75" spans="13:19" ht="19.5" customHeight="1">
      <c r="M75" s="504"/>
      <c r="Q75" s="520" t="s">
        <v>452</v>
      </c>
      <c r="R75" s="520"/>
      <c r="S75" s="543">
        <v>11</v>
      </c>
    </row>
    <row r="76" spans="13:19" ht="19.5" customHeight="1">
      <c r="M76" s="504"/>
      <c r="Q76" s="520" t="s">
        <v>453</v>
      </c>
      <c r="R76" s="520"/>
      <c r="S76" s="543">
        <v>11</v>
      </c>
    </row>
    <row r="77" spans="13:19" ht="19.5" customHeight="1">
      <c r="M77" s="504"/>
      <c r="Q77" s="520" t="s">
        <v>466</v>
      </c>
      <c r="R77" s="520"/>
      <c r="S77" s="543">
        <v>4.4000000000000004</v>
      </c>
    </row>
    <row r="78" spans="13:19" ht="19.5" customHeight="1">
      <c r="M78" s="504"/>
      <c r="Q78" s="520" t="s">
        <v>467</v>
      </c>
      <c r="R78" s="520"/>
      <c r="S78" s="543">
        <v>4.5</v>
      </c>
    </row>
    <row r="79" spans="13:19" ht="19.5" customHeight="1">
      <c r="M79" s="504"/>
    </row>
    <row r="80" spans="13:19" ht="19.5" customHeight="1">
      <c r="M80" s="504"/>
    </row>
    <row r="81" spans="13:14" ht="19.5" customHeight="1">
      <c r="M81" s="504"/>
    </row>
    <row r="82" spans="13:14" ht="19.5" customHeight="1">
      <c r="M82" s="504"/>
    </row>
    <row r="83" spans="13:14" ht="19.5" customHeight="1">
      <c r="M83" s="504"/>
    </row>
    <row r="84" spans="13:14" ht="19.5" customHeight="1">
      <c r="M84" s="504"/>
    </row>
    <row r="85" spans="13:14" ht="19.5" customHeight="1">
      <c r="M85" s="504"/>
    </row>
    <row r="86" spans="13:14" ht="19.5" customHeight="1">
      <c r="M86" s="504"/>
    </row>
    <row r="87" spans="13:14" ht="19.5" customHeight="1">
      <c r="M87" s="504"/>
    </row>
    <row r="88" spans="13:14" ht="19.5" customHeight="1">
      <c r="N88" s="541"/>
    </row>
    <row r="89" spans="13:14">
      <c r="N89" s="541"/>
    </row>
    <row r="90" spans="13:14">
      <c r="N90" s="541"/>
    </row>
    <row r="91" spans="13:14">
      <c r="N91" s="541"/>
    </row>
    <row r="93" spans="13:14">
      <c r="N93" s="541"/>
    </row>
    <row r="94" spans="13:14">
      <c r="N94" s="541"/>
    </row>
    <row r="95" spans="13:14">
      <c r="N95" s="541"/>
    </row>
    <row r="96" spans="13:14">
      <c r="N96" s="541"/>
    </row>
    <row r="97" spans="14:14">
      <c r="N97" s="541"/>
    </row>
    <row r="98" spans="14:14">
      <c r="N98" s="541"/>
    </row>
    <row r="99" spans="14:14">
      <c r="N99" s="541"/>
    </row>
    <row r="100" spans="14:14">
      <c r="N100" s="541"/>
    </row>
    <row r="101" spans="14:14">
      <c r="N101" s="541"/>
    </row>
    <row r="102" spans="14:14">
      <c r="N102" s="541"/>
    </row>
    <row r="103" spans="14:14">
      <c r="N103" s="541"/>
    </row>
    <row r="104" spans="14:14">
      <c r="N104" s="541"/>
    </row>
    <row r="105" spans="14:14">
      <c r="N105" s="541"/>
    </row>
    <row r="106" spans="14:14">
      <c r="N106" s="541"/>
    </row>
    <row r="107" spans="14:14">
      <c r="N107" s="541"/>
    </row>
  </sheetData>
  <autoFilter ref="B11:O11"/>
  <mergeCells count="27">
    <mergeCell ref="F61:H61"/>
    <mergeCell ref="J61:L61"/>
    <mergeCell ref="S8:S10"/>
    <mergeCell ref="C59:E59"/>
    <mergeCell ref="J59:L59"/>
    <mergeCell ref="F60:H60"/>
    <mergeCell ref="J60:L60"/>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H34" sqref="H34"/>
    </sheetView>
  </sheetViews>
  <sheetFormatPr defaultRowHeight="12"/>
  <cols>
    <col min="1" max="1" width="4.7109375" style="548" customWidth="1"/>
    <col min="2" max="2" width="29.7109375" style="548" customWidth="1"/>
    <col min="3" max="3" width="5.7109375" style="548" customWidth="1"/>
    <col min="4" max="4" width="6.7109375" style="548" customWidth="1"/>
    <col min="5" max="5" width="12.7109375" style="548" customWidth="1"/>
    <col min="6" max="6" width="9.85546875" style="548" customWidth="1"/>
    <col min="7" max="7" width="11" style="548" customWidth="1"/>
    <col min="8" max="8" width="14" style="548" customWidth="1"/>
    <col min="9" max="9" width="4.28515625" style="548" customWidth="1"/>
    <col min="10" max="10" width="5.7109375" style="548" customWidth="1"/>
    <col min="11" max="11" width="3.140625" style="548" customWidth="1"/>
    <col min="12" max="12" width="5.7109375" style="548" customWidth="1"/>
    <col min="13" max="13" width="2.7109375" style="548" customWidth="1"/>
    <col min="14" max="14" width="4" style="548" customWidth="1"/>
    <col min="15" max="15" width="3.7109375" style="548" customWidth="1"/>
    <col min="16" max="16384" width="9.140625" style="548"/>
  </cols>
  <sheetData>
    <row r="1" spans="1:16" ht="5.25" customHeight="1"/>
    <row r="2" spans="1:16" ht="12.75" customHeight="1">
      <c r="A2" s="100" t="s">
        <v>138</v>
      </c>
      <c r="G2" s="115" t="str">
        <f>+IF(LEFT($D$7,1)="N","Mẫu số 01 - VT","Mẫu số 02 - VT")</f>
        <v>Mẫu số 02 - VT</v>
      </c>
    </row>
    <row r="3" spans="1:16" ht="12.75" customHeight="1">
      <c r="A3" s="111" t="s">
        <v>139</v>
      </c>
      <c r="G3" s="112" t="s">
        <v>320</v>
      </c>
      <c r="N3" s="115" t="s">
        <v>126</v>
      </c>
      <c r="O3" s="549"/>
    </row>
    <row r="4" spans="1:16" ht="11.25" customHeight="1">
      <c r="G4" s="112" t="s">
        <v>238</v>
      </c>
      <c r="J4" s="550" t="s">
        <v>468</v>
      </c>
      <c r="M4" s="551"/>
      <c r="N4" s="115" t="s">
        <v>127</v>
      </c>
      <c r="O4" s="549"/>
    </row>
    <row r="5" spans="1:16" ht="18" customHeight="1">
      <c r="D5" s="552" t="str">
        <f>+IF(LEFT($L$5,1)="N","PHIẾU NHẬP KHO","PHIẾU XUẤT KHO")</f>
        <v>PHIẾU XUẤT KHO</v>
      </c>
      <c r="J5" s="553">
        <v>1</v>
      </c>
      <c r="K5" s="554"/>
      <c r="L5" s="555" t="s">
        <v>581</v>
      </c>
      <c r="M5" s="556"/>
      <c r="N5" s="557">
        <v>1</v>
      </c>
      <c r="O5" s="549"/>
      <c r="P5" s="549"/>
    </row>
    <row r="6" spans="1:16" s="558" customFormat="1" ht="12" customHeight="1">
      <c r="D6" s="559" t="str">
        <f ca="1">"Ngày  " &amp;DAY(IF(ROWS($1:1)&gt;COUNT(Dong10),"",OFFSET(TH!C$1,SMALL(Dong10,ROWS($1:1)),)))&amp;"  tháng  " &amp; MONTH(IF(ROWS($1:1)&gt;COUNT(Dong10),"",OFFSET(TH!C$1,SMALL(Dong10,ROWS($1:1)),)))&amp;"  năm  "&amp;YEAR(IF(ROWS($1:1)&gt;COUNT(Dong10),"",OFFSET(TH!C$1,SMALL(Dong10,ROWS($1:1)),)))</f>
        <v>Ngày  2  tháng  1  năm  2016</v>
      </c>
      <c r="E6" s="560"/>
      <c r="M6" s="561"/>
      <c r="O6" s="562"/>
    </row>
    <row r="7" spans="1:16" s="558" customFormat="1" ht="12" customHeight="1">
      <c r="C7" s="563" t="str">
        <f xml:space="preserve"> "Số:"</f>
        <v>Số:</v>
      </c>
      <c r="D7" s="564" t="str">
        <f xml:space="preserve"> RIGHT($L$5,2)&amp;"/"&amp;LEFT($L$5,1)&amp;IF($N$5&gt;=10,$N$5,"0"&amp;$N$5)</f>
        <v>VL/X01</v>
      </c>
      <c r="G7" s="558" t="str">
        <f ca="1">"Nợ:  "&amp;IF(ROWS($1:1)&gt;COUNT(Dong10),"",OFFSET(TH!N$1,SMALL(Dong10,ROWS($1:1)),))</f>
        <v>Nợ:  154</v>
      </c>
      <c r="M7" s="561"/>
      <c r="O7" s="562"/>
    </row>
    <row r="8" spans="1:16" s="558" customFormat="1" ht="12" customHeight="1">
      <c r="D8" s="112"/>
      <c r="G8" s="558" t="str">
        <f ca="1">"Có:  "&amp;IF(ROWS($1:1)&gt;COUNT(Dong10),"",OFFSET(TH!O$1,SMALL(Dong10,ROWS($1:1)),))</f>
        <v>Có:  1522</v>
      </c>
      <c r="M8" s="561"/>
      <c r="O8" s="565"/>
    </row>
    <row r="9" spans="1:16" s="558" customFormat="1" ht="12" customHeight="1">
      <c r="A9" s="558"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561"/>
    </row>
    <row r="10" spans="1:16" s="558" customFormat="1" ht="12" customHeight="1">
      <c r="A10" s="558" t="str">
        <f>+IF(LEFT($D$7,1)="N","Theo……………………………………....…………..số………….…………….……ngày……...tháng…......năm……....","Lý do xuất :                                 Xuất dùng ")</f>
        <v xml:space="preserve">Lý do xuất :                                 Xuất dùng </v>
      </c>
    </row>
    <row r="11" spans="1:16" s="558" customFormat="1" ht="12" customHeight="1">
      <c r="A11" s="558" t="str">
        <f>+IF(LEFT($D$7,1)="N","của………………………………………………………………………………………………………………………………....","Xuất tại kho (ngăn lô) :            Công ty TNHH Hải Sản An Lạc                      Địa điểm :  Đức Hòa, Long An.")</f>
        <v>Xuất tại kho (ngăn lô) :            Công ty TNHH Hải Sản An Lạc                      Địa điểm :  Đức Hòa, Long An.</v>
      </c>
    </row>
    <row r="12" spans="1:16" s="558" customFormat="1" ht="12" customHeight="1">
      <c r="A12" s="558" t="str">
        <f>+IF(LEFT("x",1)="N","Nhập tại kho:       Công ty TNHH Hải Sản An Lạc                      Địa điểm:  Đức Hòa, Long An."," ")</f>
        <v xml:space="preserve"> </v>
      </c>
    </row>
    <row r="13" spans="1:16" s="558" customFormat="1" ht="2.25" customHeight="1"/>
    <row r="14" spans="1:16" s="558" customFormat="1" ht="11.25" customHeight="1">
      <c r="A14" s="1332" t="s">
        <v>37</v>
      </c>
      <c r="B14" s="1332" t="s">
        <v>469</v>
      </c>
      <c r="C14" s="1332" t="s">
        <v>470</v>
      </c>
      <c r="D14" s="1332" t="s">
        <v>327</v>
      </c>
      <c r="E14" s="1334" t="s">
        <v>471</v>
      </c>
      <c r="F14" s="1334"/>
      <c r="G14" s="1332" t="s">
        <v>472</v>
      </c>
      <c r="H14" s="1332" t="s">
        <v>473</v>
      </c>
    </row>
    <row r="15" spans="1:16" s="558" customFormat="1" ht="19.5" customHeight="1">
      <c r="A15" s="1333"/>
      <c r="B15" s="1333"/>
      <c r="C15" s="1333"/>
      <c r="D15" s="1333"/>
      <c r="E15" s="566" t="s">
        <v>474</v>
      </c>
      <c r="F15" s="566" t="str">
        <f>IF(LEFT($D$7,1)="N","Thực nhập","Thực xuất")</f>
        <v>Thực xuất</v>
      </c>
      <c r="G15" s="1333"/>
      <c r="H15" s="1333"/>
    </row>
    <row r="16" spans="1:16" s="568" customFormat="1" ht="8.25" customHeight="1">
      <c r="A16" s="567" t="s">
        <v>2</v>
      </c>
      <c r="B16" s="567" t="s">
        <v>3</v>
      </c>
      <c r="C16" s="567" t="s">
        <v>4</v>
      </c>
      <c r="D16" s="567" t="s">
        <v>5</v>
      </c>
      <c r="E16" s="567">
        <v>1</v>
      </c>
      <c r="F16" s="567">
        <v>2</v>
      </c>
      <c r="G16" s="567">
        <v>3</v>
      </c>
      <c r="H16" s="567">
        <v>4</v>
      </c>
    </row>
    <row r="17" spans="1:8" s="558" customFormat="1" ht="12" customHeight="1">
      <c r="A17" s="569">
        <f ca="1">IF(B17="","",ROW()-16)</f>
        <v>1</v>
      </c>
      <c r="B17" s="570" t="str">
        <f ca="1">IF(ROWS($1:1)&gt;COUNT(Dong10),"",OFFSET(TH!F$1,SMALL(Dong10,ROWS($1:1)),))</f>
        <v>Bột ngọt</v>
      </c>
      <c r="C17" s="571"/>
      <c r="D17" s="572" t="str">
        <f ca="1">IF(ISNA(VLOOKUP(B17,NXT!$C$12:$D$54,2,0)),"",VLOOKUP(B17,NXT!$C$12:$D$54,2,0))</f>
        <v>kg</v>
      </c>
      <c r="E17" s="573"/>
      <c r="F17" s="574">
        <f ca="1">IF(ROWS($1:1)&gt;COUNT(Dong10),"",OFFSET(TH!I$1,SMALL(Dong10,ROWS($1:1)),))</f>
        <v>100</v>
      </c>
      <c r="G17" s="575">
        <f ca="1">IF(ROWS($1:1)&gt;COUNT(Dong10),"",OFFSET(TH!J$1,SMALL(Dong10,ROWS($1:1)),))</f>
        <v>35444.444444444445</v>
      </c>
      <c r="H17" s="573">
        <f t="shared" ref="H17:H23" ca="1" si="0">IF(F17&lt;&gt;"",ROUND(F17*G17,0),"")</f>
        <v>3544444</v>
      </c>
    </row>
    <row r="18" spans="1:8" s="558" customFormat="1" ht="12" customHeight="1">
      <c r="A18" s="569">
        <f t="shared" ref="A18:A23" ca="1" si="1">IF(B18="","",A17+1)</f>
        <v>2</v>
      </c>
      <c r="B18" s="570" t="str">
        <f ca="1">IF(ROWS($1:2)&gt;COUNT(Dong10),"",OFFSET(TH!F$1,SMALL(Dong10,ROWS($1:2)),))</f>
        <v>Bột biến tính</v>
      </c>
      <c r="C18" s="571"/>
      <c r="D18" s="572" t="str">
        <f ca="1">IF(ISNA(VLOOKUP(B18,NXT!$C$12:$D$54,2,0)),"",VLOOKUP(B18,NXT!$C$12:$D$54,2,0))</f>
        <v>kg</v>
      </c>
      <c r="E18" s="573"/>
      <c r="F18" s="574">
        <f ca="1">IF(ROWS($1:2)&gt;COUNT(Dong10),"",OFFSET(TH!I$1,SMALL(Dong10,ROWS($1:2)),))</f>
        <v>20</v>
      </c>
      <c r="G18" s="575">
        <f ca="1">IF(ROWS($1:2)&gt;COUNT(Dong10),"",OFFSET(TH!J$1,SMALL(Dong10,ROWS($1:2)),))</f>
        <v>46741.2</v>
      </c>
      <c r="H18" s="573">
        <f t="shared" ca="1" si="0"/>
        <v>934824</v>
      </c>
    </row>
    <row r="19" spans="1:8" s="558" customFormat="1" ht="12" customHeight="1">
      <c r="A19" s="569">
        <f t="shared" ca="1" si="1"/>
        <v>3</v>
      </c>
      <c r="B19" s="570" t="str">
        <f ca="1">IF(ROWS($1:3)&gt;COUNT(Dong10),"",OFFSET(TH!F$1,SMALL(Dong10,ROWS($1:3)),))</f>
        <v>Đường</v>
      </c>
      <c r="C19" s="571"/>
      <c r="D19" s="572" t="str">
        <f ca="1">IF(ISNA(VLOOKUP(B19,NXT!$C$12:$D$54,2,0)),"",VLOOKUP(B19,NXT!$C$12:$D$54,2,0))</f>
        <v>kg</v>
      </c>
      <c r="E19" s="573"/>
      <c r="F19" s="574">
        <f ca="1">IF(ROWS($1:3)&gt;COUNT(Dong10),"",OFFSET(TH!I$1,SMALL(Dong10,ROWS($1:3)),))</f>
        <v>150</v>
      </c>
      <c r="G19" s="575">
        <f ca="1">IF(ROWS($1:3)&gt;COUNT(Dong10),"",OFFSET(TH!J$1,SMALL(Dong10,ROWS($1:3)),))</f>
        <v>11666.673333333334</v>
      </c>
      <c r="H19" s="573">
        <f t="shared" ca="1" si="0"/>
        <v>1750001</v>
      </c>
    </row>
    <row r="20" spans="1:8" s="558" customFormat="1" ht="12" customHeight="1">
      <c r="A20" s="569" t="str">
        <f t="shared" ca="1" si="1"/>
        <v/>
      </c>
      <c r="B20" s="570" t="str">
        <f ca="1">IF(ROWS($1:4)&gt;COUNT(Dong10),"",OFFSET(TH!F$1,SMALL(Dong10,ROWS($1:4)),))</f>
        <v/>
      </c>
      <c r="C20" s="571"/>
      <c r="D20" s="572" t="str">
        <f ca="1">IF(ISNA(VLOOKUP(B20,NXT!$C$12:$D$54,2,0)),"",VLOOKUP(B20,NXT!$C$12:$D$54,2,0))</f>
        <v/>
      </c>
      <c r="E20" s="573"/>
      <c r="F20" s="574" t="str">
        <f ca="1">IF(ROWS($1:4)&gt;COUNT(Dong10),"",OFFSET(TH!I$1,SMALL(Dong10,ROWS($1:4)),))</f>
        <v/>
      </c>
      <c r="G20" s="575" t="str">
        <f ca="1">IF(ROWS($1:4)&gt;COUNT(Dong10),"",OFFSET(TH!J$1,SMALL(Dong10,ROWS($1:4)),))</f>
        <v/>
      </c>
      <c r="H20" s="573" t="str">
        <f t="shared" ca="1" si="0"/>
        <v/>
      </c>
    </row>
    <row r="21" spans="1:8" s="558" customFormat="1" ht="12" customHeight="1">
      <c r="A21" s="569" t="str">
        <f t="shared" ca="1" si="1"/>
        <v/>
      </c>
      <c r="B21" s="570" t="str">
        <f ca="1">IF(ROWS($1:5)&gt;COUNT(Dong10),"",OFFSET(TH!F$1,SMALL(Dong10,ROWS($1:5)),))</f>
        <v/>
      </c>
      <c r="C21" s="571"/>
      <c r="D21" s="572" t="str">
        <f ca="1">IF(ISNA(VLOOKUP(B21,NXT!$C$12:$D$54,2,0)),"",VLOOKUP(B21,NXT!$C$12:$D$54,2,0))</f>
        <v/>
      </c>
      <c r="E21" s="573"/>
      <c r="F21" s="574" t="str">
        <f ca="1">IF(ROWS($1:5)&gt;COUNT(Dong10),"",OFFSET(TH!I$1,SMALL(Dong10,ROWS($1:5)),))</f>
        <v/>
      </c>
      <c r="G21" s="575" t="str">
        <f ca="1">IF(ROWS($1:5)&gt;COUNT(Dong10),"",OFFSET(TH!J$1,SMALL(Dong10,ROWS($1:5)),))</f>
        <v/>
      </c>
      <c r="H21" s="573" t="str">
        <f t="shared" ca="1" si="0"/>
        <v/>
      </c>
    </row>
    <row r="22" spans="1:8" s="558" customFormat="1" ht="12" customHeight="1">
      <c r="A22" s="569" t="str">
        <f t="shared" ca="1" si="1"/>
        <v/>
      </c>
      <c r="B22" s="570" t="str">
        <f ca="1">IF(ROWS($1:6)&gt;COUNT(Dong10),"",OFFSET(TH!F$1,SMALL(Dong10,ROWS($1:6)),))</f>
        <v/>
      </c>
      <c r="C22" s="571"/>
      <c r="D22" s="572" t="str">
        <f ca="1">IF(ISNA(VLOOKUP(B22,NXT!$C$12:$D$54,2,0)),"",VLOOKUP(B22,NXT!$C$12:$D$54,2,0))</f>
        <v/>
      </c>
      <c r="E22" s="573"/>
      <c r="F22" s="574" t="str">
        <f ca="1">IF(ROWS($1:6)&gt;COUNT(Dong10),"",OFFSET(TH!I$1,SMALL(Dong10,ROWS($1:6)),))</f>
        <v/>
      </c>
      <c r="G22" s="575" t="str">
        <f ca="1">IF(ROWS($1:6)&gt;COUNT(Dong10),"",OFFSET(TH!J$1,SMALL(Dong10,ROWS($1:6)),))</f>
        <v/>
      </c>
      <c r="H22" s="573" t="str">
        <f t="shared" ca="1" si="0"/>
        <v/>
      </c>
    </row>
    <row r="23" spans="1:8" s="558" customFormat="1" ht="12" customHeight="1">
      <c r="A23" s="576" t="str">
        <f t="shared" ca="1" si="1"/>
        <v/>
      </c>
      <c r="B23" s="570" t="str">
        <f ca="1">IF(ROWS($1:7)&gt;COUNT(Dong10),"",OFFSET(TH!F$1,SMALL(Dong10,ROWS($1:7)),))</f>
        <v/>
      </c>
      <c r="C23" s="571"/>
      <c r="D23" s="572" t="str">
        <f ca="1">IF(ISNA(VLOOKUP(B23,NXT!$C$12:$D$54,2,0)),"",VLOOKUP(B23,NXT!$C$12:$D$54,2,0))</f>
        <v/>
      </c>
      <c r="E23" s="573"/>
      <c r="F23" s="574" t="str">
        <f ca="1">IF(ROWS($1:7)&gt;COUNT(Dong10),"",OFFSET(TH!I$1,SMALL(Dong10,ROWS($1:7)),))</f>
        <v/>
      </c>
      <c r="G23" s="575" t="str">
        <f ca="1">IF(ROWS($1:7)&gt;COUNT(Dong10),"",OFFSET(TH!J$1,SMALL(Dong10,ROWS($1:7)),))</f>
        <v/>
      </c>
      <c r="H23" s="577" t="str">
        <f t="shared" ca="1" si="0"/>
        <v/>
      </c>
    </row>
    <row r="24" spans="1:8" s="558" customFormat="1" ht="12" customHeight="1">
      <c r="A24" s="1334" t="s">
        <v>475</v>
      </c>
      <c r="B24" s="1334"/>
      <c r="C24" s="578"/>
      <c r="D24" s="578"/>
      <c r="E24" s="579"/>
      <c r="F24" s="579"/>
      <c r="G24" s="579"/>
      <c r="H24" s="579">
        <f ca="1">SUM(H17:H23)</f>
        <v>6229269</v>
      </c>
    </row>
    <row r="25" spans="1:8" s="558" customFormat="1" ht="3" customHeight="1">
      <c r="A25" s="580"/>
      <c r="B25" s="580"/>
      <c r="C25" s="561"/>
      <c r="D25" s="561"/>
      <c r="E25" s="581"/>
      <c r="F25" s="581"/>
      <c r="G25" s="581"/>
      <c r="H25" s="581"/>
    </row>
    <row r="26" spans="1:8" s="558" customFormat="1" ht="14.25" customHeight="1">
      <c r="A26" s="558" t="str">
        <f ca="1">"Tổng số tiền (viết bằng chữ):  "&amp; [3]!VND(H24, TRUE)</f>
        <v>Tổng số tiền (viết bằng chữ):  Sáu triệu, hai trăm hai mươi chín ngàn, hai trăm sáu mươi chín đồng</v>
      </c>
    </row>
    <row r="27" spans="1:8" s="558" customFormat="1" ht="14.25" customHeight="1">
      <c r="A27" s="558" t="str">
        <f>"Số chứng từ gốc kèm theo :  "</f>
        <v xml:space="preserve">Số chứng từ gốc kèm theo :  </v>
      </c>
    </row>
    <row r="28" spans="1:8" s="558" customFormat="1" ht="14.25" customHeight="1">
      <c r="F28" s="123" t="str">
        <f ca="1">+IF(LEFT($D$7,1)="N","                                                          "&amp;D6,"                                                                                           "&amp;D6)</f>
        <v xml:space="preserve">                                                                                           Ngày  2  tháng  1  năm  2016</v>
      </c>
    </row>
    <row r="29" spans="1:8" s="583" customFormat="1" ht="14.25" customHeight="1">
      <c r="A29" s="582" t="s">
        <v>476</v>
      </c>
      <c r="C29" s="584"/>
      <c r="E29" s="584"/>
      <c r="F29" s="584" t="str">
        <f>+IF(LEFT($D$7,1)="N","                                                       Kế toán trưởng","                                          Kế toán trưởng                           Giám đốc")</f>
        <v xml:space="preserve">                                          Kế toán trưởng                           Giám đốc</v>
      </c>
    </row>
    <row r="30" spans="1:8" s="558" customFormat="1" ht="12.75" customHeight="1">
      <c r="A30" s="564" t="s">
        <v>477</v>
      </c>
      <c r="C30" s="123"/>
      <c r="E30" s="123"/>
      <c r="F30" s="123" t="str">
        <f>+IF(LEFT($D$7,1)="N","                                                     (Ký, họ tên)","                (Ký, họ tên)                ")</f>
        <v xml:space="preserve">                (Ký, họ tên)                </v>
      </c>
      <c r="H30" s="564" t="str">
        <f>+IF(LEFT($D$7,1)="N","","  (Ký, họ tên)")</f>
        <v xml:space="preserve">  (Ký, họ tên)</v>
      </c>
    </row>
    <row r="31" spans="1:8" s="558" customFormat="1" ht="12.75" customHeight="1">
      <c r="G31" s="123"/>
    </row>
    <row r="32" spans="1:8" s="558" customFormat="1" ht="11.25" customHeight="1"/>
    <row r="33" spans="1:6" s="558" customFormat="1" ht="11.25" customHeight="1"/>
    <row r="34" spans="1:6" s="558" customFormat="1" ht="11.25" customHeight="1"/>
    <row r="35" spans="1:6" s="558" customFormat="1" ht="11.25" customHeight="1"/>
    <row r="36" spans="1:6" ht="11.25" customHeight="1">
      <c r="A36" s="585" t="s">
        <v>478</v>
      </c>
      <c r="F36" s="586"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588" customWidth="1"/>
    <col min="2" max="2" width="8.5703125" style="588" customWidth="1"/>
    <col min="3" max="3" width="11" style="588" customWidth="1"/>
    <col min="4" max="4" width="41.7109375" style="588" customWidth="1"/>
    <col min="5" max="5" width="8" style="601" customWidth="1"/>
    <col min="6" max="6" width="8.85546875" style="588" customWidth="1"/>
    <col min="7" max="7" width="9" style="588" customWidth="1"/>
    <col min="8" max="8" width="14.140625" style="588" customWidth="1"/>
    <col min="9" max="9" width="8.85546875" style="588" customWidth="1"/>
    <col min="10" max="10" width="13.42578125" style="588" customWidth="1"/>
    <col min="11" max="11" width="10.140625" style="588" customWidth="1"/>
    <col min="12" max="12" width="13" style="588" customWidth="1"/>
    <col min="13" max="13" width="7.140625" style="588" customWidth="1"/>
    <col min="14" max="14" width="2" style="588" customWidth="1"/>
    <col min="15" max="15" width="5.5703125" style="588" customWidth="1"/>
    <col min="16" max="16" width="4.42578125" style="588" customWidth="1"/>
    <col min="17" max="16384" width="23.85546875" style="588"/>
  </cols>
  <sheetData>
    <row r="1" spans="1:17">
      <c r="A1" s="587" t="s">
        <v>479</v>
      </c>
      <c r="E1" s="588"/>
      <c r="O1" s="589"/>
    </row>
    <row r="2" spans="1:17" s="459" customFormat="1" ht="16.5" customHeight="1">
      <c r="B2" s="590" t="s">
        <v>317</v>
      </c>
      <c r="C2" s="591"/>
      <c r="D2" s="592"/>
      <c r="E2" s="593"/>
      <c r="F2" s="2"/>
      <c r="J2" s="1342" t="s">
        <v>480</v>
      </c>
      <c r="K2" s="1342"/>
      <c r="L2" s="1342"/>
      <c r="M2" s="1342"/>
      <c r="N2" s="594"/>
    </row>
    <row r="3" spans="1:17" s="459" customFormat="1" ht="16.5" customHeight="1">
      <c r="B3" s="590" t="s">
        <v>319</v>
      </c>
      <c r="C3" s="590"/>
      <c r="D3" s="590"/>
      <c r="E3" s="595"/>
      <c r="F3" s="590"/>
      <c r="J3" s="1343" t="s">
        <v>50</v>
      </c>
      <c r="K3" s="1343"/>
      <c r="L3" s="1343"/>
      <c r="M3" s="1343"/>
      <c r="N3" s="596"/>
    </row>
    <row r="4" spans="1:17" s="459" customFormat="1" ht="16.5" customHeight="1">
      <c r="B4" s="590"/>
      <c r="C4" s="590"/>
      <c r="D4" s="590"/>
      <c r="E4" s="595"/>
      <c r="F4" s="590"/>
      <c r="J4" s="1343"/>
      <c r="K4" s="1343"/>
      <c r="L4" s="1343"/>
      <c r="M4" s="1343"/>
      <c r="N4" s="596"/>
    </row>
    <row r="5" spans="1:17" ht="18.75" customHeight="1">
      <c r="B5" s="1344" t="s">
        <v>481</v>
      </c>
      <c r="C5" s="1344"/>
      <c r="D5" s="1344"/>
      <c r="E5" s="1344"/>
      <c r="F5" s="1344"/>
      <c r="G5" s="1344"/>
      <c r="H5" s="1344"/>
      <c r="I5" s="1344"/>
      <c r="J5" s="1344"/>
      <c r="K5" s="1344"/>
      <c r="L5" s="1344"/>
      <c r="M5" s="1344"/>
      <c r="N5" s="597"/>
    </row>
    <row r="6" spans="1:17" s="598" customFormat="1" ht="12.75">
      <c r="B6" s="1345" t="s">
        <v>482</v>
      </c>
      <c r="C6" s="1345"/>
      <c r="D6" s="1345"/>
      <c r="E6" s="1345"/>
      <c r="F6" s="1345"/>
      <c r="G6" s="1345"/>
      <c r="H6" s="1345"/>
      <c r="I6" s="1345"/>
      <c r="J6" s="1345"/>
      <c r="K6" s="1345"/>
      <c r="L6" s="1345"/>
      <c r="M6" s="1345"/>
      <c r="N6" s="599"/>
    </row>
    <row r="7" spans="1:17">
      <c r="C7" s="600"/>
      <c r="D7" s="600"/>
      <c r="F7" s="602" t="s">
        <v>937</v>
      </c>
      <c r="G7" s="949" t="str">
        <f>IF($O$10="VL","1522",IF($O$10="NL","1521",IF($O$10="TP","155","")))</f>
        <v>1522</v>
      </c>
      <c r="H7" s="602" t="s">
        <v>483</v>
      </c>
      <c r="I7" s="600" t="str">
        <f>IF($O$10="NL","Nguyên Liệu",IF($O$10="TP","Thành Phẩm",IF($O$10="VL","Vật Liệu","")))</f>
        <v>Vật Liệu</v>
      </c>
      <c r="J7" s="600"/>
      <c r="K7" s="600"/>
      <c r="L7" s="600"/>
      <c r="M7" s="600"/>
      <c r="N7" s="601"/>
    </row>
    <row r="8" spans="1:17">
      <c r="B8" s="601"/>
      <c r="C8" s="600"/>
      <c r="D8" s="600"/>
      <c r="F8" s="601" t="s">
        <v>484</v>
      </c>
      <c r="H8" s="600"/>
      <c r="I8" s="600"/>
      <c r="J8" s="1346" t="s">
        <v>385</v>
      </c>
      <c r="K8" s="1346"/>
      <c r="L8" s="1346"/>
      <c r="M8" s="600"/>
      <c r="N8" s="600"/>
    </row>
    <row r="9" spans="1:17">
      <c r="D9" s="603"/>
      <c r="E9" s="604"/>
      <c r="F9" s="603"/>
      <c r="G9" s="603"/>
      <c r="H9" s="603"/>
      <c r="I9" s="603"/>
      <c r="J9" s="603"/>
      <c r="K9" s="603" t="s">
        <v>148</v>
      </c>
      <c r="M9" s="605"/>
      <c r="N9" s="606"/>
    </row>
    <row r="10" spans="1:17" ht="15.75" customHeight="1">
      <c r="A10" s="1336" t="s">
        <v>37</v>
      </c>
      <c r="B10" s="1337" t="s">
        <v>1</v>
      </c>
      <c r="C10" s="1337"/>
      <c r="D10" s="1338" t="s">
        <v>0</v>
      </c>
      <c r="E10" s="1338" t="s">
        <v>485</v>
      </c>
      <c r="F10" s="1338" t="s">
        <v>472</v>
      </c>
      <c r="G10" s="1340" t="s">
        <v>486</v>
      </c>
      <c r="H10" s="1341"/>
      <c r="I10" s="1340" t="s">
        <v>487</v>
      </c>
      <c r="J10" s="1341"/>
      <c r="K10" s="1340" t="s">
        <v>488</v>
      </c>
      <c r="L10" s="1341"/>
      <c r="M10" s="1338" t="s">
        <v>152</v>
      </c>
      <c r="N10" s="607"/>
      <c r="O10" s="608" t="s">
        <v>489</v>
      </c>
    </row>
    <row r="11" spans="1:17" ht="31.5" customHeight="1">
      <c r="A11" s="1336"/>
      <c r="B11" s="609" t="s">
        <v>17</v>
      </c>
      <c r="C11" s="609" t="s">
        <v>34</v>
      </c>
      <c r="D11" s="1338"/>
      <c r="E11" s="1338"/>
      <c r="F11" s="1338"/>
      <c r="G11" s="609" t="s">
        <v>471</v>
      </c>
      <c r="H11" s="609" t="s">
        <v>473</v>
      </c>
      <c r="I11" s="609" t="s">
        <v>471</v>
      </c>
      <c r="J11" s="609" t="s">
        <v>473</v>
      </c>
      <c r="K11" s="609" t="s">
        <v>471</v>
      </c>
      <c r="L11" s="609" t="s">
        <v>473</v>
      </c>
      <c r="M11" s="1338"/>
      <c r="N11" s="607"/>
    </row>
    <row r="12" spans="1:17" s="601" customFormat="1">
      <c r="A12" s="610"/>
      <c r="B12" s="611" t="s">
        <v>2</v>
      </c>
      <c r="C12" s="612" t="s">
        <v>3</v>
      </c>
      <c r="D12" s="612" t="s">
        <v>4</v>
      </c>
      <c r="E12" s="611" t="s">
        <v>5</v>
      </c>
      <c r="F12" s="611">
        <v>1</v>
      </c>
      <c r="G12" s="611">
        <v>2</v>
      </c>
      <c r="H12" s="611" t="s">
        <v>490</v>
      </c>
      <c r="I12" s="611">
        <v>4</v>
      </c>
      <c r="J12" s="611" t="s">
        <v>491</v>
      </c>
      <c r="K12" s="611">
        <v>6</v>
      </c>
      <c r="L12" s="611" t="s">
        <v>492</v>
      </c>
      <c r="M12" s="611"/>
      <c r="N12" s="613"/>
    </row>
    <row r="13" spans="1:17">
      <c r="A13" s="614"/>
      <c r="B13" s="614"/>
      <c r="C13" s="614"/>
      <c r="D13" s="615" t="s">
        <v>174</v>
      </c>
      <c r="E13" s="616"/>
      <c r="F13" s="617">
        <f>L13/K13</f>
        <v>4466.322284402353</v>
      </c>
      <c r="G13" s="617"/>
      <c r="H13" s="617"/>
      <c r="I13" s="617"/>
      <c r="J13" s="617"/>
      <c r="K13" s="618">
        <f>VLOOKUP($J$8,NXT!$C$12:$L$54,3,0)</f>
        <v>13938</v>
      </c>
      <c r="L13" s="618">
        <f>VLOOKUP($J$8,NXT!$C$12:$L$54,4,0)</f>
        <v>62251600</v>
      </c>
      <c r="M13" s="617"/>
      <c r="N13" s="613"/>
    </row>
    <row r="14" spans="1:17">
      <c r="A14" s="569">
        <f ca="1">IF(B14="","",ROW()-13)</f>
        <v>1</v>
      </c>
      <c r="B14" s="619" t="str">
        <f ca="1">IF(ROWS($1:1)&gt;COUNT(Dong11),"",OFFSET(TH!D$1,SMALL(Dong11,ROWS($1:1)),))</f>
        <v>VL/X04</v>
      </c>
      <c r="C14" s="620">
        <f ca="1">IF(ROWS($1:1)&gt;COUNT(Dong11),"",OFFSET(TH!E$1,SMALL(Dong11,ROWS($1:1)),))</f>
        <v>42459</v>
      </c>
      <c r="D14" s="621" t="str">
        <f ca="1">IF(ROWS($1:1)&gt;COUNT(Dong11),"",OFFSET(TH!F$1,SMALL(Dong11,ROWS($1:1)),)&amp;" - "&amp;OFFSET(TH!H$1,SMALL(Dong11,ROWS($1:1)),))</f>
        <v>Thùng carton 30x20x15 - Xuất SX</v>
      </c>
      <c r="E14" s="619" t="str">
        <f ca="1">IF(ROWS($1:1)&gt;COUNT(Dong11),"",IF(OFFSET(TH!N$1,SMALL(Dong11,ROWS($1:1)),)=$G$7,OFFSET(TH!O$1,SMALL(Dong11,ROWS($1:1)),),OFFSET(TH!N$1,SMALL(Dong11,ROWS($1:1)),)))</f>
        <v>154</v>
      </c>
      <c r="F14" s="622">
        <f ca="1">IF(ROWS($1:1)&gt;COUNT(Dong11),0,OFFSET(TH!J$1,SMALL(Dong11,ROWS($1:1)),))</f>
        <v>4466.322284402353</v>
      </c>
      <c r="G14" s="622">
        <f ca="1">IF(ROWS($1:1)&gt;COUNT(Dong11),0,IF(MID(OFFSET(TH!D$1,SMALL(Dong11,ROWS($1:1)),),4,1)="N",OFFSET(TH!I$1,SMALL(Dong11,ROWS($1:1)),),0))</f>
        <v>0</v>
      </c>
      <c r="H14" s="623">
        <f ca="1">ROUND(F14*G14,0)</f>
        <v>0</v>
      </c>
      <c r="I14" s="622">
        <f ca="1">IF(ROWS($1:1)&gt;COUNT(Dong11),0,IF(MID(OFFSET(TH!D$1,SMALL(Dong11,ROWS($1:1)),),4,1)="X",OFFSET(TH!I$1,SMALL(Dong11,ROWS($1:1)),),0))</f>
        <v>2700</v>
      </c>
      <c r="J14" s="623">
        <f ca="1">ROUND(F14*I14,0)</f>
        <v>12059070</v>
      </c>
      <c r="K14" s="623">
        <f ca="1">IF(D14&lt;&gt;"",K13+G14-I14,0)</f>
        <v>11238</v>
      </c>
      <c r="L14" s="623">
        <f ca="1">IF(D14&lt;&gt;"",L13+H14-J14,0)</f>
        <v>50192530</v>
      </c>
      <c r="M14" s="623"/>
      <c r="N14" s="613"/>
    </row>
    <row r="15" spans="1:17">
      <c r="A15" s="569" t="str">
        <f t="shared" ref="A15:A31" ca="1" si="0">IF(B15="","",A14+1)</f>
        <v/>
      </c>
      <c r="B15" s="619" t="str">
        <f ca="1">IF(ROWS($1:2)&gt;COUNT(Dong11),"",OFFSET(TH!D$1,SMALL(Dong11,ROWS($1:2)),))</f>
        <v/>
      </c>
      <c r="C15" s="620" t="str">
        <f ca="1">IF(ROWS($1:2)&gt;COUNT(Dong11),"",OFFSET(TH!E$1,SMALL(Dong11,ROWS($1:2)),))</f>
        <v/>
      </c>
      <c r="D15" s="621" t="str">
        <f ca="1">IF(ROWS($1:2)&gt;COUNT(Dong11),"",OFFSET(TH!F$1,SMALL(Dong11,ROWS($1:2)),)&amp;" - "&amp;OFFSET(TH!H$1,SMALL(Dong11,ROWS($1:2)),))</f>
        <v/>
      </c>
      <c r="E15" s="619" t="str">
        <f ca="1">IF(ROWS($1:2)&gt;COUNT(Dong11),"",IF(OFFSET(TH!N$1,SMALL(Dong11,ROWS($1:2)),)=$G$7,OFFSET(TH!O$1,SMALL(Dong11,ROWS($1:2)),),OFFSET(TH!N$1,SMALL(Dong11,ROWS($1:2)),)))</f>
        <v/>
      </c>
      <c r="F15" s="622">
        <f ca="1">IF(ROWS($1:2)&gt;COUNT(Dong11),0,OFFSET(TH!J$1,SMALL(Dong11,ROWS($1:2)),))</f>
        <v>0</v>
      </c>
      <c r="G15" s="622">
        <f ca="1">IF(ROWS($1:2)&gt;COUNT(Dong11),0,IF(MID(OFFSET(TH!D$1,SMALL(Dong11,ROWS($1:2)),),4,1)="N",OFFSET(TH!I$1,SMALL(Dong11,ROWS($1:2)),),0))</f>
        <v>0</v>
      </c>
      <c r="H15" s="623">
        <f t="shared" ref="H15:H30" ca="1" si="1">ROUND(F15*G15,0)</f>
        <v>0</v>
      </c>
      <c r="I15" s="622">
        <f ca="1">IF(ROWS($1:2)&gt;COUNT(Dong11),0,IF(MID(OFFSET(TH!D$1,SMALL(Dong11,ROWS($1:2)),),4,1)="X",OFFSET(TH!I$1,SMALL(Dong11,ROWS($1:2)),),0))</f>
        <v>0</v>
      </c>
      <c r="J15" s="623">
        <f t="shared" ref="J15:J30" ca="1" si="2">ROUND(F15*I15,0)</f>
        <v>0</v>
      </c>
      <c r="K15" s="623">
        <f t="shared" ref="K15:K30" ca="1" si="3">IF(D15&lt;&gt;"",K14+G15-I15,0)</f>
        <v>0</v>
      </c>
      <c r="L15" s="623">
        <f t="shared" ref="L15:L30" ca="1" si="4">IF(D15&lt;&gt;"",L14+H15-J15,0)</f>
        <v>0</v>
      </c>
      <c r="M15" s="623"/>
      <c r="N15" s="613"/>
      <c r="Q15" s="624"/>
    </row>
    <row r="16" spans="1:17">
      <c r="A16" s="569" t="str">
        <f t="shared" ca="1" si="0"/>
        <v/>
      </c>
      <c r="B16" s="619" t="str">
        <f ca="1">IF(ROWS($1:3)&gt;COUNT(Dong11),"",OFFSET(TH!D$1,SMALL(Dong11,ROWS($1:3)),))</f>
        <v/>
      </c>
      <c r="C16" s="620" t="str">
        <f ca="1">IF(ROWS($1:3)&gt;COUNT(Dong11),"",OFFSET(TH!E$1,SMALL(Dong11,ROWS($1:3)),))</f>
        <v/>
      </c>
      <c r="D16" s="621" t="str">
        <f ca="1">IF(ROWS($1:3)&gt;COUNT(Dong11),"",OFFSET(TH!F$1,SMALL(Dong11,ROWS($1:3)),)&amp;" - "&amp;OFFSET(TH!H$1,SMALL(Dong11,ROWS($1:3)),))</f>
        <v/>
      </c>
      <c r="E16" s="619" t="str">
        <f ca="1">IF(ROWS($1:3)&gt;COUNT(Dong11),"",IF(OFFSET(TH!N$1,SMALL(Dong11,ROWS($1:3)),)=$G$7,OFFSET(TH!O$1,SMALL(Dong11,ROWS($1:3)),),OFFSET(TH!N$1,SMALL(Dong11,ROWS($1:3)),)))</f>
        <v/>
      </c>
      <c r="F16" s="622">
        <f ca="1">IF(ROWS($1:3)&gt;COUNT(Dong11),0,OFFSET(TH!J$1,SMALL(Dong11,ROWS($1:3)),))</f>
        <v>0</v>
      </c>
      <c r="G16" s="622">
        <f ca="1">IF(ROWS($1:3)&gt;COUNT(Dong11),0,IF(MID(OFFSET(TH!D$1,SMALL(Dong11,ROWS($1:3)),),4,1)="N",OFFSET(TH!I$1,SMALL(Dong11,ROWS($1:3)),),0))</f>
        <v>0</v>
      </c>
      <c r="H16" s="623">
        <f t="shared" ca="1" si="1"/>
        <v>0</v>
      </c>
      <c r="I16" s="622">
        <f ca="1">IF(ROWS($1:3)&gt;COUNT(Dong11),0,IF(MID(OFFSET(TH!D$1,SMALL(Dong11,ROWS($1:3)),),4,1)="X",OFFSET(TH!I$1,SMALL(Dong11,ROWS($1:3)),),0))</f>
        <v>0</v>
      </c>
      <c r="J16" s="623">
        <f t="shared" ca="1" si="2"/>
        <v>0</v>
      </c>
      <c r="K16" s="623">
        <f t="shared" ca="1" si="3"/>
        <v>0</v>
      </c>
      <c r="L16" s="623">
        <f t="shared" ca="1" si="4"/>
        <v>0</v>
      </c>
      <c r="M16" s="623"/>
      <c r="N16" s="613"/>
    </row>
    <row r="17" spans="1:16">
      <c r="A17" s="569" t="str">
        <f t="shared" ca="1" si="0"/>
        <v/>
      </c>
      <c r="B17" s="619" t="str">
        <f ca="1">IF(ROWS($1:4)&gt;COUNT(Dong11),"",OFFSET(TH!D$1,SMALL(Dong11,ROWS($1:4)),))</f>
        <v/>
      </c>
      <c r="C17" s="620" t="str">
        <f ca="1">IF(ROWS($1:4)&gt;COUNT(Dong11),"",OFFSET(TH!E$1,SMALL(Dong11,ROWS($1:4)),))</f>
        <v/>
      </c>
      <c r="D17" s="621" t="str">
        <f ca="1">IF(ROWS($1:4)&gt;COUNT(Dong11),"",OFFSET(TH!F$1,SMALL(Dong11,ROWS($1:4)),)&amp;" - "&amp;OFFSET(TH!H$1,SMALL(Dong11,ROWS($1:4)),))</f>
        <v/>
      </c>
      <c r="E17" s="619" t="str">
        <f ca="1">IF(ROWS($1:4)&gt;COUNT(Dong11),"",IF(OFFSET(TH!N$1,SMALL(Dong11,ROWS($1:4)),)=$G$7,OFFSET(TH!O$1,SMALL(Dong11,ROWS($1:4)),),OFFSET(TH!N$1,SMALL(Dong11,ROWS($1:4)),)))</f>
        <v/>
      </c>
      <c r="F17" s="622">
        <f ca="1">IF(ROWS($1:4)&gt;COUNT(Dong11),0,OFFSET(TH!J$1,SMALL(Dong11,ROWS($1:4)),))</f>
        <v>0</v>
      </c>
      <c r="G17" s="622">
        <f ca="1">IF(ROWS($1:4)&gt;COUNT(Dong11),0,IF(MID(OFFSET(TH!D$1,SMALL(Dong11,ROWS($1:4)),),4,1)="N",OFFSET(TH!I$1,SMALL(Dong11,ROWS($1:4)),),0))</f>
        <v>0</v>
      </c>
      <c r="H17" s="623">
        <f t="shared" ca="1" si="1"/>
        <v>0</v>
      </c>
      <c r="I17" s="622">
        <f ca="1">IF(ROWS($1:4)&gt;COUNT(Dong11),0,IF(MID(OFFSET(TH!D$1,SMALL(Dong11,ROWS($1:4)),),4,1)="X",OFFSET(TH!I$1,SMALL(Dong11,ROWS($1:4)),),0))</f>
        <v>0</v>
      </c>
      <c r="J17" s="623">
        <f t="shared" ca="1" si="2"/>
        <v>0</v>
      </c>
      <c r="K17" s="623">
        <f t="shared" ca="1" si="3"/>
        <v>0</v>
      </c>
      <c r="L17" s="623">
        <f t="shared" ca="1" si="4"/>
        <v>0</v>
      </c>
      <c r="M17" s="623"/>
      <c r="N17" s="613"/>
      <c r="P17" s="625"/>
    </row>
    <row r="18" spans="1:16">
      <c r="A18" s="569" t="str">
        <f t="shared" ca="1" si="0"/>
        <v/>
      </c>
      <c r="B18" s="619" t="str">
        <f ca="1">IF(ROWS($1:5)&gt;COUNT(Dong11),"",OFFSET(TH!D$1,SMALL(Dong11,ROWS($1:5)),))</f>
        <v/>
      </c>
      <c r="C18" s="620" t="str">
        <f ca="1">IF(ROWS($1:5)&gt;COUNT(Dong11),"",OFFSET(TH!E$1,SMALL(Dong11,ROWS($1:5)),))</f>
        <v/>
      </c>
      <c r="D18" s="621" t="str">
        <f ca="1">IF(ROWS($1:5)&gt;COUNT(Dong11),"",OFFSET(TH!F$1,SMALL(Dong11,ROWS($1:5)),)&amp;" - "&amp;OFFSET(TH!H$1,SMALL(Dong11,ROWS($1:5)),))</f>
        <v/>
      </c>
      <c r="E18" s="619" t="str">
        <f ca="1">IF(ROWS($1:5)&gt;COUNT(Dong11),"",IF(OFFSET(TH!N$1,SMALL(Dong11,ROWS($1:5)),)=$G$7,OFFSET(TH!O$1,SMALL(Dong11,ROWS($1:5)),),OFFSET(TH!N$1,SMALL(Dong11,ROWS($1:5)),)))</f>
        <v/>
      </c>
      <c r="F18" s="622">
        <f ca="1">IF(ROWS($1:5)&gt;COUNT(Dong11),0,OFFSET(TH!J$1,SMALL(Dong11,ROWS($1:5)),))</f>
        <v>0</v>
      </c>
      <c r="G18" s="622">
        <f ca="1">IF(ROWS($1:5)&gt;COUNT(Dong11),0,IF(MID(OFFSET(TH!D$1,SMALL(Dong11,ROWS($1:5)),),4,1)="N",OFFSET(TH!I$1,SMALL(Dong11,ROWS($1:5)),),0))</f>
        <v>0</v>
      </c>
      <c r="H18" s="623">
        <f t="shared" ca="1" si="1"/>
        <v>0</v>
      </c>
      <c r="I18" s="622">
        <f ca="1">IF(ROWS($1:5)&gt;COUNT(Dong11),0,IF(MID(OFFSET(TH!D$1,SMALL(Dong11,ROWS($1:5)),),4,1)="X",OFFSET(TH!I$1,SMALL(Dong11,ROWS($1:5)),),0))</f>
        <v>0</v>
      </c>
      <c r="J18" s="623">
        <f t="shared" ca="1" si="2"/>
        <v>0</v>
      </c>
      <c r="K18" s="623">
        <f t="shared" ca="1" si="3"/>
        <v>0</v>
      </c>
      <c r="L18" s="623">
        <f t="shared" ca="1" si="4"/>
        <v>0</v>
      </c>
      <c r="M18" s="623"/>
      <c r="N18" s="613"/>
    </row>
    <row r="19" spans="1:16">
      <c r="A19" s="569" t="str">
        <f t="shared" ca="1" si="0"/>
        <v/>
      </c>
      <c r="B19" s="619" t="str">
        <f ca="1">IF(ROWS($1:6)&gt;COUNT(Dong11),"",OFFSET(TH!D$1,SMALL(Dong11,ROWS($1:6)),))</f>
        <v/>
      </c>
      <c r="C19" s="620" t="str">
        <f ca="1">IF(ROWS($1:6)&gt;COUNT(Dong11),"",OFFSET(TH!E$1,SMALL(Dong11,ROWS($1:6)),))</f>
        <v/>
      </c>
      <c r="D19" s="621" t="str">
        <f ca="1">IF(ROWS($1:6)&gt;COUNT(Dong11),"",OFFSET(TH!F$1,SMALL(Dong11,ROWS($1:6)),)&amp;" - "&amp;OFFSET(TH!H$1,SMALL(Dong11,ROWS($1:6)),))</f>
        <v/>
      </c>
      <c r="E19" s="619" t="str">
        <f ca="1">IF(ROWS($1:6)&gt;COUNT(Dong11),"",IF(OFFSET(TH!N$1,SMALL(Dong11,ROWS($1:6)),)=$G$7,OFFSET(TH!O$1,SMALL(Dong11,ROWS($1:6)),),OFFSET(TH!N$1,SMALL(Dong11,ROWS($1:6)),)))</f>
        <v/>
      </c>
      <c r="F19" s="622">
        <f ca="1">IF(ROWS($1:6)&gt;COUNT(Dong11),0,OFFSET(TH!J$1,SMALL(Dong11,ROWS($1:6)),))</f>
        <v>0</v>
      </c>
      <c r="G19" s="622">
        <f ca="1">IF(ROWS($1:6)&gt;COUNT(Dong11),0,IF(MID(OFFSET(TH!D$1,SMALL(Dong11,ROWS($1:6)),),4,1)="N",OFFSET(TH!I$1,SMALL(Dong11,ROWS($1:6)),),0))</f>
        <v>0</v>
      </c>
      <c r="H19" s="623">
        <f t="shared" ca="1" si="1"/>
        <v>0</v>
      </c>
      <c r="I19" s="622">
        <f ca="1">IF(ROWS($1:6)&gt;COUNT(Dong11),0,IF(MID(OFFSET(TH!D$1,SMALL(Dong11,ROWS($1:6)),),4,1)="X",OFFSET(TH!I$1,SMALL(Dong11,ROWS($1:6)),),0))</f>
        <v>0</v>
      </c>
      <c r="J19" s="623">
        <f t="shared" ca="1" si="2"/>
        <v>0</v>
      </c>
      <c r="K19" s="623">
        <f t="shared" ca="1" si="3"/>
        <v>0</v>
      </c>
      <c r="L19" s="623">
        <f t="shared" ca="1" si="4"/>
        <v>0</v>
      </c>
      <c r="M19" s="623"/>
      <c r="N19" s="613"/>
    </row>
    <row r="20" spans="1:16">
      <c r="A20" s="569" t="str">
        <f t="shared" ca="1" si="0"/>
        <v/>
      </c>
      <c r="B20" s="619" t="str">
        <f ca="1">IF(ROWS($1:7)&gt;COUNT(Dong11),"",OFFSET(TH!D$1,SMALL(Dong11,ROWS($1:7)),))</f>
        <v/>
      </c>
      <c r="C20" s="620" t="str">
        <f ca="1">IF(ROWS($1:7)&gt;COUNT(Dong11),"",OFFSET(TH!E$1,SMALL(Dong11,ROWS($1:7)),))</f>
        <v/>
      </c>
      <c r="D20" s="621" t="str">
        <f ca="1">IF(ROWS($1:7)&gt;COUNT(Dong11),"",OFFSET(TH!F$1,SMALL(Dong11,ROWS($1:7)),)&amp;" - "&amp;OFFSET(TH!H$1,SMALL(Dong11,ROWS($1:7)),))</f>
        <v/>
      </c>
      <c r="E20" s="619" t="str">
        <f ca="1">IF(ROWS($1:7)&gt;COUNT(Dong11),"",IF(OFFSET(TH!N$1,SMALL(Dong11,ROWS($1:7)),)=$G$7,OFFSET(TH!O$1,SMALL(Dong11,ROWS($1:7)),),OFFSET(TH!N$1,SMALL(Dong11,ROWS($1:7)),)))</f>
        <v/>
      </c>
      <c r="F20" s="622">
        <f ca="1">IF(ROWS($1:7)&gt;COUNT(Dong11),0,OFFSET(TH!J$1,SMALL(Dong11,ROWS($1:7)),))</f>
        <v>0</v>
      </c>
      <c r="G20" s="622">
        <f ca="1">IF(ROWS($1:7)&gt;COUNT(Dong11),0,IF(MID(OFFSET(TH!D$1,SMALL(Dong11,ROWS($1:7)),),4,1)="N",OFFSET(TH!I$1,SMALL(Dong11,ROWS($1:7)),),0))</f>
        <v>0</v>
      </c>
      <c r="H20" s="623">
        <f t="shared" ca="1" si="1"/>
        <v>0</v>
      </c>
      <c r="I20" s="622">
        <f ca="1">IF(ROWS($1:7)&gt;COUNT(Dong11),0,IF(MID(OFFSET(TH!D$1,SMALL(Dong11,ROWS($1:7)),),4,1)="X",OFFSET(TH!I$1,SMALL(Dong11,ROWS($1:7)),),0))</f>
        <v>0</v>
      </c>
      <c r="J20" s="623">
        <f t="shared" ca="1" si="2"/>
        <v>0</v>
      </c>
      <c r="K20" s="623">
        <f t="shared" ca="1" si="3"/>
        <v>0</v>
      </c>
      <c r="L20" s="623">
        <f t="shared" ca="1" si="4"/>
        <v>0</v>
      </c>
      <c r="M20" s="623"/>
      <c r="N20" s="613"/>
    </row>
    <row r="21" spans="1:16">
      <c r="A21" s="569" t="str">
        <f t="shared" ca="1" si="0"/>
        <v/>
      </c>
      <c r="B21" s="619" t="str">
        <f ca="1">IF(ROWS($1:8)&gt;COUNT(Dong11),"",OFFSET(TH!D$1,SMALL(Dong11,ROWS($1:8)),))</f>
        <v/>
      </c>
      <c r="C21" s="620" t="str">
        <f ca="1">IF(ROWS($1:8)&gt;COUNT(Dong11),"",OFFSET(TH!E$1,SMALL(Dong11,ROWS($1:8)),))</f>
        <v/>
      </c>
      <c r="D21" s="621" t="str">
        <f ca="1">IF(ROWS($1:8)&gt;COUNT(Dong11),"",OFFSET(TH!F$1,SMALL(Dong11,ROWS($1:8)),)&amp;" - "&amp;OFFSET(TH!H$1,SMALL(Dong11,ROWS($1:8)),))</f>
        <v/>
      </c>
      <c r="E21" s="619" t="str">
        <f ca="1">IF(ROWS($1:8)&gt;COUNT(Dong11),"",IF(OFFSET(TH!N$1,SMALL(Dong11,ROWS($1:8)),)=$G$7,OFFSET(TH!O$1,SMALL(Dong11,ROWS($1:8)),),OFFSET(TH!N$1,SMALL(Dong11,ROWS($1:8)),)))</f>
        <v/>
      </c>
      <c r="F21" s="622">
        <f ca="1">IF(ROWS($1:8)&gt;COUNT(Dong11),0,OFFSET(TH!J$1,SMALL(Dong11,ROWS($1:8)),))</f>
        <v>0</v>
      </c>
      <c r="G21" s="622">
        <f ca="1">IF(ROWS($1:8)&gt;COUNT(Dong11),0,IF(MID(OFFSET(TH!D$1,SMALL(Dong11,ROWS($1:8)),),4,1)="N",OFFSET(TH!I$1,SMALL(Dong11,ROWS($1:8)),),0))</f>
        <v>0</v>
      </c>
      <c r="H21" s="623">
        <f t="shared" ca="1" si="1"/>
        <v>0</v>
      </c>
      <c r="I21" s="622">
        <f ca="1">IF(ROWS($1:8)&gt;COUNT(Dong11),0,IF(MID(OFFSET(TH!D$1,SMALL(Dong11,ROWS($1:8)),),4,1)="X",OFFSET(TH!I$1,SMALL(Dong11,ROWS($1:8)),),0))</f>
        <v>0</v>
      </c>
      <c r="J21" s="623">
        <f t="shared" ca="1" si="2"/>
        <v>0</v>
      </c>
      <c r="K21" s="623">
        <f t="shared" ca="1" si="3"/>
        <v>0</v>
      </c>
      <c r="L21" s="623">
        <f t="shared" ca="1" si="4"/>
        <v>0</v>
      </c>
      <c r="M21" s="623"/>
      <c r="N21" s="613"/>
    </row>
    <row r="22" spans="1:16">
      <c r="A22" s="569" t="str">
        <f t="shared" ca="1" si="0"/>
        <v/>
      </c>
      <c r="B22" s="619" t="str">
        <f ca="1">IF(ROWS($1:9)&gt;COUNT(Dong11),"",OFFSET(TH!D$1,SMALL(Dong11,ROWS($1:9)),))</f>
        <v/>
      </c>
      <c r="C22" s="620" t="str">
        <f ca="1">IF(ROWS($1:9)&gt;COUNT(Dong11),"",OFFSET(TH!E$1,SMALL(Dong11,ROWS($1:9)),))</f>
        <v/>
      </c>
      <c r="D22" s="621" t="str">
        <f ca="1">IF(ROWS($1:9)&gt;COUNT(Dong11),"",OFFSET(TH!F$1,SMALL(Dong11,ROWS($1:9)),)&amp;" - "&amp;OFFSET(TH!H$1,SMALL(Dong11,ROWS($1:9)),))</f>
        <v/>
      </c>
      <c r="E22" s="619" t="str">
        <f ca="1">IF(ROWS($1:9)&gt;COUNT(Dong11),"",IF(OFFSET(TH!N$1,SMALL(Dong11,ROWS($1:9)),)=$G$7,OFFSET(TH!O$1,SMALL(Dong11,ROWS($1:9)),),OFFSET(TH!N$1,SMALL(Dong11,ROWS($1:9)),)))</f>
        <v/>
      </c>
      <c r="F22" s="622">
        <f ca="1">IF(ROWS($1:9)&gt;COUNT(Dong11),0,OFFSET(TH!J$1,SMALL(Dong11,ROWS($1:9)),))</f>
        <v>0</v>
      </c>
      <c r="G22" s="622">
        <f ca="1">IF(ROWS($1:9)&gt;COUNT(Dong11),0,IF(MID(OFFSET(TH!D$1,SMALL(Dong11,ROWS($1:9)),),4,1)="N",OFFSET(TH!I$1,SMALL(Dong11,ROWS($1:9)),),0))</f>
        <v>0</v>
      </c>
      <c r="H22" s="623">
        <f t="shared" ca="1" si="1"/>
        <v>0</v>
      </c>
      <c r="I22" s="622">
        <f ca="1">IF(ROWS($1:9)&gt;COUNT(Dong11),0,IF(MID(OFFSET(TH!D$1,SMALL(Dong11,ROWS($1:9)),),4,1)="X",OFFSET(TH!I$1,SMALL(Dong11,ROWS($1:9)),),0))</f>
        <v>0</v>
      </c>
      <c r="J22" s="623">
        <f t="shared" ca="1" si="2"/>
        <v>0</v>
      </c>
      <c r="K22" s="623">
        <f t="shared" ca="1" si="3"/>
        <v>0</v>
      </c>
      <c r="L22" s="623">
        <f t="shared" ca="1" si="4"/>
        <v>0</v>
      </c>
      <c r="M22" s="623"/>
      <c r="N22" s="613"/>
    </row>
    <row r="23" spans="1:16">
      <c r="A23" s="569" t="str">
        <f t="shared" ca="1" si="0"/>
        <v/>
      </c>
      <c r="B23" s="619" t="str">
        <f ca="1">IF(ROWS($1:10)&gt;COUNT(Dong11),"",OFFSET(TH!D$1,SMALL(Dong11,ROWS($1:10)),))</f>
        <v/>
      </c>
      <c r="C23" s="620" t="str">
        <f ca="1">IF(ROWS($1:10)&gt;COUNT(Dong11),"",OFFSET(TH!E$1,SMALL(Dong11,ROWS($1:10)),))</f>
        <v/>
      </c>
      <c r="D23" s="621" t="str">
        <f ca="1">IF(ROWS($1:10)&gt;COUNT(Dong11),"",OFFSET(TH!F$1,SMALL(Dong11,ROWS($1:10)),)&amp;" - "&amp;OFFSET(TH!H$1,SMALL(Dong11,ROWS($1:10)),))</f>
        <v/>
      </c>
      <c r="E23" s="619" t="str">
        <f ca="1">IF(ROWS($1:10)&gt;COUNT(Dong11),"",IF(OFFSET(TH!N$1,SMALL(Dong11,ROWS($1:10)),)=$G$7,OFFSET(TH!O$1,SMALL(Dong11,ROWS($1:10)),),OFFSET(TH!N$1,SMALL(Dong11,ROWS($1:10)),)))</f>
        <v/>
      </c>
      <c r="F23" s="622">
        <f ca="1">IF(ROWS($1:10)&gt;COUNT(Dong11),0,OFFSET(TH!J$1,SMALL(Dong11,ROWS($1:10)),))</f>
        <v>0</v>
      </c>
      <c r="G23" s="622">
        <f ca="1">IF(ROWS($1:10)&gt;COUNT(Dong11),0,IF(MID(OFFSET(TH!D$1,SMALL(Dong11,ROWS($1:10)),),4,1)="N",OFFSET(TH!I$1,SMALL(Dong11,ROWS($1:10)),),0))</f>
        <v>0</v>
      </c>
      <c r="H23" s="623">
        <f t="shared" ca="1" si="1"/>
        <v>0</v>
      </c>
      <c r="I23" s="622">
        <f ca="1">IF(ROWS($1:10)&gt;COUNT(Dong11),0,IF(MID(OFFSET(TH!D$1,SMALL(Dong11,ROWS($1:10)),),4,1)="X",OFFSET(TH!I$1,SMALL(Dong11,ROWS($1:10)),),0))</f>
        <v>0</v>
      </c>
      <c r="J23" s="623">
        <f t="shared" ca="1" si="2"/>
        <v>0</v>
      </c>
      <c r="K23" s="623">
        <f t="shared" ca="1" si="3"/>
        <v>0</v>
      </c>
      <c r="L23" s="623">
        <f t="shared" ca="1" si="4"/>
        <v>0</v>
      </c>
      <c r="M23" s="623"/>
      <c r="N23" s="613"/>
    </row>
    <row r="24" spans="1:16">
      <c r="A24" s="569" t="str">
        <f t="shared" ca="1" si="0"/>
        <v/>
      </c>
      <c r="B24" s="619" t="str">
        <f ca="1">IF(ROWS($1:11)&gt;COUNT(Dong11),"",OFFSET(TH!D$1,SMALL(Dong11,ROWS($1:11)),))</f>
        <v/>
      </c>
      <c r="C24" s="620" t="str">
        <f ca="1">IF(ROWS($1:11)&gt;COUNT(Dong11),"",OFFSET(TH!E$1,SMALL(Dong11,ROWS($1:11)),))</f>
        <v/>
      </c>
      <c r="D24" s="621" t="str">
        <f ca="1">IF(ROWS($1:11)&gt;COUNT(Dong11),"",OFFSET(TH!F$1,SMALL(Dong11,ROWS($1:11)),)&amp;" - "&amp;OFFSET(TH!H$1,SMALL(Dong11,ROWS($1:11)),))</f>
        <v/>
      </c>
      <c r="E24" s="619" t="str">
        <f ca="1">IF(ROWS($1:11)&gt;COUNT(Dong11),"",IF(OFFSET(TH!N$1,SMALL(Dong11,ROWS($1:11)),)=$G$7,OFFSET(TH!O$1,SMALL(Dong11,ROWS($1:11)),),OFFSET(TH!N$1,SMALL(Dong11,ROWS($1:11)),)))</f>
        <v/>
      </c>
      <c r="F24" s="622">
        <f ca="1">IF(ROWS($1:11)&gt;COUNT(Dong11),0,OFFSET(TH!J$1,SMALL(Dong11,ROWS($1:11)),))</f>
        <v>0</v>
      </c>
      <c r="G24" s="622">
        <f ca="1">IF(ROWS($1:11)&gt;COUNT(Dong11),0,IF(MID(OFFSET(TH!D$1,SMALL(Dong11,ROWS($1:11)),),4,1)="N",OFFSET(TH!I$1,SMALL(Dong11,ROWS($1:11)),),0))</f>
        <v>0</v>
      </c>
      <c r="H24" s="623">
        <f t="shared" ca="1" si="1"/>
        <v>0</v>
      </c>
      <c r="I24" s="622">
        <f ca="1">IF(ROWS($1:11)&gt;COUNT(Dong11),0,IF(MID(OFFSET(TH!D$1,SMALL(Dong11,ROWS($1:11)),),4,1)="X",OFFSET(TH!I$1,SMALL(Dong11,ROWS($1:11)),),0))</f>
        <v>0</v>
      </c>
      <c r="J24" s="623">
        <f t="shared" ca="1" si="2"/>
        <v>0</v>
      </c>
      <c r="K24" s="623">
        <f t="shared" ca="1" si="3"/>
        <v>0</v>
      </c>
      <c r="L24" s="623">
        <f t="shared" ca="1" si="4"/>
        <v>0</v>
      </c>
      <c r="M24" s="623"/>
      <c r="N24" s="613"/>
    </row>
    <row r="25" spans="1:16">
      <c r="A25" s="569" t="str">
        <f t="shared" ca="1" si="0"/>
        <v/>
      </c>
      <c r="B25" s="619" t="str">
        <f ca="1">IF(ROWS($1:12)&gt;COUNT(Dong11),"",OFFSET(TH!D$1,SMALL(Dong11,ROWS($1:12)),))</f>
        <v/>
      </c>
      <c r="C25" s="620" t="str">
        <f ca="1">IF(ROWS($1:12)&gt;COUNT(Dong11),"",OFFSET(TH!E$1,SMALL(Dong11,ROWS($1:12)),))</f>
        <v/>
      </c>
      <c r="D25" s="621" t="str">
        <f ca="1">IF(ROWS($1:12)&gt;COUNT(Dong11),"",OFFSET(TH!F$1,SMALL(Dong11,ROWS($1:12)),)&amp;" - "&amp;OFFSET(TH!H$1,SMALL(Dong11,ROWS($1:12)),))</f>
        <v/>
      </c>
      <c r="E25" s="619" t="str">
        <f ca="1">IF(ROWS($1:12)&gt;COUNT(Dong11),"",IF(OFFSET(TH!N$1,SMALL(Dong11,ROWS($1:12)),)=$G$7,OFFSET(TH!O$1,SMALL(Dong11,ROWS($1:12)),),OFFSET(TH!N$1,SMALL(Dong11,ROWS($1:12)),)))</f>
        <v/>
      </c>
      <c r="F25" s="622">
        <f ca="1">IF(ROWS($1:12)&gt;COUNT(Dong11),0,OFFSET(TH!J$1,SMALL(Dong11,ROWS($1:12)),))</f>
        <v>0</v>
      </c>
      <c r="G25" s="622">
        <f ca="1">IF(ROWS($1:12)&gt;COUNT(Dong11),0,IF(MID(OFFSET(TH!D$1,SMALL(Dong11,ROWS($1:12)),),4,1)="N",OFFSET(TH!I$1,SMALL(Dong11,ROWS($1:12)),),0))</f>
        <v>0</v>
      </c>
      <c r="H25" s="623">
        <f t="shared" ca="1" si="1"/>
        <v>0</v>
      </c>
      <c r="I25" s="622">
        <f ca="1">IF(ROWS($1:12)&gt;COUNT(Dong11),0,IF(MID(OFFSET(TH!D$1,SMALL(Dong11,ROWS($1:12)),),4,1)="X",OFFSET(TH!I$1,SMALL(Dong11,ROWS($1:12)),),0))</f>
        <v>0</v>
      </c>
      <c r="J25" s="623">
        <f t="shared" ca="1" si="2"/>
        <v>0</v>
      </c>
      <c r="K25" s="623">
        <f t="shared" ca="1" si="3"/>
        <v>0</v>
      </c>
      <c r="L25" s="623">
        <f t="shared" ca="1" si="4"/>
        <v>0</v>
      </c>
      <c r="M25" s="623"/>
      <c r="N25" s="613"/>
    </row>
    <row r="26" spans="1:16">
      <c r="A26" s="569" t="str">
        <f t="shared" ca="1" si="0"/>
        <v/>
      </c>
      <c r="B26" s="619" t="str">
        <f ca="1">IF(ROWS($1:13)&gt;COUNT(Dong11),"",OFFSET(TH!D$1,SMALL(Dong11,ROWS($1:13)),))</f>
        <v/>
      </c>
      <c r="C26" s="620" t="str">
        <f ca="1">IF(ROWS($1:13)&gt;COUNT(Dong11),"",OFFSET(TH!E$1,SMALL(Dong11,ROWS($1:13)),))</f>
        <v/>
      </c>
      <c r="D26" s="621" t="str">
        <f ca="1">IF(ROWS($1:13)&gt;COUNT(Dong11),"",OFFSET(TH!F$1,SMALL(Dong11,ROWS($1:13)),)&amp;" - "&amp;OFFSET(TH!H$1,SMALL(Dong11,ROWS($1:13)),))</f>
        <v/>
      </c>
      <c r="E26" s="619" t="str">
        <f ca="1">IF(ROWS($1:13)&gt;COUNT(Dong11),"",IF(OFFSET(TH!N$1,SMALL(Dong11,ROWS($1:13)),)=$G$7,OFFSET(TH!O$1,SMALL(Dong11,ROWS($1:13)),),OFFSET(TH!N$1,SMALL(Dong11,ROWS($1:13)),)))</f>
        <v/>
      </c>
      <c r="F26" s="622">
        <f ca="1">IF(ROWS($1:13)&gt;COUNT(Dong11),0,OFFSET(TH!J$1,SMALL(Dong11,ROWS($1:13)),))</f>
        <v>0</v>
      </c>
      <c r="G26" s="622">
        <f ca="1">IF(ROWS($1:13)&gt;COUNT(Dong11),0,IF(MID(OFFSET(TH!D$1,SMALL(Dong11,ROWS($1:13)),),4,1)="N",OFFSET(TH!I$1,SMALL(Dong11,ROWS($1:13)),),0))</f>
        <v>0</v>
      </c>
      <c r="H26" s="623">
        <f t="shared" ca="1" si="1"/>
        <v>0</v>
      </c>
      <c r="I26" s="622">
        <f ca="1">IF(ROWS($1:13)&gt;COUNT(Dong11),0,IF(MID(OFFSET(TH!D$1,SMALL(Dong11,ROWS($1:13)),),4,1)="X",OFFSET(TH!I$1,SMALL(Dong11,ROWS($1:13)),),0))</f>
        <v>0</v>
      </c>
      <c r="J26" s="623">
        <f t="shared" ca="1" si="2"/>
        <v>0</v>
      </c>
      <c r="K26" s="623">
        <f t="shared" ca="1" si="3"/>
        <v>0</v>
      </c>
      <c r="L26" s="623">
        <f t="shared" ca="1" si="4"/>
        <v>0</v>
      </c>
      <c r="M26" s="623"/>
      <c r="N26" s="613"/>
    </row>
    <row r="27" spans="1:16">
      <c r="A27" s="569" t="str">
        <f t="shared" ca="1" si="0"/>
        <v/>
      </c>
      <c r="B27" s="619" t="str">
        <f ca="1">IF(ROWS($1:14)&gt;COUNT(Dong11),"",OFFSET(TH!D$1,SMALL(Dong11,ROWS($1:14)),))</f>
        <v/>
      </c>
      <c r="C27" s="620" t="str">
        <f ca="1">IF(ROWS($1:14)&gt;COUNT(Dong11),"",OFFSET(TH!E$1,SMALL(Dong11,ROWS($1:14)),))</f>
        <v/>
      </c>
      <c r="D27" s="621" t="str">
        <f ca="1">IF(ROWS($1:14)&gt;COUNT(Dong11),"",OFFSET(TH!F$1,SMALL(Dong11,ROWS($1:14)),)&amp;" - "&amp;OFFSET(TH!H$1,SMALL(Dong11,ROWS($1:14)),))</f>
        <v/>
      </c>
      <c r="E27" s="619" t="str">
        <f ca="1">IF(ROWS($1:14)&gt;COUNT(Dong11),"",IF(OFFSET(TH!N$1,SMALL(Dong11,ROWS($1:14)),)=$G$7,OFFSET(TH!O$1,SMALL(Dong11,ROWS($1:14)),),OFFSET(TH!N$1,SMALL(Dong11,ROWS($1:14)),)))</f>
        <v/>
      </c>
      <c r="F27" s="622">
        <f ca="1">IF(ROWS($1:14)&gt;COUNT(Dong11),0,OFFSET(TH!J$1,SMALL(Dong11,ROWS($1:14)),))</f>
        <v>0</v>
      </c>
      <c r="G27" s="622">
        <f ca="1">IF(ROWS($1:14)&gt;COUNT(Dong11),0,IF(MID(OFFSET(TH!D$1,SMALL(Dong11,ROWS($1:14)),),4,1)="N",OFFSET(TH!I$1,SMALL(Dong11,ROWS($1:14)),),0))</f>
        <v>0</v>
      </c>
      <c r="H27" s="623">
        <f t="shared" ca="1" si="1"/>
        <v>0</v>
      </c>
      <c r="I27" s="622">
        <f ca="1">IF(ROWS($1:14)&gt;COUNT(Dong11),0,IF(MID(OFFSET(TH!D$1,SMALL(Dong11,ROWS($1:14)),),4,1)="X",OFFSET(TH!I$1,SMALL(Dong11,ROWS($1:14)),),0))</f>
        <v>0</v>
      </c>
      <c r="J27" s="623">
        <f t="shared" ca="1" si="2"/>
        <v>0</v>
      </c>
      <c r="K27" s="623">
        <f t="shared" ca="1" si="3"/>
        <v>0</v>
      </c>
      <c r="L27" s="623">
        <f t="shared" ca="1" si="4"/>
        <v>0</v>
      </c>
      <c r="M27" s="623"/>
      <c r="N27" s="613"/>
    </row>
    <row r="28" spans="1:16">
      <c r="A28" s="569" t="str">
        <f t="shared" ca="1" si="0"/>
        <v/>
      </c>
      <c r="B28" s="619" t="str">
        <f ca="1">IF(ROWS($1:15)&gt;COUNT(Dong11),"",OFFSET(TH!D$1,SMALL(Dong11,ROWS($1:15)),))</f>
        <v/>
      </c>
      <c r="C28" s="620" t="str">
        <f ca="1">IF(ROWS($1:15)&gt;COUNT(Dong11),"",OFFSET(TH!E$1,SMALL(Dong11,ROWS($1:15)),))</f>
        <v/>
      </c>
      <c r="D28" s="621" t="str">
        <f ca="1">IF(ROWS($1:15)&gt;COUNT(Dong11),"",OFFSET(TH!F$1,SMALL(Dong11,ROWS($1:15)),)&amp;" - "&amp;OFFSET(TH!H$1,SMALL(Dong11,ROWS($1:15)),))</f>
        <v/>
      </c>
      <c r="E28" s="619" t="str">
        <f ca="1">IF(ROWS($1:15)&gt;COUNT(Dong11),"",IF(OFFSET(TH!N$1,SMALL(Dong11,ROWS($1:15)),)=$G$7,OFFSET(TH!O$1,SMALL(Dong11,ROWS($1:15)),),OFFSET(TH!N$1,SMALL(Dong11,ROWS($1:15)),)))</f>
        <v/>
      </c>
      <c r="F28" s="622">
        <f ca="1">IF(ROWS($1:15)&gt;COUNT(Dong11),0,OFFSET(TH!J$1,SMALL(Dong11,ROWS($1:15)),))</f>
        <v>0</v>
      </c>
      <c r="G28" s="622">
        <f ca="1">IF(ROWS($1:15)&gt;COUNT(Dong11),0,IF(MID(OFFSET(TH!D$1,SMALL(Dong11,ROWS($1:15)),),4,1)="N",OFFSET(TH!I$1,SMALL(Dong11,ROWS($1:15)),),0))</f>
        <v>0</v>
      </c>
      <c r="H28" s="623">
        <f t="shared" ca="1" si="1"/>
        <v>0</v>
      </c>
      <c r="I28" s="622">
        <f ca="1">IF(ROWS($1:15)&gt;COUNT(Dong11),0,IF(MID(OFFSET(TH!D$1,SMALL(Dong11,ROWS($1:15)),),4,1)="X",OFFSET(TH!I$1,SMALL(Dong11,ROWS($1:15)),),0))</f>
        <v>0</v>
      </c>
      <c r="J28" s="623">
        <f t="shared" ca="1" si="2"/>
        <v>0</v>
      </c>
      <c r="K28" s="623">
        <f t="shared" ca="1" si="3"/>
        <v>0</v>
      </c>
      <c r="L28" s="623">
        <f t="shared" ca="1" si="4"/>
        <v>0</v>
      </c>
      <c r="M28" s="623"/>
      <c r="N28" s="613"/>
    </row>
    <row r="29" spans="1:16">
      <c r="A29" s="569" t="str">
        <f t="shared" ca="1" si="0"/>
        <v/>
      </c>
      <c r="B29" s="619" t="str">
        <f ca="1">IF(ROWS($1:16)&gt;COUNT(Dong11),"",OFFSET(TH!D$1,SMALL(Dong11,ROWS($1:16)),))</f>
        <v/>
      </c>
      <c r="C29" s="620" t="str">
        <f ca="1">IF(ROWS($1:16)&gt;COUNT(Dong11),"",OFFSET(TH!E$1,SMALL(Dong11,ROWS($1:16)),))</f>
        <v/>
      </c>
      <c r="D29" s="621" t="str">
        <f ca="1">IF(ROWS($1:16)&gt;COUNT(Dong11),"",OFFSET(TH!F$1,SMALL(Dong11,ROWS($1:16)),)&amp;" - "&amp;OFFSET(TH!H$1,SMALL(Dong11,ROWS($1:16)),))</f>
        <v/>
      </c>
      <c r="E29" s="619" t="str">
        <f ca="1">IF(ROWS($1:16)&gt;COUNT(Dong11),"",IF(OFFSET(TH!N$1,SMALL(Dong11,ROWS($1:16)),)=$G$7,OFFSET(TH!O$1,SMALL(Dong11,ROWS($1:16)),),OFFSET(TH!N$1,SMALL(Dong11,ROWS($1:16)),)))</f>
        <v/>
      </c>
      <c r="F29" s="622">
        <f ca="1">IF(ROWS($1:16)&gt;COUNT(Dong11),0,OFFSET(TH!J$1,SMALL(Dong11,ROWS($1:16)),))</f>
        <v>0</v>
      </c>
      <c r="G29" s="622">
        <f ca="1">IF(ROWS($1:16)&gt;COUNT(Dong11),0,IF(MID(OFFSET(TH!D$1,SMALL(Dong11,ROWS($1:16)),),4,1)="N",OFFSET(TH!I$1,SMALL(Dong11,ROWS($1:16)),),0))</f>
        <v>0</v>
      </c>
      <c r="H29" s="623">
        <f t="shared" ca="1" si="1"/>
        <v>0</v>
      </c>
      <c r="I29" s="622">
        <f ca="1">IF(ROWS($1:16)&gt;COUNT(Dong11),0,IF(MID(OFFSET(TH!D$1,SMALL(Dong11,ROWS($1:16)),),4,1)="X",OFFSET(TH!I$1,SMALL(Dong11,ROWS($1:16)),),0))</f>
        <v>0</v>
      </c>
      <c r="J29" s="623">
        <f t="shared" ca="1" si="2"/>
        <v>0</v>
      </c>
      <c r="K29" s="623">
        <f t="shared" ca="1" si="3"/>
        <v>0</v>
      </c>
      <c r="L29" s="623">
        <f t="shared" ca="1" si="4"/>
        <v>0</v>
      </c>
      <c r="M29" s="623"/>
      <c r="N29" s="613"/>
    </row>
    <row r="30" spans="1:16">
      <c r="A30" s="569" t="str">
        <f t="shared" ca="1" si="0"/>
        <v/>
      </c>
      <c r="B30" s="619" t="str">
        <f ca="1">IF(ROWS($1:17)&gt;COUNT(Dong11),"",OFFSET(TH!D$1,SMALL(Dong11,ROWS($1:17)),))</f>
        <v/>
      </c>
      <c r="C30" s="620" t="str">
        <f ca="1">IF(ROWS($1:17)&gt;COUNT(Dong11),"",OFFSET(TH!E$1,SMALL(Dong11,ROWS($1:17)),))</f>
        <v/>
      </c>
      <c r="D30" s="621" t="str">
        <f ca="1">IF(ROWS($1:17)&gt;COUNT(Dong11),"",OFFSET(TH!F$1,SMALL(Dong11,ROWS($1:17)),)&amp;" - "&amp;OFFSET(TH!H$1,SMALL(Dong11,ROWS($1:17)),))</f>
        <v/>
      </c>
      <c r="E30" s="619" t="str">
        <f ca="1">IF(ROWS($1:17)&gt;COUNT(Dong11),"",IF(OFFSET(TH!N$1,SMALL(Dong11,ROWS($1:17)),)=$G$7,OFFSET(TH!O$1,SMALL(Dong11,ROWS($1:17)),),OFFSET(TH!N$1,SMALL(Dong11,ROWS($1:17)),)))</f>
        <v/>
      </c>
      <c r="F30" s="622">
        <f ca="1">IF(ROWS($1:17)&gt;COUNT(Dong11),0,OFFSET(TH!J$1,SMALL(Dong11,ROWS($1:17)),))</f>
        <v>0</v>
      </c>
      <c r="G30" s="622">
        <f ca="1">IF(ROWS($1:17)&gt;COUNT(Dong11),0,IF(MID(OFFSET(TH!D$1,SMALL(Dong11,ROWS($1:17)),),4,1)="N",OFFSET(TH!I$1,SMALL(Dong11,ROWS($1:17)),),0))</f>
        <v>0</v>
      </c>
      <c r="H30" s="623">
        <f t="shared" ca="1" si="1"/>
        <v>0</v>
      </c>
      <c r="I30" s="622">
        <f ca="1">IF(ROWS($1:17)&gt;COUNT(Dong11),0,IF(MID(OFFSET(TH!D$1,SMALL(Dong11,ROWS($1:17)),),4,1)="X",OFFSET(TH!I$1,SMALL(Dong11,ROWS($1:17)),),0))</f>
        <v>0</v>
      </c>
      <c r="J30" s="623">
        <f t="shared" ca="1" si="2"/>
        <v>0</v>
      </c>
      <c r="K30" s="623">
        <f t="shared" ca="1" si="3"/>
        <v>0</v>
      </c>
      <c r="L30" s="623">
        <f t="shared" ca="1" si="4"/>
        <v>0</v>
      </c>
      <c r="M30" s="623"/>
      <c r="N30" s="613"/>
    </row>
    <row r="31" spans="1:16">
      <c r="A31" s="569" t="str">
        <f t="shared" si="0"/>
        <v/>
      </c>
      <c r="B31" s="626"/>
      <c r="C31" s="627"/>
      <c r="D31" s="628"/>
      <c r="E31" s="629"/>
      <c r="F31" s="630"/>
      <c r="G31" s="615"/>
      <c r="H31" s="615"/>
      <c r="I31" s="615"/>
      <c r="J31" s="615"/>
      <c r="K31" s="615"/>
      <c r="L31" s="615"/>
      <c r="M31" s="631"/>
      <c r="N31" s="613"/>
    </row>
    <row r="32" spans="1:16">
      <c r="A32" s="632"/>
      <c r="B32" s="632"/>
      <c r="C32" s="632"/>
      <c r="D32" s="632" t="s">
        <v>493</v>
      </c>
      <c r="E32" s="611" t="s">
        <v>21</v>
      </c>
      <c r="F32" s="611" t="s">
        <v>21</v>
      </c>
      <c r="G32" s="633">
        <f ca="1">SUM(G14:G31)</f>
        <v>0</v>
      </c>
      <c r="H32" s="633">
        <f ca="1">SUM(H14:H31)</f>
        <v>0</v>
      </c>
      <c r="I32" s="633">
        <f ca="1">SUM(I14:I31)</f>
        <v>2700</v>
      </c>
      <c r="J32" s="633">
        <f ca="1">SUM(J14:J31)</f>
        <v>12059070</v>
      </c>
      <c r="K32" s="633">
        <f ca="1">K13+G32-I32</f>
        <v>11238</v>
      </c>
      <c r="L32" s="633">
        <f ca="1">L13+H32-J32</f>
        <v>50192530</v>
      </c>
      <c r="M32" s="632"/>
      <c r="N32" s="613"/>
    </row>
    <row r="33" spans="2:14">
      <c r="B33" s="634" t="s">
        <v>494</v>
      </c>
      <c r="G33" s="625"/>
      <c r="N33" s="613"/>
    </row>
    <row r="34" spans="2:14">
      <c r="B34" s="635" t="str">
        <f ca="1">IF(ISERROR(" - Ngày mở sổ: ngày "&amp;DAY(C14)&amp;" tháng "&amp;MONTH(C14)&amp;" năm "&amp;YEAR(C14))," - Ngày mở sổ: ngày 01 tháng  01 năm 2016 "," - Ngày mở sổ: ngày "&amp;DAY(C14)&amp;" tháng "&amp;MONTH(C14)&amp;" năm "&amp;YEAR(C14))</f>
        <v xml:space="preserve"> - Ngày mở sổ: ngày 30 tháng 3 năm 2016</v>
      </c>
      <c r="G34" s="625"/>
      <c r="I34" s="625"/>
      <c r="N34" s="613"/>
    </row>
    <row r="35" spans="2:14">
      <c r="B35" s="600"/>
      <c r="C35" s="600"/>
      <c r="D35" s="600"/>
      <c r="F35" s="600"/>
      <c r="G35" s="636"/>
      <c r="H35" s="601"/>
      <c r="I35" s="637"/>
      <c r="J35" s="1339" t="s">
        <v>460</v>
      </c>
      <c r="K35" s="1339"/>
      <c r="L35" s="1339"/>
      <c r="M35" s="1339"/>
      <c r="N35" s="613"/>
    </row>
    <row r="36" spans="2:14">
      <c r="C36" s="600"/>
      <c r="D36" s="1108" t="s">
        <v>11</v>
      </c>
      <c r="E36" s="1339" t="s">
        <v>12</v>
      </c>
      <c r="F36" s="1339"/>
      <c r="G36" s="1339"/>
      <c r="H36" s="1339"/>
      <c r="I36" s="1339"/>
      <c r="J36" s="1339" t="s">
        <v>131</v>
      </c>
      <c r="K36" s="1339"/>
      <c r="L36" s="1339"/>
      <c r="M36" s="1339"/>
      <c r="N36" s="613"/>
    </row>
    <row r="37" spans="2:14">
      <c r="C37" s="600"/>
      <c r="D37" s="1108" t="s">
        <v>13</v>
      </c>
      <c r="E37" s="1339" t="s">
        <v>13</v>
      </c>
      <c r="F37" s="1339"/>
      <c r="G37" s="1339"/>
      <c r="H37" s="1339" t="s">
        <v>161</v>
      </c>
      <c r="I37" s="1339"/>
      <c r="J37" s="1339" t="s">
        <v>161</v>
      </c>
      <c r="K37" s="1339"/>
      <c r="L37" s="1339"/>
      <c r="M37" s="1339"/>
      <c r="N37" s="613"/>
    </row>
    <row r="38" spans="2:14">
      <c r="N38" s="638"/>
    </row>
    <row r="39" spans="2:14">
      <c r="E39" s="588"/>
    </row>
    <row r="41" spans="2:14" customFormat="1" ht="12.75">
      <c r="E41" s="639"/>
    </row>
    <row r="46" spans="2:14">
      <c r="D46" s="1141" t="s">
        <v>230</v>
      </c>
      <c r="E46" s="1141"/>
      <c r="J46" s="1335" t="s">
        <v>125</v>
      </c>
      <c r="K46" s="1335"/>
      <c r="L46" s="1335"/>
      <c r="M46" s="1335"/>
      <c r="N46" s="1142"/>
    </row>
  </sheetData>
  <mergeCells count="20">
    <mergeCell ref="J2:M2"/>
    <mergeCell ref="J3:M4"/>
    <mergeCell ref="B5:M5"/>
    <mergeCell ref="B6:M6"/>
    <mergeCell ref="J8:L8"/>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645" customWidth="1"/>
    <col min="2" max="2" width="9.140625" style="645"/>
    <col min="3" max="3" width="9.140625" style="709" customWidth="1"/>
    <col min="4" max="4" width="10.85546875" style="709" customWidth="1"/>
    <col min="5" max="5" width="39.42578125" style="710" customWidth="1"/>
    <col min="6" max="6" width="10.85546875" style="711" customWidth="1"/>
    <col min="7" max="7" width="9" style="712" customWidth="1"/>
    <col min="8" max="8" width="9.5703125" style="712" customWidth="1"/>
    <col min="9" max="9" width="10" style="712" customWidth="1"/>
    <col min="10" max="10" width="8" style="645" customWidth="1"/>
    <col min="11" max="11" width="2.42578125" style="645" customWidth="1"/>
    <col min="12" max="12" width="6.5703125" style="645" customWidth="1"/>
    <col min="13" max="16384" width="9.140625" style="645"/>
  </cols>
  <sheetData>
    <row r="1" spans="1:12" ht="15" customHeight="1">
      <c r="A1" s="640" t="s">
        <v>182</v>
      </c>
      <c r="B1" s="641"/>
      <c r="C1" s="641"/>
      <c r="D1" s="641"/>
      <c r="E1" s="642"/>
      <c r="F1" s="641"/>
      <c r="G1" s="643"/>
      <c r="H1" s="644" t="s">
        <v>495</v>
      </c>
      <c r="I1" s="645"/>
      <c r="J1" s="646"/>
      <c r="K1" s="646"/>
      <c r="L1" s="647"/>
    </row>
    <row r="2" spans="1:12" ht="15" customHeight="1">
      <c r="A2" s="648" t="s">
        <v>319</v>
      </c>
      <c r="B2" s="649"/>
      <c r="C2" s="649"/>
      <c r="D2" s="649"/>
      <c r="E2" s="650"/>
      <c r="F2" s="651"/>
      <c r="G2" s="652"/>
      <c r="H2" s="653" t="s">
        <v>320</v>
      </c>
      <c r="I2" s="645"/>
      <c r="J2" s="646"/>
      <c r="K2" s="646"/>
    </row>
    <row r="3" spans="1:12" ht="15">
      <c r="A3" s="649"/>
      <c r="B3" s="649"/>
      <c r="C3" s="649"/>
      <c r="D3" s="649"/>
      <c r="E3" s="650"/>
      <c r="F3" s="651"/>
      <c r="G3" s="652"/>
      <c r="H3" s="653" t="s">
        <v>238</v>
      </c>
      <c r="I3" s="645"/>
      <c r="J3" s="646"/>
      <c r="K3" s="646"/>
    </row>
    <row r="4" spans="1:12" ht="18.75" customHeight="1">
      <c r="A4" s="654"/>
      <c r="B4" s="654"/>
      <c r="C4" s="654"/>
      <c r="D4" s="654"/>
      <c r="E4" s="655" t="s">
        <v>496</v>
      </c>
      <c r="F4" s="654"/>
      <c r="G4" s="654"/>
      <c r="H4" s="654"/>
      <c r="I4" s="654"/>
      <c r="J4" s="646"/>
      <c r="K4" s="646"/>
    </row>
    <row r="5" spans="1:12" ht="15">
      <c r="A5" s="656"/>
      <c r="B5" s="656"/>
      <c r="C5" s="656"/>
      <c r="D5" s="656"/>
      <c r="E5" s="657" t="str">
        <f ca="1">IF(ISERROR("Ngày lập thẻ: ngày "&amp;DAY(B14)&amp;"/"&amp;MONTH(B14)&amp;"/"&amp;YEAR(B14)),"Ngày lập thẻ: ngày 01/ 01/2016 ","Ngày lập thẻ: ngày "&amp;DAY(B14)&amp;"/"&amp;MONTH(B14)&amp;"/"&amp;YEAR(B14))</f>
        <v>Ngày lập thẻ: ngày 5/1/2016</v>
      </c>
      <c r="F5" s="656"/>
      <c r="G5" s="656"/>
      <c r="H5" s="656"/>
      <c r="I5" s="656"/>
      <c r="J5" s="646"/>
      <c r="K5" s="646"/>
    </row>
    <row r="6" spans="1:12" ht="15">
      <c r="A6" s="656"/>
      <c r="B6" s="656"/>
      <c r="C6" s="656"/>
      <c r="D6" s="656"/>
      <c r="E6" s="657" t="s">
        <v>497</v>
      </c>
      <c r="F6" s="656"/>
      <c r="G6" s="656"/>
      <c r="H6" s="656"/>
      <c r="I6" s="656"/>
      <c r="J6" s="646"/>
      <c r="K6" s="646"/>
    </row>
    <row r="7" spans="1:12" ht="15">
      <c r="A7" s="635" t="s">
        <v>498</v>
      </c>
      <c r="B7" s="635"/>
      <c r="C7" s="658"/>
      <c r="D7" s="658"/>
      <c r="E7" s="659" t="s">
        <v>349</v>
      </c>
      <c r="F7" s="651"/>
      <c r="G7" s="660"/>
      <c r="H7" s="660"/>
      <c r="I7" s="660"/>
      <c r="J7" s="646"/>
      <c r="K7" s="646"/>
    </row>
    <row r="8" spans="1:12" ht="15">
      <c r="A8" s="635" t="s">
        <v>499</v>
      </c>
      <c r="B8" s="635"/>
      <c r="C8" s="646" t="str">
        <f>VLOOKUP($E$7,NXT!$C$12:$L$55,2,0)</f>
        <v>kg</v>
      </c>
      <c r="D8" s="635"/>
      <c r="E8" s="659"/>
      <c r="F8" s="651"/>
      <c r="G8" s="660"/>
      <c r="H8" s="660"/>
      <c r="I8" s="660"/>
      <c r="J8" s="646"/>
      <c r="K8" s="646"/>
    </row>
    <row r="9" spans="1:12" ht="15">
      <c r="A9" s="1347" t="s">
        <v>500</v>
      </c>
      <c r="B9" s="1348"/>
      <c r="C9" s="1348"/>
      <c r="D9" s="1348"/>
      <c r="E9" s="659"/>
      <c r="F9" s="651"/>
      <c r="G9" s="660"/>
      <c r="H9" s="660"/>
      <c r="I9" s="660"/>
      <c r="J9" s="661"/>
      <c r="K9" s="661"/>
    </row>
    <row r="10" spans="1:12" ht="19.5" customHeight="1">
      <c r="A10" s="1349" t="s">
        <v>501</v>
      </c>
      <c r="B10" s="1350" t="s">
        <v>502</v>
      </c>
      <c r="C10" s="1352" t="s">
        <v>17</v>
      </c>
      <c r="D10" s="1353"/>
      <c r="E10" s="1354" t="s">
        <v>0</v>
      </c>
      <c r="F10" s="1363" t="s">
        <v>503</v>
      </c>
      <c r="G10" s="1357" t="s">
        <v>471</v>
      </c>
      <c r="H10" s="1357"/>
      <c r="I10" s="1353"/>
      <c r="J10" s="1358" t="s">
        <v>504</v>
      </c>
      <c r="K10" s="662"/>
      <c r="L10" s="663" t="s">
        <v>489</v>
      </c>
    </row>
    <row r="11" spans="1:12" ht="19.5" customHeight="1">
      <c r="A11" s="1349"/>
      <c r="B11" s="1351"/>
      <c r="C11" s="664" t="s">
        <v>486</v>
      </c>
      <c r="D11" s="664" t="s">
        <v>487</v>
      </c>
      <c r="E11" s="1355"/>
      <c r="F11" s="1364"/>
      <c r="G11" s="665" t="s">
        <v>486</v>
      </c>
      <c r="H11" s="665" t="s">
        <v>487</v>
      </c>
      <c r="I11" s="665" t="s">
        <v>488</v>
      </c>
      <c r="J11" s="1359"/>
      <c r="K11" s="662"/>
    </row>
    <row r="12" spans="1:12" ht="15">
      <c r="A12" s="666" t="s">
        <v>2</v>
      </c>
      <c r="B12" s="667" t="s">
        <v>3</v>
      </c>
      <c r="C12" s="668" t="s">
        <v>4</v>
      </c>
      <c r="D12" s="668" t="s">
        <v>5</v>
      </c>
      <c r="E12" s="669" t="s">
        <v>6</v>
      </c>
      <c r="F12" s="667" t="s">
        <v>155</v>
      </c>
      <c r="G12" s="670">
        <v>1</v>
      </c>
      <c r="H12" s="670">
        <v>2</v>
      </c>
      <c r="I12" s="670">
        <v>3</v>
      </c>
      <c r="J12" s="668" t="s">
        <v>156</v>
      </c>
      <c r="K12" s="671"/>
    </row>
    <row r="13" spans="1:12" ht="16.5" customHeight="1">
      <c r="A13" s="672"/>
      <c r="B13" s="673"/>
      <c r="C13" s="674"/>
      <c r="D13" s="674"/>
      <c r="E13" s="675" t="s">
        <v>334</v>
      </c>
      <c r="F13" s="673"/>
      <c r="G13" s="676"/>
      <c r="H13" s="676"/>
      <c r="I13" s="677">
        <f>VLOOKUP($E$7,NXT!$C$12:$L$55,3,0)</f>
        <v>300</v>
      </c>
      <c r="J13" s="672"/>
      <c r="K13" s="678"/>
    </row>
    <row r="14" spans="1:12" ht="16.5" customHeight="1">
      <c r="A14" s="679">
        <f ca="1">IF(B14&lt;&gt;"",ROW()-(ROW()-1),"")</f>
        <v>1</v>
      </c>
      <c r="B14" s="680">
        <f ca="1">IF(ROWS($1:1)&gt;COUNT(Dong12),"",OFFSET(TH!E$1,SMALL(Dong12,ROWS($1:1)),))</f>
        <v>42374</v>
      </c>
      <c r="C14" s="871" t="str">
        <f ca="1">IF(ROWS($1:1)&gt;COUNT(Dong12),"",IF(MID(OFFSET(TH!D$1,SMALL(Dong12,ROWS($1:1)),),4,1)="N",OFFSET(TH!D$1,SMALL(Dong12,ROWS($1:1)),),""))</f>
        <v>VL/N01</v>
      </c>
      <c r="D14" s="680" t="str">
        <f ca="1">IF(ROWS($1:1)&gt;COUNT(Dong12),"",IF(MID(OFFSET(TH!D$1,SMALL(Dong12,ROWS($1:1)),),4,1)="X",OFFSET(TH!D$1,SMALL(Dong12,ROWS($1:1)),),""))</f>
        <v/>
      </c>
      <c r="E14" s="681" t="str">
        <f ca="1">IF(ROWS($1:1)&gt;COUNT(Dong12),"",OFFSET(TH!F$1,SMALL(Dong12,ROWS($1:1)),)&amp;" - "&amp;OFFSET(TH!H$1,SMALL(Dong12,ROWS($1:1)),))</f>
        <v>Đường - Cty TNHH TM - DV Thanh Thanh</v>
      </c>
      <c r="F14" s="680">
        <f ca="1">B14</f>
        <v>42374</v>
      </c>
      <c r="G14" s="682">
        <f ca="1">IF(ROWS($1:1)&gt;COUNT(Dong12),0,IF(MID(OFFSET(TH!D$1,SMALL(Dong12,ROWS($1:1)),),4,1)="N",OFFSET(TH!I$1,SMALL(Dong12,ROWS($1:1)),),0))</f>
        <v>1000</v>
      </c>
      <c r="H14" s="682">
        <f ca="1">IF(ROWS($1:1)&gt;COUNT(Dong12),0,IF(MID(OFFSET(TH!D$1,SMALL(Dong12,ROWS($1:1)),),4,1)="X",OFFSET(TH!I$1,SMALL(Dong12,ROWS($1:1)),),0))</f>
        <v>0</v>
      </c>
      <c r="I14" s="683">
        <f ca="1">IF(E14&lt;&gt;"",I13+G14-H14,0)</f>
        <v>1300</v>
      </c>
      <c r="J14" s="684"/>
      <c r="K14" s="685"/>
    </row>
    <row r="15" spans="1:12" ht="16.5" customHeight="1">
      <c r="A15" s="686">
        <f ca="1">IF(B15&lt;&gt;"",A14+1,"")</f>
        <v>2</v>
      </c>
      <c r="B15" s="680">
        <f ca="1">IF(ROWS($1:2)&gt;COUNT(Dong12),"",OFFSET(TH!E$1,SMALL(Dong12,ROWS($1:2)),))</f>
        <v>42387</v>
      </c>
      <c r="C15" s="871" t="str">
        <f ca="1">IF(ROWS($1:2)&gt;COUNT(Dong12),"",IF(MID(OFFSET(TH!D$1,SMALL(Dong12,ROWS($1:2)),),4,1)="N",OFFSET(TH!D$1,SMALL(Dong12,ROWS($1:2)),),""))</f>
        <v>VL/N05</v>
      </c>
      <c r="D15" s="680" t="str">
        <f ca="1">IF(ROWS($1:2)&gt;COUNT(Dong12),"",IF(MID(OFFSET(TH!D$1,SMALL(Dong12,ROWS($1:2)),),4,1)="X",OFFSET(TH!D$1,SMALL(Dong12,ROWS($1:2)),),""))</f>
        <v/>
      </c>
      <c r="E15" s="681" t="str">
        <f ca="1">IF(ROWS($1:2)&gt;COUNT(Dong12),"",OFFSET(TH!F$1,SMALL(Dong12,ROWS($1:2)),)&amp;" - "&amp;OFFSET(TH!H$1,SMALL(Dong12,ROWS($1:2)),))</f>
        <v>Đường - Cty TNHH TM - DV Thanh Thanh</v>
      </c>
      <c r="F15" s="680">
        <f t="shared" ref="F15:F30" ca="1" si="0">B15</f>
        <v>42387</v>
      </c>
      <c r="G15" s="682">
        <f ca="1">IF(ROWS($1:2)&gt;COUNT(Dong12),0,IF(MID(OFFSET(TH!D$1,SMALL(Dong12,ROWS($1:2)),),4,1)="N",OFFSET(TH!I$1,SMALL(Dong12,ROWS($1:2)),),0))</f>
        <v>1000</v>
      </c>
      <c r="H15" s="682">
        <f ca="1">IF(ROWS($1:2)&gt;COUNT(Dong12),0,IF(MID(OFFSET(TH!D$1,SMALL(Dong12,ROWS($1:2)),),4,1)="X",OFFSET(TH!I$1,SMALL(Dong12,ROWS($1:2)),),0))</f>
        <v>0</v>
      </c>
      <c r="I15" s="683">
        <f t="shared" ref="I15:I30" ca="1" si="1">IF(E15&lt;&gt;"",I14+G15-H15,0)</f>
        <v>2300</v>
      </c>
      <c r="J15" s="684"/>
      <c r="K15" s="685"/>
    </row>
    <row r="16" spans="1:12" ht="16.5" customHeight="1">
      <c r="A16" s="686">
        <f t="shared" ref="A16:A30" ca="1" si="2">IF(B16&lt;&gt;"",A15+1,"")</f>
        <v>3</v>
      </c>
      <c r="B16" s="680">
        <f ca="1">IF(ROWS($1:3)&gt;COUNT(Dong12),"",OFFSET(TH!E$1,SMALL(Dong12,ROWS($1:3)),))</f>
        <v>42371</v>
      </c>
      <c r="C16" s="871" t="str">
        <f ca="1">IF(ROWS($1:3)&gt;COUNT(Dong12),"",IF(MID(OFFSET(TH!D$1,SMALL(Dong12,ROWS($1:3)),),4,1)="N",OFFSET(TH!D$1,SMALL(Dong12,ROWS($1:3)),),""))</f>
        <v/>
      </c>
      <c r="D16" s="680" t="str">
        <f ca="1">IF(ROWS($1:3)&gt;COUNT(Dong12),"",IF(MID(OFFSET(TH!D$1,SMALL(Dong12,ROWS($1:3)),),4,1)="X",OFFSET(TH!D$1,SMALL(Dong12,ROWS($1:3)),),""))</f>
        <v>VL/X01</v>
      </c>
      <c r="E16" s="681" t="str">
        <f ca="1">IF(ROWS($1:3)&gt;COUNT(Dong12),"",OFFSET(TH!F$1,SMALL(Dong12,ROWS($1:3)),)&amp;" - "&amp;OFFSET(TH!H$1,SMALL(Dong12,ROWS($1:3)),))</f>
        <v>Đường - Xuất SX</v>
      </c>
      <c r="F16" s="680">
        <f t="shared" ca="1" si="0"/>
        <v>42371</v>
      </c>
      <c r="G16" s="682">
        <f ca="1">IF(ROWS($1:3)&gt;COUNT(Dong12),0,IF(MID(OFFSET(TH!D$1,SMALL(Dong12,ROWS($1:3)),),4,1)="N",OFFSET(TH!I$1,SMALL(Dong12,ROWS($1:3)),),0))</f>
        <v>0</v>
      </c>
      <c r="H16" s="682">
        <f ca="1">IF(ROWS($1:3)&gt;COUNT(Dong12),0,IF(MID(OFFSET(TH!D$1,SMALL(Dong12,ROWS($1:3)),),4,1)="X",OFFSET(TH!I$1,SMALL(Dong12,ROWS($1:3)),),0))</f>
        <v>150</v>
      </c>
      <c r="I16" s="683">
        <f t="shared" ca="1" si="1"/>
        <v>2150</v>
      </c>
      <c r="J16" s="684"/>
      <c r="K16" s="685"/>
    </row>
    <row r="17" spans="1:11" ht="16.5" customHeight="1">
      <c r="A17" s="686">
        <f t="shared" ca="1" si="2"/>
        <v>4</v>
      </c>
      <c r="B17" s="680">
        <f ca="1">IF(ROWS($1:4)&gt;COUNT(Dong12),"",OFFSET(TH!E$1,SMALL(Dong12,ROWS($1:4)),))</f>
        <v>42415</v>
      </c>
      <c r="C17" s="871" t="str">
        <f ca="1">IF(ROWS($1:4)&gt;COUNT(Dong12),"",IF(MID(OFFSET(TH!D$1,SMALL(Dong12,ROWS($1:4)),),4,1)="N",OFFSET(TH!D$1,SMALL(Dong12,ROWS($1:4)),),""))</f>
        <v/>
      </c>
      <c r="D17" s="680" t="str">
        <f ca="1">IF(ROWS($1:4)&gt;COUNT(Dong12),"",IF(MID(OFFSET(TH!D$1,SMALL(Dong12,ROWS($1:4)),),4,1)="X",OFFSET(TH!D$1,SMALL(Dong12,ROWS($1:4)),),""))</f>
        <v>VL/X02</v>
      </c>
      <c r="E17" s="681" t="str">
        <f ca="1">IF(ROWS($1:4)&gt;COUNT(Dong12),"",OFFSET(TH!F$1,SMALL(Dong12,ROWS($1:4)),)&amp;" - "&amp;OFFSET(TH!H$1,SMALL(Dong12,ROWS($1:4)),))</f>
        <v>Đường - Xuất SX</v>
      </c>
      <c r="F17" s="680">
        <f t="shared" ca="1" si="0"/>
        <v>42415</v>
      </c>
      <c r="G17" s="682">
        <f ca="1">IF(ROWS($1:4)&gt;COUNT(Dong12),0,IF(MID(OFFSET(TH!D$1,SMALL(Dong12,ROWS($1:4)),),4,1)="N",OFFSET(TH!I$1,SMALL(Dong12,ROWS($1:4)),),0))</f>
        <v>0</v>
      </c>
      <c r="H17" s="682">
        <f ca="1">IF(ROWS($1:4)&gt;COUNT(Dong12),0,IF(MID(OFFSET(TH!D$1,SMALL(Dong12,ROWS($1:4)),),4,1)="X",OFFSET(TH!I$1,SMALL(Dong12,ROWS($1:4)),),0))</f>
        <v>150</v>
      </c>
      <c r="I17" s="683">
        <f t="shared" ca="1" si="1"/>
        <v>2000</v>
      </c>
      <c r="J17" s="684"/>
      <c r="K17" s="685"/>
    </row>
    <row r="18" spans="1:11" ht="16.5" customHeight="1">
      <c r="A18" s="686">
        <f t="shared" ca="1" si="2"/>
        <v>5</v>
      </c>
      <c r="B18" s="680">
        <f ca="1">IF(ROWS($1:5)&gt;COUNT(Dong12),"",OFFSET(TH!E$1,SMALL(Dong12,ROWS($1:5)),))</f>
        <v>42437</v>
      </c>
      <c r="C18" s="871" t="str">
        <f ca="1">IF(ROWS($1:5)&gt;COUNT(Dong12),"",IF(MID(OFFSET(TH!D$1,SMALL(Dong12,ROWS($1:5)),),4,1)="N",OFFSET(TH!D$1,SMALL(Dong12,ROWS($1:5)),),""))</f>
        <v>VL/N02</v>
      </c>
      <c r="D18" s="680" t="str">
        <f ca="1">IF(ROWS($1:5)&gt;COUNT(Dong12),"",IF(MID(OFFSET(TH!D$1,SMALL(Dong12,ROWS($1:5)),),4,1)="X",OFFSET(TH!D$1,SMALL(Dong12,ROWS($1:5)),),""))</f>
        <v/>
      </c>
      <c r="E18" s="681" t="str">
        <f ca="1">IF(ROWS($1:5)&gt;COUNT(Dong12),"",OFFSET(TH!F$1,SMALL(Dong12,ROWS($1:5)),)&amp;" - "&amp;OFFSET(TH!H$1,SMALL(Dong12,ROWS($1:5)),))</f>
        <v>Đường - Cty TNHH TM - DV Thanh Thanh</v>
      </c>
      <c r="F18" s="680">
        <f t="shared" ca="1" si="0"/>
        <v>42437</v>
      </c>
      <c r="G18" s="682">
        <f ca="1">IF(ROWS($1:5)&gt;COUNT(Dong12),0,IF(MID(OFFSET(TH!D$1,SMALL(Dong12,ROWS($1:5)),),4,1)="N",OFFSET(TH!I$1,SMALL(Dong12,ROWS($1:5)),),0))</f>
        <v>1000</v>
      </c>
      <c r="H18" s="682">
        <f ca="1">IF(ROWS($1:5)&gt;COUNT(Dong12),0,IF(MID(OFFSET(TH!D$1,SMALL(Dong12,ROWS($1:5)),),4,1)="X",OFFSET(TH!I$1,SMALL(Dong12,ROWS($1:5)),),0))</f>
        <v>0</v>
      </c>
      <c r="I18" s="683">
        <f t="shared" ca="1" si="1"/>
        <v>3000</v>
      </c>
      <c r="J18" s="684"/>
      <c r="K18" s="685"/>
    </row>
    <row r="19" spans="1:11" ht="16.5" customHeight="1">
      <c r="A19" s="686">
        <f t="shared" ca="1" si="2"/>
        <v>6</v>
      </c>
      <c r="B19" s="680">
        <f ca="1">IF(ROWS($1:6)&gt;COUNT(Dong12),"",OFFSET(TH!E$1,SMALL(Dong12,ROWS($1:6)),))</f>
        <v>42457</v>
      </c>
      <c r="C19" s="871" t="str">
        <f ca="1">IF(ROWS($1:6)&gt;COUNT(Dong12),"",IF(MID(OFFSET(TH!D$1,SMALL(Dong12,ROWS($1:6)),),4,1)="N",OFFSET(TH!D$1,SMALL(Dong12,ROWS($1:6)),),""))</f>
        <v>VL/N04</v>
      </c>
      <c r="D19" s="680" t="str">
        <f ca="1">IF(ROWS($1:6)&gt;COUNT(Dong12),"",IF(MID(OFFSET(TH!D$1,SMALL(Dong12,ROWS($1:6)),),4,1)="X",OFFSET(TH!D$1,SMALL(Dong12,ROWS($1:6)),),""))</f>
        <v/>
      </c>
      <c r="E19" s="681" t="str">
        <f ca="1">IF(ROWS($1:6)&gt;COUNT(Dong12),"",OFFSET(TH!F$1,SMALL(Dong12,ROWS($1:6)),)&amp;" - "&amp;OFFSET(TH!H$1,SMALL(Dong12,ROWS($1:6)),))</f>
        <v>Đường - Cty TNHH TM - DV Thanh Thanh</v>
      </c>
      <c r="F19" s="680">
        <f t="shared" ca="1" si="0"/>
        <v>42457</v>
      </c>
      <c r="G19" s="682">
        <f ca="1">IF(ROWS($1:6)&gt;COUNT(Dong12),0,IF(MID(OFFSET(TH!D$1,SMALL(Dong12,ROWS($1:6)),),4,1)="N",OFFSET(TH!I$1,SMALL(Dong12,ROWS($1:6)),),0))</f>
        <v>1000</v>
      </c>
      <c r="H19" s="682">
        <f ca="1">IF(ROWS($1:6)&gt;COUNT(Dong12),0,IF(MID(OFFSET(TH!D$1,SMALL(Dong12,ROWS($1:6)),),4,1)="X",OFFSET(TH!I$1,SMALL(Dong12,ROWS($1:6)),),0))</f>
        <v>0</v>
      </c>
      <c r="I19" s="683">
        <f t="shared" ca="1" si="1"/>
        <v>4000</v>
      </c>
      <c r="J19" s="684"/>
      <c r="K19" s="685"/>
    </row>
    <row r="20" spans="1:11" ht="16.5" customHeight="1">
      <c r="A20" s="686">
        <f t="shared" ca="1" si="2"/>
        <v>7</v>
      </c>
      <c r="B20" s="680">
        <f ca="1">IF(ROWS($1:7)&gt;COUNT(Dong12),"",OFFSET(TH!E$1,SMALL(Dong12,ROWS($1:7)),))</f>
        <v>42431</v>
      </c>
      <c r="C20" s="871" t="str">
        <f ca="1">IF(ROWS($1:7)&gt;COUNT(Dong12),"",IF(MID(OFFSET(TH!D$1,SMALL(Dong12,ROWS($1:7)),),4,1)="N",OFFSET(TH!D$1,SMALL(Dong12,ROWS($1:7)),),""))</f>
        <v/>
      </c>
      <c r="D20" s="680" t="str">
        <f ca="1">IF(ROWS($1:7)&gt;COUNT(Dong12),"",IF(MID(OFFSET(TH!D$1,SMALL(Dong12,ROWS($1:7)),),4,1)="X",OFFSET(TH!D$1,SMALL(Dong12,ROWS($1:7)),),""))</f>
        <v>VL/X01</v>
      </c>
      <c r="E20" s="681" t="str">
        <f ca="1">IF(ROWS($1:7)&gt;COUNT(Dong12),"",OFFSET(TH!F$1,SMALL(Dong12,ROWS($1:7)),)&amp;" - "&amp;OFFSET(TH!H$1,SMALL(Dong12,ROWS($1:7)),))</f>
        <v>Đường - Xuất SX</v>
      </c>
      <c r="F20" s="680">
        <f t="shared" ca="1" si="0"/>
        <v>42431</v>
      </c>
      <c r="G20" s="682">
        <f ca="1">IF(ROWS($1:7)&gt;COUNT(Dong12),0,IF(MID(OFFSET(TH!D$1,SMALL(Dong12,ROWS($1:7)),),4,1)="N",OFFSET(TH!I$1,SMALL(Dong12,ROWS($1:7)),),0))</f>
        <v>0</v>
      </c>
      <c r="H20" s="682">
        <f ca="1">IF(ROWS($1:7)&gt;COUNT(Dong12),0,IF(MID(OFFSET(TH!D$1,SMALL(Dong12,ROWS($1:7)),),4,1)="X",OFFSET(TH!I$1,SMALL(Dong12,ROWS($1:7)),),0))</f>
        <v>150</v>
      </c>
      <c r="I20" s="683">
        <f t="shared" ca="1" si="1"/>
        <v>3850</v>
      </c>
      <c r="J20" s="684"/>
      <c r="K20" s="685"/>
    </row>
    <row r="21" spans="1:11" ht="16.5" customHeight="1">
      <c r="A21" s="686" t="str">
        <f t="shared" ca="1" si="2"/>
        <v/>
      </c>
      <c r="B21" s="680" t="str">
        <f ca="1">IF(ROWS($1:8)&gt;COUNT(Dong12),"",OFFSET(TH!E$1,SMALL(Dong12,ROWS($1:8)),))</f>
        <v/>
      </c>
      <c r="C21" s="871" t="str">
        <f ca="1">IF(ROWS($1:8)&gt;COUNT(Dong12),"",IF(MID(OFFSET(TH!D$1,SMALL(Dong12,ROWS($1:8)),),4,1)="N",OFFSET(TH!D$1,SMALL(Dong12,ROWS($1:8)),),""))</f>
        <v/>
      </c>
      <c r="D21" s="680" t="str">
        <f ca="1">IF(ROWS($1:8)&gt;COUNT(Dong12),"",IF(MID(OFFSET(TH!D$1,SMALL(Dong12,ROWS($1:8)),),4,1)="X",OFFSET(TH!D$1,SMALL(Dong12,ROWS($1:8)),),""))</f>
        <v/>
      </c>
      <c r="E21" s="681" t="str">
        <f ca="1">IF(ROWS($1:8)&gt;COUNT(Dong12),"",OFFSET(TH!F$1,SMALL(Dong12,ROWS($1:8)),)&amp;" - "&amp;OFFSET(TH!H$1,SMALL(Dong12,ROWS($1:8)),))</f>
        <v/>
      </c>
      <c r="F21" s="680" t="str">
        <f t="shared" ca="1" si="0"/>
        <v/>
      </c>
      <c r="G21" s="682">
        <f ca="1">IF(ROWS($1:8)&gt;COUNT(Dong12),0,IF(MID(OFFSET(TH!D$1,SMALL(Dong12,ROWS($1:8)),),4,1)="N",OFFSET(TH!I$1,SMALL(Dong12,ROWS($1:8)),),0))</f>
        <v>0</v>
      </c>
      <c r="H21" s="682">
        <f ca="1">IF(ROWS($1:8)&gt;COUNT(Dong12),0,IF(MID(OFFSET(TH!D$1,SMALL(Dong12,ROWS($1:8)),),4,1)="X",OFFSET(TH!I$1,SMALL(Dong12,ROWS($1:8)),),0))</f>
        <v>0</v>
      </c>
      <c r="I21" s="683">
        <f t="shared" ca="1" si="1"/>
        <v>0</v>
      </c>
      <c r="J21" s="684"/>
      <c r="K21" s="685"/>
    </row>
    <row r="22" spans="1:11" ht="16.5" customHeight="1">
      <c r="A22" s="686" t="str">
        <f t="shared" ca="1" si="2"/>
        <v/>
      </c>
      <c r="B22" s="680" t="str">
        <f ca="1">IF(ROWS($1:9)&gt;COUNT(Dong12),"",OFFSET(TH!E$1,SMALL(Dong12,ROWS($1:9)),))</f>
        <v/>
      </c>
      <c r="C22" s="871" t="str">
        <f ca="1">IF(ROWS($1:9)&gt;COUNT(Dong12),"",IF(MID(OFFSET(TH!D$1,SMALL(Dong12,ROWS($1:9)),),4,1)="N",OFFSET(TH!D$1,SMALL(Dong12,ROWS($1:9)),),""))</f>
        <v/>
      </c>
      <c r="D22" s="680" t="str">
        <f ca="1">IF(ROWS($1:9)&gt;COUNT(Dong12),"",IF(MID(OFFSET(TH!D$1,SMALL(Dong12,ROWS($1:9)),),4,1)="X",OFFSET(TH!D$1,SMALL(Dong12,ROWS($1:9)),),""))</f>
        <v/>
      </c>
      <c r="E22" s="681" t="str">
        <f ca="1">IF(ROWS($1:9)&gt;COUNT(Dong12),"",OFFSET(TH!F$1,SMALL(Dong12,ROWS($1:9)),)&amp;" - "&amp;OFFSET(TH!H$1,SMALL(Dong12,ROWS($1:9)),))</f>
        <v/>
      </c>
      <c r="F22" s="680" t="str">
        <f t="shared" ca="1" si="0"/>
        <v/>
      </c>
      <c r="G22" s="682">
        <f ca="1">IF(ROWS($1:9)&gt;COUNT(Dong12),0,IF(MID(OFFSET(TH!D$1,SMALL(Dong12,ROWS($1:9)),),4,1)="N",OFFSET(TH!I$1,SMALL(Dong12,ROWS($1:9)),),0))</f>
        <v>0</v>
      </c>
      <c r="H22" s="682">
        <f ca="1">IF(ROWS($1:9)&gt;COUNT(Dong12),0,IF(MID(OFFSET(TH!D$1,SMALL(Dong12,ROWS($1:9)),),4,1)="X",OFFSET(TH!I$1,SMALL(Dong12,ROWS($1:9)),),0))</f>
        <v>0</v>
      </c>
      <c r="I22" s="683">
        <f t="shared" ca="1" si="1"/>
        <v>0</v>
      </c>
      <c r="J22" s="684"/>
      <c r="K22" s="685"/>
    </row>
    <row r="23" spans="1:11" ht="16.5" customHeight="1">
      <c r="A23" s="686" t="str">
        <f t="shared" ca="1" si="2"/>
        <v/>
      </c>
      <c r="B23" s="680" t="str">
        <f ca="1">IF(ROWS($1:10)&gt;COUNT(Dong12),"",OFFSET(TH!E$1,SMALL(Dong12,ROWS($1:10)),))</f>
        <v/>
      </c>
      <c r="C23" s="871" t="str">
        <f ca="1">IF(ROWS($1:10)&gt;COUNT(Dong12),"",IF(MID(OFFSET(TH!D$1,SMALL(Dong12,ROWS($1:10)),),4,1)="N",OFFSET(TH!D$1,SMALL(Dong12,ROWS($1:10)),),""))</f>
        <v/>
      </c>
      <c r="D23" s="680" t="str">
        <f ca="1">IF(ROWS($1:10)&gt;COUNT(Dong12),"",IF(MID(OFFSET(TH!D$1,SMALL(Dong12,ROWS($1:10)),),4,1)="X",OFFSET(TH!D$1,SMALL(Dong12,ROWS($1:10)),),""))</f>
        <v/>
      </c>
      <c r="E23" s="681" t="str">
        <f ca="1">IF(ROWS($1:10)&gt;COUNT(Dong12),"",OFFSET(TH!F$1,SMALL(Dong12,ROWS($1:10)),)&amp;" - "&amp;OFFSET(TH!H$1,SMALL(Dong12,ROWS($1:10)),))</f>
        <v/>
      </c>
      <c r="F23" s="680" t="str">
        <f t="shared" ca="1" si="0"/>
        <v/>
      </c>
      <c r="G23" s="682">
        <f ca="1">IF(ROWS($1:10)&gt;COUNT(Dong12),0,IF(MID(OFFSET(TH!D$1,SMALL(Dong12,ROWS($1:10)),),4,1)="N",OFFSET(TH!I$1,SMALL(Dong12,ROWS($1:10)),),0))</f>
        <v>0</v>
      </c>
      <c r="H23" s="682">
        <f ca="1">IF(ROWS($1:10)&gt;COUNT(Dong12),0,IF(MID(OFFSET(TH!D$1,SMALL(Dong12,ROWS($1:10)),),4,1)="X",OFFSET(TH!I$1,SMALL(Dong12,ROWS($1:10)),),0))</f>
        <v>0</v>
      </c>
      <c r="I23" s="683">
        <f t="shared" ca="1" si="1"/>
        <v>0</v>
      </c>
      <c r="J23" s="684"/>
      <c r="K23" s="685"/>
    </row>
    <row r="24" spans="1:11" ht="16.5" customHeight="1">
      <c r="A24" s="686" t="str">
        <f t="shared" ca="1" si="2"/>
        <v/>
      </c>
      <c r="B24" s="680" t="str">
        <f ca="1">IF(ROWS($1:11)&gt;COUNT(Dong12),"",OFFSET(TH!E$1,SMALL(Dong12,ROWS($1:11)),))</f>
        <v/>
      </c>
      <c r="C24" s="871" t="str">
        <f ca="1">IF(ROWS($1:11)&gt;COUNT(Dong12),"",IF(MID(OFFSET(TH!D$1,SMALL(Dong12,ROWS($1:11)),),4,1)="N",OFFSET(TH!D$1,SMALL(Dong12,ROWS($1:11)),),""))</f>
        <v/>
      </c>
      <c r="D24" s="680" t="str">
        <f ca="1">IF(ROWS($1:11)&gt;COUNT(Dong12),"",IF(MID(OFFSET(TH!D$1,SMALL(Dong12,ROWS($1:11)),),4,1)="X",OFFSET(TH!D$1,SMALL(Dong12,ROWS($1:11)),),""))</f>
        <v/>
      </c>
      <c r="E24" s="681" t="str">
        <f ca="1">IF(ROWS($1:11)&gt;COUNT(Dong12),"",OFFSET(TH!F$1,SMALL(Dong12,ROWS($1:11)),)&amp;" - "&amp;OFFSET(TH!H$1,SMALL(Dong12,ROWS($1:11)),))</f>
        <v/>
      </c>
      <c r="F24" s="680" t="str">
        <f t="shared" ca="1" si="0"/>
        <v/>
      </c>
      <c r="G24" s="682">
        <f ca="1">IF(ROWS($1:11)&gt;COUNT(Dong12),0,IF(MID(OFFSET(TH!D$1,SMALL(Dong12,ROWS($1:11)),),4,1)="N",OFFSET(TH!I$1,SMALL(Dong12,ROWS($1:11)),),0))</f>
        <v>0</v>
      </c>
      <c r="H24" s="682">
        <f ca="1">IF(ROWS($1:11)&gt;COUNT(Dong12),0,IF(MID(OFFSET(TH!D$1,SMALL(Dong12,ROWS($1:11)),),4,1)="X",OFFSET(TH!I$1,SMALL(Dong12,ROWS($1:11)),),0))</f>
        <v>0</v>
      </c>
      <c r="I24" s="683">
        <f t="shared" ca="1" si="1"/>
        <v>0</v>
      </c>
      <c r="J24" s="684"/>
      <c r="K24" s="685"/>
    </row>
    <row r="25" spans="1:11" ht="16.5" customHeight="1">
      <c r="A25" s="686" t="str">
        <f t="shared" ca="1" si="2"/>
        <v/>
      </c>
      <c r="B25" s="680" t="str">
        <f ca="1">IF(ROWS($1:12)&gt;COUNT(Dong12),"",OFFSET(TH!E$1,SMALL(Dong12,ROWS($1:12)),))</f>
        <v/>
      </c>
      <c r="C25" s="871" t="str">
        <f ca="1">IF(ROWS($1:12)&gt;COUNT(Dong12),"",IF(MID(OFFSET(TH!D$1,SMALL(Dong12,ROWS($1:12)),),4,1)="N",OFFSET(TH!D$1,SMALL(Dong12,ROWS($1:12)),),""))</f>
        <v/>
      </c>
      <c r="D25" s="680" t="str">
        <f ca="1">IF(ROWS($1:12)&gt;COUNT(Dong12),"",IF(MID(OFFSET(TH!D$1,SMALL(Dong12,ROWS($1:12)),),4,1)="X",OFFSET(TH!D$1,SMALL(Dong12,ROWS($1:12)),),""))</f>
        <v/>
      </c>
      <c r="E25" s="681" t="str">
        <f ca="1">IF(ROWS($1:12)&gt;COUNT(Dong12),"",OFFSET(TH!F$1,SMALL(Dong12,ROWS($1:12)),)&amp;" - "&amp;OFFSET(TH!H$1,SMALL(Dong12,ROWS($1:12)),))</f>
        <v/>
      </c>
      <c r="F25" s="680" t="str">
        <f t="shared" ca="1" si="0"/>
        <v/>
      </c>
      <c r="G25" s="682">
        <f ca="1">IF(ROWS($1:12)&gt;COUNT(Dong12),0,IF(MID(OFFSET(TH!D$1,SMALL(Dong12,ROWS($1:12)),),4,1)="N",OFFSET(TH!I$1,SMALL(Dong12,ROWS($1:12)),),0))</f>
        <v>0</v>
      </c>
      <c r="H25" s="682">
        <f ca="1">IF(ROWS($1:12)&gt;COUNT(Dong12),0,IF(MID(OFFSET(TH!D$1,SMALL(Dong12,ROWS($1:12)),),4,1)="X",OFFSET(TH!I$1,SMALL(Dong12,ROWS($1:12)),),0))</f>
        <v>0</v>
      </c>
      <c r="I25" s="683">
        <f t="shared" ca="1" si="1"/>
        <v>0</v>
      </c>
      <c r="J25" s="684"/>
      <c r="K25" s="685"/>
    </row>
    <row r="26" spans="1:11" ht="16.5" customHeight="1">
      <c r="A26" s="686" t="str">
        <f t="shared" ca="1" si="2"/>
        <v/>
      </c>
      <c r="B26" s="680" t="str">
        <f ca="1">IF(ROWS($1:13)&gt;COUNT(Dong12),"",OFFSET(TH!E$1,SMALL(Dong12,ROWS($1:13)),))</f>
        <v/>
      </c>
      <c r="C26" s="871" t="str">
        <f ca="1">IF(ROWS($1:13)&gt;COUNT(Dong12),"",IF(MID(OFFSET(TH!D$1,SMALL(Dong12,ROWS($1:13)),),4,1)="N",OFFSET(TH!D$1,SMALL(Dong12,ROWS($1:13)),),""))</f>
        <v/>
      </c>
      <c r="D26" s="680" t="str">
        <f ca="1">IF(ROWS($1:13)&gt;COUNT(Dong12),"",IF(MID(OFFSET(TH!D$1,SMALL(Dong12,ROWS($1:13)),),4,1)="X",OFFSET(TH!D$1,SMALL(Dong12,ROWS($1:13)),),""))</f>
        <v/>
      </c>
      <c r="E26" s="681" t="str">
        <f ca="1">IF(ROWS($1:13)&gt;COUNT(Dong12),"",OFFSET(TH!F$1,SMALL(Dong12,ROWS($1:13)),)&amp;" - "&amp;OFFSET(TH!H$1,SMALL(Dong12,ROWS($1:13)),))</f>
        <v/>
      </c>
      <c r="F26" s="680" t="str">
        <f t="shared" ca="1" si="0"/>
        <v/>
      </c>
      <c r="G26" s="682">
        <f ca="1">IF(ROWS($1:13)&gt;COUNT(Dong12),0,IF(MID(OFFSET(TH!D$1,SMALL(Dong12,ROWS($1:13)),),4,1)="N",OFFSET(TH!I$1,SMALL(Dong12,ROWS($1:13)),),0))</f>
        <v>0</v>
      </c>
      <c r="H26" s="682">
        <f ca="1">IF(ROWS($1:13)&gt;COUNT(Dong12),0,IF(MID(OFFSET(TH!D$1,SMALL(Dong12,ROWS($1:13)),),4,1)="X",OFFSET(TH!I$1,SMALL(Dong12,ROWS($1:13)),),0))</f>
        <v>0</v>
      </c>
      <c r="I26" s="683">
        <f t="shared" ca="1" si="1"/>
        <v>0</v>
      </c>
      <c r="J26" s="684"/>
      <c r="K26" s="685"/>
    </row>
    <row r="27" spans="1:11" ht="16.5" customHeight="1">
      <c r="A27" s="686" t="str">
        <f t="shared" ca="1" si="2"/>
        <v/>
      </c>
      <c r="B27" s="680" t="str">
        <f ca="1">IF(ROWS($1:14)&gt;COUNT(Dong12),"",OFFSET(TH!E$1,SMALL(Dong12,ROWS($1:14)),))</f>
        <v/>
      </c>
      <c r="C27" s="871" t="str">
        <f ca="1">IF(ROWS($1:14)&gt;COUNT(Dong12),"",IF(MID(OFFSET(TH!D$1,SMALL(Dong12,ROWS($1:14)),),4,1)="N",OFFSET(TH!D$1,SMALL(Dong12,ROWS($1:14)),),""))</f>
        <v/>
      </c>
      <c r="D27" s="680" t="str">
        <f ca="1">IF(ROWS($1:14)&gt;COUNT(Dong12),"",IF(MID(OFFSET(TH!D$1,SMALL(Dong12,ROWS($1:14)),),4,1)="X",OFFSET(TH!D$1,SMALL(Dong12,ROWS($1:14)),),""))</f>
        <v/>
      </c>
      <c r="E27" s="681" t="str">
        <f ca="1">IF(ROWS($1:14)&gt;COUNT(Dong12),"",OFFSET(TH!F$1,SMALL(Dong12,ROWS($1:14)),)&amp;" - "&amp;OFFSET(TH!H$1,SMALL(Dong12,ROWS($1:14)),))</f>
        <v/>
      </c>
      <c r="F27" s="680" t="str">
        <f t="shared" ca="1" si="0"/>
        <v/>
      </c>
      <c r="G27" s="682">
        <f ca="1">IF(ROWS($1:14)&gt;COUNT(Dong12),0,IF(MID(OFFSET(TH!D$1,SMALL(Dong12,ROWS($1:14)),),4,1)="N",OFFSET(TH!I$1,SMALL(Dong12,ROWS($1:14)),),0))</f>
        <v>0</v>
      </c>
      <c r="H27" s="682">
        <f ca="1">IF(ROWS($1:14)&gt;COUNT(Dong12),0,IF(MID(OFFSET(TH!D$1,SMALL(Dong12,ROWS($1:14)),),4,1)="X",OFFSET(TH!I$1,SMALL(Dong12,ROWS($1:14)),),0))</f>
        <v>0</v>
      </c>
      <c r="I27" s="683">
        <f t="shared" ca="1" si="1"/>
        <v>0</v>
      </c>
      <c r="J27" s="684"/>
      <c r="K27" s="685"/>
    </row>
    <row r="28" spans="1:11" ht="16.5" customHeight="1">
      <c r="A28" s="686" t="str">
        <f t="shared" ca="1" si="2"/>
        <v/>
      </c>
      <c r="B28" s="680" t="str">
        <f ca="1">IF(ROWS($1:15)&gt;COUNT(Dong12),"",OFFSET(TH!E$1,SMALL(Dong12,ROWS($1:15)),))</f>
        <v/>
      </c>
      <c r="C28" s="871" t="str">
        <f ca="1">IF(ROWS($1:15)&gt;COUNT(Dong12),"",IF(MID(OFFSET(TH!D$1,SMALL(Dong12,ROWS($1:15)),),4,1)="N",OFFSET(TH!D$1,SMALL(Dong12,ROWS($1:15)),),""))</f>
        <v/>
      </c>
      <c r="D28" s="680" t="str">
        <f ca="1">IF(ROWS($1:15)&gt;COUNT(Dong12),"",IF(MID(OFFSET(TH!D$1,SMALL(Dong12,ROWS($1:15)),),4,1)="X",OFFSET(TH!D$1,SMALL(Dong12,ROWS($1:15)),),""))</f>
        <v/>
      </c>
      <c r="E28" s="681" t="str">
        <f ca="1">IF(ROWS($1:15)&gt;COUNT(Dong12),"",OFFSET(TH!F$1,SMALL(Dong12,ROWS($1:15)),)&amp;" - "&amp;OFFSET(TH!H$1,SMALL(Dong12,ROWS($1:15)),))</f>
        <v/>
      </c>
      <c r="F28" s="680" t="str">
        <f t="shared" ca="1" si="0"/>
        <v/>
      </c>
      <c r="G28" s="682">
        <f ca="1">IF(ROWS($1:15)&gt;COUNT(Dong12),0,IF(MID(OFFSET(TH!D$1,SMALL(Dong12,ROWS($1:15)),),4,1)="N",OFFSET(TH!I$1,SMALL(Dong12,ROWS($1:15)),),0))</f>
        <v>0</v>
      </c>
      <c r="H28" s="682">
        <f ca="1">IF(ROWS($1:15)&gt;COUNT(Dong12),0,IF(MID(OFFSET(TH!D$1,SMALL(Dong12,ROWS($1:15)),),4,1)="X",OFFSET(TH!I$1,SMALL(Dong12,ROWS($1:15)),),0))</f>
        <v>0</v>
      </c>
      <c r="I28" s="683">
        <f t="shared" ca="1" si="1"/>
        <v>0</v>
      </c>
      <c r="J28" s="684"/>
      <c r="K28" s="685"/>
    </row>
    <row r="29" spans="1:11" ht="16.5" customHeight="1">
      <c r="A29" s="686" t="str">
        <f t="shared" ca="1" si="2"/>
        <v/>
      </c>
      <c r="B29" s="680" t="str">
        <f ca="1">IF(ROWS($1:16)&gt;COUNT(Dong12),"",OFFSET(TH!E$1,SMALL(Dong12,ROWS($1:16)),))</f>
        <v/>
      </c>
      <c r="C29" s="871" t="str">
        <f ca="1">IF(ROWS($1:16)&gt;COUNT(Dong12),"",IF(MID(OFFSET(TH!D$1,SMALL(Dong12,ROWS($1:16)),),4,1)="N",OFFSET(TH!D$1,SMALL(Dong12,ROWS($1:16)),),""))</f>
        <v/>
      </c>
      <c r="D29" s="680" t="str">
        <f ca="1">IF(ROWS($1:16)&gt;COUNT(Dong12),"",IF(MID(OFFSET(TH!D$1,SMALL(Dong12,ROWS($1:16)),),4,1)="X",OFFSET(TH!D$1,SMALL(Dong12,ROWS($1:16)),),""))</f>
        <v/>
      </c>
      <c r="E29" s="681" t="str">
        <f ca="1">IF(ROWS($1:16)&gt;COUNT(Dong12),"",OFFSET(TH!F$1,SMALL(Dong12,ROWS($1:16)),)&amp;" - "&amp;OFFSET(TH!H$1,SMALL(Dong12,ROWS($1:16)),))</f>
        <v/>
      </c>
      <c r="F29" s="680" t="str">
        <f t="shared" ca="1" si="0"/>
        <v/>
      </c>
      <c r="G29" s="682">
        <f ca="1">IF(ROWS($1:16)&gt;COUNT(Dong12),0,IF(MID(OFFSET(TH!D$1,SMALL(Dong12,ROWS($1:16)),),4,1)="N",OFFSET(TH!I$1,SMALL(Dong12,ROWS($1:16)),),0))</f>
        <v>0</v>
      </c>
      <c r="H29" s="682">
        <f ca="1">IF(ROWS($1:16)&gt;COUNT(Dong12),0,IF(MID(OFFSET(TH!D$1,SMALL(Dong12,ROWS($1:16)),),4,1)="X",OFFSET(TH!I$1,SMALL(Dong12,ROWS($1:16)),),0))</f>
        <v>0</v>
      </c>
      <c r="I29" s="683">
        <f t="shared" ca="1" si="1"/>
        <v>0</v>
      </c>
      <c r="J29" s="684"/>
      <c r="K29" s="685"/>
    </row>
    <row r="30" spans="1:11" ht="16.5" customHeight="1">
      <c r="A30" s="686" t="str">
        <f t="shared" ca="1" si="2"/>
        <v/>
      </c>
      <c r="B30" s="680" t="str">
        <f ca="1">IF(ROWS($1:17)&gt;COUNT(Dong12),"",OFFSET(TH!E$1,SMALL(Dong12,ROWS($1:17)),))</f>
        <v/>
      </c>
      <c r="C30" s="871" t="str">
        <f ca="1">IF(ROWS($1:17)&gt;COUNT(Dong12),"",IF(MID(OFFSET(TH!D$1,SMALL(Dong12,ROWS($1:17)),),4,1)="N",OFFSET(TH!D$1,SMALL(Dong12,ROWS($1:17)),),""))</f>
        <v/>
      </c>
      <c r="D30" s="680" t="str">
        <f ca="1">IF(ROWS($1:17)&gt;COUNT(Dong12),"",IF(MID(OFFSET(TH!D$1,SMALL(Dong12,ROWS($1:17)),),4,1)="X",OFFSET(TH!D$1,SMALL(Dong12,ROWS($1:17)),),""))</f>
        <v/>
      </c>
      <c r="E30" s="681" t="str">
        <f ca="1">IF(ROWS($1:17)&gt;COUNT(Dong12),"",OFFSET(TH!F$1,SMALL(Dong12,ROWS($1:17)),)&amp;" - "&amp;OFFSET(TH!H$1,SMALL(Dong12,ROWS($1:17)),))</f>
        <v/>
      </c>
      <c r="F30" s="680" t="str">
        <f t="shared" ca="1" si="0"/>
        <v/>
      </c>
      <c r="G30" s="682">
        <f ca="1">IF(ROWS($1:17)&gt;COUNT(Dong12),0,IF(MID(OFFSET(TH!D$1,SMALL(Dong12,ROWS($1:17)),),4,1)="N",OFFSET(TH!I$1,SMALL(Dong12,ROWS($1:17)),),0))</f>
        <v>0</v>
      </c>
      <c r="H30" s="682">
        <f ca="1">IF(ROWS($1:17)&gt;COUNT(Dong12),0,IF(MID(OFFSET(TH!D$1,SMALL(Dong12,ROWS($1:17)),),4,1)="X",OFFSET(TH!I$1,SMALL(Dong12,ROWS($1:17)),),0))</f>
        <v>0</v>
      </c>
      <c r="I30" s="683">
        <f t="shared" ca="1" si="1"/>
        <v>0</v>
      </c>
      <c r="J30" s="684"/>
      <c r="K30" s="685"/>
    </row>
    <row r="31" spans="1:11" ht="16.5" customHeight="1">
      <c r="A31" s="687" t="str">
        <f>IF(D31&lt;&gt;"",A21+1,"")</f>
        <v/>
      </c>
      <c r="B31" s="688"/>
      <c r="C31" s="689"/>
      <c r="D31" s="689"/>
      <c r="E31" s="690"/>
      <c r="F31" s="688"/>
      <c r="G31" s="691"/>
      <c r="H31" s="691"/>
      <c r="I31" s="691"/>
      <c r="J31" s="692"/>
      <c r="K31" s="685"/>
    </row>
    <row r="32" spans="1:11" ht="16.5" customHeight="1">
      <c r="A32" s="674"/>
      <c r="B32" s="693"/>
      <c r="C32" s="674"/>
      <c r="D32" s="674"/>
      <c r="E32" s="675" t="s">
        <v>505</v>
      </c>
      <c r="F32" s="694" t="s">
        <v>21</v>
      </c>
      <c r="G32" s="695">
        <f ca="1">SUM(G14:G31)</f>
        <v>4000</v>
      </c>
      <c r="H32" s="695">
        <f ca="1">SUM(H14:H31)</f>
        <v>450</v>
      </c>
      <c r="I32" s="695">
        <f ca="1">I13+G32-H32</f>
        <v>3850</v>
      </c>
      <c r="J32" s="674" t="s">
        <v>21</v>
      </c>
      <c r="K32" s="696"/>
    </row>
    <row r="33" spans="1:11" ht="12.75" customHeight="1">
      <c r="A33" s="697"/>
      <c r="B33" s="651"/>
      <c r="C33" s="697"/>
      <c r="D33" s="697"/>
      <c r="E33" s="659"/>
      <c r="F33" s="651"/>
      <c r="G33" s="660"/>
      <c r="H33" s="660"/>
      <c r="I33" s="660"/>
      <c r="J33" s="646"/>
      <c r="K33" s="646"/>
    </row>
    <row r="34" spans="1:11" ht="15">
      <c r="A34" s="698" t="s">
        <v>506</v>
      </c>
      <c r="B34" s="698"/>
      <c r="C34" s="699"/>
      <c r="D34" s="699"/>
      <c r="E34" s="659"/>
      <c r="F34" s="651"/>
      <c r="G34" s="660"/>
      <c r="H34" s="660"/>
      <c r="I34" s="660"/>
      <c r="J34" s="646"/>
      <c r="K34" s="646"/>
    </row>
    <row r="35" spans="1:11" ht="15">
      <c r="A35" s="1360"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361"/>
      <c r="C35" s="1361"/>
      <c r="D35" s="1361"/>
      <c r="E35" s="1361"/>
      <c r="F35" s="651"/>
      <c r="G35" s="660"/>
      <c r="H35" s="660"/>
      <c r="I35" s="660"/>
      <c r="J35" s="646"/>
      <c r="K35" s="646"/>
    </row>
    <row r="36" spans="1:11" ht="15">
      <c r="A36" s="700"/>
      <c r="B36" s="701"/>
      <c r="C36" s="702"/>
      <c r="D36" s="697"/>
      <c r="E36" s="659"/>
      <c r="F36" s="651"/>
      <c r="H36" s="546"/>
      <c r="I36" s="1107" t="s">
        <v>460</v>
      </c>
      <c r="J36" s="546"/>
      <c r="K36" s="547"/>
    </row>
    <row r="37" spans="1:11" ht="15" customHeight="1">
      <c r="A37" s="700"/>
      <c r="C37" s="703" t="s">
        <v>507</v>
      </c>
      <c r="D37" s="697"/>
      <c r="E37" s="1362" t="s">
        <v>12</v>
      </c>
      <c r="F37" s="1362"/>
      <c r="G37" s="660"/>
      <c r="I37" s="1145" t="s">
        <v>131</v>
      </c>
      <c r="J37" s="649"/>
      <c r="K37" s="700"/>
    </row>
    <row r="38" spans="1:11" ht="15" customHeight="1">
      <c r="A38" s="704"/>
      <c r="C38" s="705" t="s">
        <v>13</v>
      </c>
      <c r="D38" s="706"/>
      <c r="E38" s="1356" t="s">
        <v>13</v>
      </c>
      <c r="F38" s="1356"/>
      <c r="G38" s="660"/>
      <c r="I38" s="1146" t="s">
        <v>161</v>
      </c>
      <c r="J38" s="1144"/>
      <c r="K38" s="704"/>
    </row>
    <row r="39" spans="1:11" ht="15">
      <c r="A39" s="704"/>
      <c r="C39" s="705"/>
      <c r="D39" s="697"/>
      <c r="E39" s="707"/>
      <c r="F39" s="708"/>
      <c r="G39" s="660"/>
      <c r="H39" s="704"/>
      <c r="I39" s="704"/>
      <c r="J39" s="704"/>
      <c r="K39" s="704"/>
    </row>
    <row r="40" spans="1:11" ht="15">
      <c r="A40" s="704"/>
      <c r="B40" s="705"/>
      <c r="C40" s="704"/>
      <c r="D40" s="697"/>
      <c r="E40" s="707"/>
      <c r="F40" s="708"/>
      <c r="G40" s="660"/>
      <c r="H40" s="704"/>
      <c r="I40" s="704"/>
      <c r="J40" s="704"/>
      <c r="K40" s="704"/>
    </row>
    <row r="41" spans="1:11" ht="15">
      <c r="A41" s="704"/>
      <c r="B41" s="705"/>
      <c r="C41" s="704"/>
      <c r="D41" s="697"/>
      <c r="E41" s="707"/>
      <c r="F41" s="708"/>
      <c r="G41" s="660"/>
      <c r="H41" s="704"/>
      <c r="I41" s="704"/>
      <c r="J41" s="704"/>
      <c r="K41" s="704"/>
    </row>
    <row r="46" spans="1:11" ht="15">
      <c r="C46" s="1147" t="s">
        <v>1346</v>
      </c>
      <c r="H46" s="1143"/>
      <c r="I46" s="1142" t="s">
        <v>125</v>
      </c>
      <c r="J46" s="1143"/>
    </row>
  </sheetData>
  <mergeCells count="11">
    <mergeCell ref="E38:F38"/>
    <mergeCell ref="G10:I10"/>
    <mergeCell ref="J10:J11"/>
    <mergeCell ref="A35:E35"/>
    <mergeCell ref="E37:F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167"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368" t="s">
        <v>508</v>
      </c>
      <c r="B1" s="1368"/>
      <c r="C1" s="1368"/>
      <c r="D1" s="1368"/>
      <c r="E1" s="1368"/>
      <c r="F1" s="1368"/>
      <c r="G1" s="1368"/>
      <c r="H1" s="1368"/>
      <c r="I1" s="1368"/>
      <c r="J1" s="1369" t="s">
        <v>509</v>
      </c>
      <c r="K1" s="1370"/>
      <c r="L1" s="713"/>
      <c r="M1" s="713"/>
      <c r="N1" s="714"/>
    </row>
    <row r="2" spans="1:14" ht="15.75">
      <c r="A2" s="1368"/>
      <c r="B2" s="1368"/>
      <c r="C2" s="1368"/>
      <c r="D2" s="1368"/>
      <c r="E2" s="1368"/>
      <c r="F2" s="1368"/>
      <c r="G2" s="1368"/>
      <c r="H2" s="1368"/>
      <c r="I2" s="1368"/>
      <c r="J2" s="1371"/>
      <c r="K2" s="1372"/>
      <c r="L2" s="713"/>
      <c r="M2" s="713"/>
      <c r="N2" s="714"/>
    </row>
    <row r="3" spans="1:14" ht="15.75">
      <c r="A3" s="1368"/>
      <c r="B3" s="1368"/>
      <c r="C3" s="1368"/>
      <c r="D3" s="1368"/>
      <c r="E3" s="1368"/>
      <c r="F3" s="1368"/>
      <c r="G3" s="1368"/>
      <c r="H3" s="1368"/>
      <c r="I3" s="1368"/>
      <c r="J3" s="1371"/>
      <c r="K3" s="1372"/>
      <c r="L3" s="713"/>
      <c r="M3" s="713"/>
      <c r="N3" s="714"/>
    </row>
    <row r="4" spans="1:14" ht="16.5">
      <c r="A4" s="1375" t="str">
        <f>"( " &amp; IF(OR($M$11=1,$M$11=4,$M$11=6,$M$11=9,$M$11=11),"Ngày  30  tháng  "&amp;$M$11&amp;"  năm 2016",IF(OR($M$11=3,$M$11=5,$M$11=7,$M$11=8,$M$11=10,$M$11=12),"Ngày  31  tháng  "&amp;$M$11&amp;"  năm 2016","Ngày  29  tháng  "&amp;$M$11&amp;"  năm 2016")) &amp; " ) "</f>
        <v xml:space="preserve">( Ngày  29  tháng  2  năm 2016 ) </v>
      </c>
      <c r="B4" s="1375"/>
      <c r="C4" s="1375"/>
      <c r="D4" s="1375"/>
      <c r="E4" s="1375"/>
      <c r="F4" s="1375"/>
      <c r="G4" s="1375"/>
      <c r="H4" s="1375"/>
      <c r="I4" s="1375"/>
      <c r="J4" s="1373"/>
      <c r="K4" s="1374"/>
      <c r="L4" s="713"/>
      <c r="M4" s="713"/>
      <c r="N4" s="714"/>
    </row>
    <row r="5" spans="1:14" ht="20.25">
      <c r="A5" s="715"/>
      <c r="B5" s="713"/>
      <c r="C5" s="713"/>
      <c r="D5" s="713"/>
      <c r="E5" s="1160"/>
      <c r="F5" s="716"/>
      <c r="G5" s="713"/>
      <c r="H5" s="717"/>
      <c r="I5" s="717"/>
      <c r="J5" s="713"/>
      <c r="K5" s="713"/>
      <c r="L5" s="713"/>
      <c r="M5" s="714"/>
      <c r="N5" s="714"/>
    </row>
    <row r="6" spans="1:14" ht="15.75">
      <c r="A6" s="715" t="s">
        <v>510</v>
      </c>
      <c r="B6" s="713"/>
      <c r="C6" s="713"/>
      <c r="D6" s="713"/>
      <c r="E6" s="1161"/>
      <c r="F6" s="713"/>
      <c r="G6" s="713" t="s">
        <v>511</v>
      </c>
      <c r="H6" s="717"/>
      <c r="I6" s="717"/>
      <c r="J6" s="713"/>
      <c r="K6" s="713"/>
      <c r="L6" s="713"/>
      <c r="M6" s="714"/>
      <c r="N6" s="714"/>
    </row>
    <row r="7" spans="1:14" ht="15.75">
      <c r="A7" s="715" t="s">
        <v>512</v>
      </c>
      <c r="B7" s="713"/>
      <c r="C7" s="713"/>
      <c r="D7" s="713"/>
      <c r="E7" s="1161"/>
      <c r="F7" s="713"/>
      <c r="G7" s="713"/>
      <c r="H7" s="717"/>
      <c r="I7" s="717"/>
      <c r="J7" s="713"/>
      <c r="K7" s="713"/>
      <c r="L7" s="713"/>
      <c r="M7" s="714"/>
      <c r="N7" s="714"/>
    </row>
    <row r="8" spans="1:14" ht="15.75">
      <c r="A8" s="715" t="s">
        <v>513</v>
      </c>
      <c r="B8" s="713"/>
      <c r="C8" s="713"/>
      <c r="D8" s="713"/>
      <c r="E8" s="1161"/>
      <c r="F8" s="713"/>
      <c r="G8" s="713"/>
      <c r="H8" s="717"/>
      <c r="I8" s="717"/>
      <c r="J8" s="713"/>
      <c r="K8" s="713"/>
      <c r="L8" s="713"/>
      <c r="M8" s="714"/>
      <c r="N8" s="714"/>
    </row>
    <row r="9" spans="1:14" ht="15.75">
      <c r="A9" s="715" t="s">
        <v>514</v>
      </c>
      <c r="B9" s="713"/>
      <c r="C9" s="713"/>
      <c r="D9" s="713"/>
      <c r="E9" s="1161"/>
      <c r="F9" s="713"/>
      <c r="G9" s="713"/>
      <c r="H9" s="717"/>
      <c r="I9" s="717"/>
      <c r="J9" s="713"/>
      <c r="K9" s="713"/>
      <c r="L9" s="713"/>
      <c r="M9" s="714"/>
      <c r="N9" s="714"/>
    </row>
    <row r="10" spans="1:14" ht="16.5" thickBot="1">
      <c r="A10" s="715"/>
      <c r="B10" s="713"/>
      <c r="C10" s="713"/>
      <c r="D10" s="713"/>
      <c r="E10" s="1161"/>
      <c r="F10" s="713"/>
      <c r="G10" s="713"/>
      <c r="H10" s="717"/>
      <c r="I10" s="717"/>
      <c r="J10" s="713"/>
      <c r="K10" s="713"/>
      <c r="L10" s="713"/>
      <c r="M10" s="718"/>
      <c r="N10" s="714"/>
    </row>
    <row r="11" spans="1:14" ht="15.75" thickBot="1">
      <c r="A11" s="1376" t="s">
        <v>582</v>
      </c>
      <c r="B11" s="1378" t="s">
        <v>515</v>
      </c>
      <c r="C11" s="1379"/>
      <c r="D11" s="1379"/>
      <c r="E11" s="1379"/>
      <c r="F11" s="1380"/>
      <c r="G11" s="1381" t="s">
        <v>516</v>
      </c>
      <c r="H11" s="1381"/>
      <c r="I11" s="1381"/>
      <c r="J11" s="1381"/>
      <c r="K11" s="1382" t="s">
        <v>152</v>
      </c>
      <c r="L11" s="719"/>
      <c r="M11" s="1159">
        <v>2</v>
      </c>
      <c r="N11" s="721"/>
    </row>
    <row r="12" spans="1:14" ht="36" customHeight="1">
      <c r="A12" s="1377"/>
      <c r="B12" s="722" t="s">
        <v>517</v>
      </c>
      <c r="C12" s="722"/>
      <c r="D12" s="722" t="s">
        <v>518</v>
      </c>
      <c r="E12" s="722" t="s">
        <v>519</v>
      </c>
      <c r="F12" s="722" t="s">
        <v>520</v>
      </c>
      <c r="G12" s="722" t="s">
        <v>521</v>
      </c>
      <c r="H12" s="723" t="s">
        <v>471</v>
      </c>
      <c r="I12" s="723" t="s">
        <v>472</v>
      </c>
      <c r="J12" s="722" t="s">
        <v>522</v>
      </c>
      <c r="K12" s="1383"/>
      <c r="L12" s="724"/>
      <c r="M12" s="725"/>
      <c r="N12" s="725"/>
    </row>
    <row r="13" spans="1:14">
      <c r="A13" s="726" t="s">
        <v>173</v>
      </c>
      <c r="B13" s="727">
        <v>2</v>
      </c>
      <c r="C13" s="727"/>
      <c r="D13" s="727"/>
      <c r="E13" s="1162">
        <v>3</v>
      </c>
      <c r="F13" s="727">
        <v>4</v>
      </c>
      <c r="G13" s="727">
        <v>5</v>
      </c>
      <c r="H13" s="728" t="s">
        <v>523</v>
      </c>
      <c r="I13" s="728" t="s">
        <v>524</v>
      </c>
      <c r="J13" s="727">
        <v>8</v>
      </c>
      <c r="K13" s="727">
        <v>9</v>
      </c>
      <c r="L13" s="729"/>
      <c r="M13" s="729"/>
      <c r="N13" s="729"/>
    </row>
    <row r="14" spans="1:14" ht="27" customHeight="1">
      <c r="A14" s="227">
        <f ca="1">IF(ROWS($1:1)&gt;COUNT(Dong13),"",OFFSET(TH!E$1,SMALL(Dong13,ROWS($1:1)),))</f>
        <v>42417</v>
      </c>
      <c r="B14" s="230" t="str">
        <f ca="1">IF(ROWS($1:1)&gt;COUNT(Dong13),"",OFFSET(TH!H$1,SMALL(Dong13,ROWS($1:1)),))</f>
        <v>Võ Thị Bảy</v>
      </c>
      <c r="C14" s="730" t="str">
        <f ca="1">IF(ISNA(VLOOKUP($B14,DSNL,6,0)),"",VLOOKUP($B14,DSNL,6,0))</f>
        <v>Hai</v>
      </c>
      <c r="D14" s="730" t="str">
        <f ca="1">IF(ROWS($1:1)&gt;COUNT(Dong13),"",OFFSET(TH!D$1,SMALL(Dong13,ROWS($1:1)),))</f>
        <v>NL/N12</v>
      </c>
      <c r="E14" s="1163" t="str">
        <f t="shared" ref="E14:E40" ca="1" si="0">IF(ISNA(VLOOKUP($B14,DSNL,4,0)),"",VLOOKUP($B14,DSNL,4,0))</f>
        <v>Vũng Tàu</v>
      </c>
      <c r="F14" s="731">
        <f t="shared" ref="F14:F40" ca="1" si="1">IF(ISNA(VLOOKUP($B14,DSNL,3,0)),"",VLOOKUP($B14,DSNL,3,0))</f>
        <v>270106056</v>
      </c>
      <c r="G14" s="732" t="str">
        <f ca="1">IF(ROWS($1:1)&gt;COUNT(Dong13),"",OFFSET(TH!F$1,SMALL(Dong13,ROWS($1:1)),))</f>
        <v>Cá bò NL</v>
      </c>
      <c r="H14" s="733">
        <f ca="1">IF(ROWS($1:1)&gt;COUNT(Dong13),"",OFFSET(TH!I$1,SMALL(Dong13,ROWS($1:1)),))</f>
        <v>7043</v>
      </c>
      <c r="I14" s="733">
        <f ca="1">IF(ROWS($1:1)&gt;COUNT(Dong13),"",OFFSET(TH!J$1,SMALL(Dong13,ROWS($1:1)),))</f>
        <v>13200</v>
      </c>
      <c r="J14" s="734">
        <f ca="1">IF(B14&lt;&gt;"",H14*I14,0)</f>
        <v>92967600</v>
      </c>
      <c r="K14" s="734"/>
      <c r="L14" s="735"/>
      <c r="M14" s="714"/>
      <c r="N14" s="714"/>
    </row>
    <row r="15" spans="1:14" ht="27" customHeight="1">
      <c r="A15" s="227">
        <f ca="1">IF(ROWS($1:2)&gt;COUNT(Dong13),"",OFFSET(TH!E$1,SMALL(Dong13,ROWS($1:2)),))</f>
        <v>42417</v>
      </c>
      <c r="B15" s="230" t="str">
        <f ca="1">IF(ROWS($1:2)&gt;COUNT(Dong13),"",OFFSET(TH!H$1,SMALL(Dong13,ROWS($1:2)),))</f>
        <v>Nguyễn Thanh Vinh</v>
      </c>
      <c r="C15" s="730" t="str">
        <f t="shared" ref="C15:C40" ca="1" si="2">IF(ISNA(VLOOKUP($B15,DSNL,6,0)),"",VLOOKUP($B15,DSNL,6,0))</f>
        <v>Hai</v>
      </c>
      <c r="D15" s="730" t="str">
        <f ca="1">IF(ROWS($1:2)&gt;COUNT(Dong13),"",OFFSET(TH!D$1,SMALL(Dong13,ROWS($1:2)),))</f>
        <v>NL/N13</v>
      </c>
      <c r="E15" s="1163" t="str">
        <f t="shared" ca="1" si="0"/>
        <v>Vũng Tàu</v>
      </c>
      <c r="F15" s="731">
        <f t="shared" ca="1" si="1"/>
        <v>271181056</v>
      </c>
      <c r="G15" s="732" t="str">
        <f ca="1">IF(ROWS($1:2)&gt;COUNT(Dong13),"",OFFSET(TH!F$1,SMALL(Dong13,ROWS($1:2)),))</f>
        <v>Cá bò NL</v>
      </c>
      <c r="H15" s="733">
        <f ca="1">IF(ROWS($1:2)&gt;COUNT(Dong13),"",OFFSET(TH!I$1,SMALL(Dong13,ROWS($1:2)),))</f>
        <v>7150</v>
      </c>
      <c r="I15" s="733">
        <f ca="1">IF(ROWS($1:2)&gt;COUNT(Dong13),"",OFFSET(TH!J$1,SMALL(Dong13,ROWS($1:2)),))</f>
        <v>13200</v>
      </c>
      <c r="J15" s="734">
        <f t="shared" ref="J15:J40" ca="1" si="3">IF(B15&lt;&gt;"",H15*I15,0)</f>
        <v>94380000</v>
      </c>
      <c r="K15" s="736"/>
      <c r="L15" s="735"/>
      <c r="M15" s="714"/>
      <c r="N15" s="714"/>
    </row>
    <row r="16" spans="1:14" ht="27" customHeight="1">
      <c r="A16" s="227">
        <f ca="1">IF(ROWS($1:3)&gt;COUNT(Dong13),"",OFFSET(TH!E$1,SMALL(Dong13,ROWS($1:3)),))</f>
        <v>42417</v>
      </c>
      <c r="B16" s="230" t="str">
        <f ca="1">IF(ROWS($1:3)&gt;COUNT(Dong13),"",OFFSET(TH!H$1,SMALL(Dong13,ROWS($1:3)),))</f>
        <v>Hồ Thị Mỹ</v>
      </c>
      <c r="C16" s="730" t="str">
        <f t="shared" ca="1" si="2"/>
        <v>Hai</v>
      </c>
      <c r="D16" s="730" t="str">
        <f ca="1">IF(ROWS($1:3)&gt;COUNT(Dong13),"",OFFSET(TH!D$1,SMALL(Dong13,ROWS($1:3)),))</f>
        <v>NL/N14</v>
      </c>
      <c r="E16" s="1163" t="str">
        <f t="shared" ca="1" si="0"/>
        <v>Vũng Tàu</v>
      </c>
      <c r="F16" s="731">
        <f t="shared" ca="1" si="1"/>
        <v>270986506</v>
      </c>
      <c r="G16" s="732" t="str">
        <f ca="1">IF(ROWS($1:3)&gt;COUNT(Dong13),"",OFFSET(TH!F$1,SMALL(Dong13,ROWS($1:3)),))</f>
        <v>Cá bò NL</v>
      </c>
      <c r="H16" s="733">
        <f ca="1">IF(ROWS($1:3)&gt;COUNT(Dong13),"",OFFSET(TH!I$1,SMALL(Dong13,ROWS($1:3)),))</f>
        <v>6970</v>
      </c>
      <c r="I16" s="733">
        <f ca="1">IF(ROWS($1:3)&gt;COUNT(Dong13),"",OFFSET(TH!J$1,SMALL(Dong13,ROWS($1:3)),))</f>
        <v>13200</v>
      </c>
      <c r="J16" s="734">
        <f t="shared" ca="1" si="3"/>
        <v>92004000</v>
      </c>
      <c r="K16" s="736"/>
      <c r="L16" s="735"/>
      <c r="M16" s="714"/>
      <c r="N16" s="714"/>
    </row>
    <row r="17" spans="1:14" ht="27" customHeight="1">
      <c r="A17" s="227">
        <f ca="1">IF(ROWS($1:4)&gt;COUNT(Dong13),"",OFFSET(TH!E$1,SMALL(Dong13,ROWS($1:4)),))</f>
        <v>42417</v>
      </c>
      <c r="B17" s="230" t="str">
        <f ca="1">IF(ROWS($1:4)&gt;COUNT(Dong13),"",OFFSET(TH!H$1,SMALL(Dong13,ROWS($1:4)),))</f>
        <v>Đỗ Văn Tâm</v>
      </c>
      <c r="C17" s="730" t="str">
        <f t="shared" ca="1" si="2"/>
        <v>Hai</v>
      </c>
      <c r="D17" s="730" t="str">
        <f ca="1">IF(ROWS($1:4)&gt;COUNT(Dong13),"",OFFSET(TH!D$1,SMALL(Dong13,ROWS($1:4)),))</f>
        <v>NL/N15</v>
      </c>
      <c r="E17" s="1163" t="str">
        <f t="shared" ca="1" si="0"/>
        <v>Vũng Tàu</v>
      </c>
      <c r="F17" s="731">
        <f t="shared" ca="1" si="1"/>
        <v>271642418</v>
      </c>
      <c r="G17" s="732" t="str">
        <f ca="1">IF(ROWS($1:4)&gt;COUNT(Dong13),"",OFFSET(TH!F$1,SMALL(Dong13,ROWS($1:4)),))</f>
        <v>Cá bò NL</v>
      </c>
      <c r="H17" s="733">
        <f ca="1">IF(ROWS($1:4)&gt;COUNT(Dong13),"",OFFSET(TH!I$1,SMALL(Dong13,ROWS($1:4)),))</f>
        <v>7450</v>
      </c>
      <c r="I17" s="733">
        <f ca="1">IF(ROWS($1:4)&gt;COUNT(Dong13),"",OFFSET(TH!J$1,SMALL(Dong13,ROWS($1:4)),))</f>
        <v>13200</v>
      </c>
      <c r="J17" s="734">
        <f t="shared" ca="1" si="3"/>
        <v>98340000</v>
      </c>
      <c r="K17" s="736"/>
      <c r="L17" s="735"/>
      <c r="M17" s="714"/>
      <c r="N17" s="714"/>
    </row>
    <row r="18" spans="1:14" ht="27" customHeight="1">
      <c r="A18" s="227">
        <f ca="1">IF(ROWS($1:5)&gt;COUNT(Dong13),"",OFFSET(TH!E$1,SMALL(Dong13,ROWS($1:5)),))</f>
        <v>42424</v>
      </c>
      <c r="B18" s="230" t="str">
        <f ca="1">IF(ROWS($1:5)&gt;COUNT(Dong13),"",OFFSET(TH!H$1,SMALL(Dong13,ROWS($1:5)),))</f>
        <v>Nguyễn Thanh Vinh</v>
      </c>
      <c r="C18" s="730" t="str">
        <f t="shared" ca="1" si="2"/>
        <v>Hai</v>
      </c>
      <c r="D18" s="730" t="str">
        <f ca="1">IF(ROWS($1:5)&gt;COUNT(Dong13),"",OFFSET(TH!D$1,SMALL(Dong13,ROWS($1:5)),))</f>
        <v>NL/N16</v>
      </c>
      <c r="E18" s="1163" t="str">
        <f t="shared" ca="1" si="0"/>
        <v>Vũng Tàu</v>
      </c>
      <c r="F18" s="731">
        <f t="shared" ca="1" si="1"/>
        <v>271181056</v>
      </c>
      <c r="G18" s="732" t="str">
        <f ca="1">IF(ROWS($1:5)&gt;COUNT(Dong13),"",OFFSET(TH!F$1,SMALL(Dong13,ROWS($1:5)),))</f>
        <v>Cá bò NL</v>
      </c>
      <c r="H18" s="733">
        <f ca="1">IF(ROWS($1:5)&gt;COUNT(Dong13),"",OFFSET(TH!I$1,SMALL(Dong13,ROWS($1:5)),))</f>
        <v>7460</v>
      </c>
      <c r="I18" s="733">
        <f ca="1">IF(ROWS($1:5)&gt;COUNT(Dong13),"",OFFSET(TH!J$1,SMALL(Dong13,ROWS($1:5)),))</f>
        <v>13200</v>
      </c>
      <c r="J18" s="734">
        <f t="shared" ca="1" si="3"/>
        <v>98472000</v>
      </c>
      <c r="K18" s="736"/>
      <c r="L18" s="735"/>
      <c r="M18" s="714"/>
      <c r="N18" s="714"/>
    </row>
    <row r="19" spans="1:14" ht="27" customHeight="1">
      <c r="A19" s="227">
        <f ca="1">IF(ROWS($1:6)&gt;COUNT(Dong13),"",OFFSET(TH!E$1,SMALL(Dong13,ROWS($1:6)),))</f>
        <v>42424</v>
      </c>
      <c r="B19" s="230" t="str">
        <f ca="1">IF(ROWS($1:6)&gt;COUNT(Dong13),"",OFFSET(TH!H$1,SMALL(Dong13,ROWS($1:6)),))</f>
        <v>Hồ Thị Mỹ</v>
      </c>
      <c r="C19" s="730" t="str">
        <f t="shared" ca="1" si="2"/>
        <v>Hai</v>
      </c>
      <c r="D19" s="730" t="str">
        <f ca="1">IF(ROWS($1:6)&gt;COUNT(Dong13),"",OFFSET(TH!D$1,SMALL(Dong13,ROWS($1:6)),))</f>
        <v>NL/N17</v>
      </c>
      <c r="E19" s="1163" t="str">
        <f t="shared" ca="1" si="0"/>
        <v>Vũng Tàu</v>
      </c>
      <c r="F19" s="731">
        <f t="shared" ca="1" si="1"/>
        <v>270986506</v>
      </c>
      <c r="G19" s="732" t="str">
        <f ca="1">IF(ROWS($1:6)&gt;COUNT(Dong13),"",OFFSET(TH!F$1,SMALL(Dong13,ROWS($1:6)),))</f>
        <v>Cá bò NL</v>
      </c>
      <c r="H19" s="733">
        <f ca="1">IF(ROWS($1:6)&gt;COUNT(Dong13),"",OFFSET(TH!I$1,SMALL(Dong13,ROWS($1:6)),))</f>
        <v>7328</v>
      </c>
      <c r="I19" s="733">
        <f ca="1">IF(ROWS($1:6)&gt;COUNT(Dong13),"",OFFSET(TH!J$1,SMALL(Dong13,ROWS($1:6)),))</f>
        <v>13200</v>
      </c>
      <c r="J19" s="734">
        <f t="shared" ca="1" si="3"/>
        <v>96729600</v>
      </c>
      <c r="K19" s="736"/>
      <c r="L19" s="735"/>
      <c r="M19" s="714"/>
      <c r="N19" s="714"/>
    </row>
    <row r="20" spans="1:14" ht="31.5" customHeight="1">
      <c r="A20" s="227">
        <f ca="1">IF(ROWS($1:7)&gt;COUNT(Dong13),"",OFFSET(TH!E$1,SMALL(Dong13,ROWS($1:7)),))</f>
        <v>42424</v>
      </c>
      <c r="B20" s="230" t="str">
        <f ca="1">IF(ROWS($1:7)&gt;COUNT(Dong13),"",OFFSET(TH!H$1,SMALL(Dong13,ROWS($1:7)),))</f>
        <v>Phạm Thị Ngọc</v>
      </c>
      <c r="C20" s="730" t="str">
        <f t="shared" ca="1" si="2"/>
        <v>Hai</v>
      </c>
      <c r="D20" s="730" t="str">
        <f ca="1">IF(ROWS($1:7)&gt;COUNT(Dong13),"",OFFSET(TH!D$1,SMALL(Dong13,ROWS($1:7)),))</f>
        <v>NL/N18</v>
      </c>
      <c r="E20" s="1163" t="str">
        <f t="shared" ca="1" si="0"/>
        <v>62 Đinh Tiên Hoàng, P2, Bà Rịa Vũng Tàu</v>
      </c>
      <c r="F20" s="731">
        <f t="shared" ca="1" si="1"/>
        <v>273042454</v>
      </c>
      <c r="G20" s="732" t="str">
        <f ca="1">IF(ROWS($1:7)&gt;COUNT(Dong13),"",OFFSET(TH!F$1,SMALL(Dong13,ROWS($1:7)),))</f>
        <v>Cá bò NL</v>
      </c>
      <c r="H20" s="733">
        <f ca="1">IF(ROWS($1:7)&gt;COUNT(Dong13),"",OFFSET(TH!I$1,SMALL(Dong13,ROWS($1:7)),))</f>
        <v>6099</v>
      </c>
      <c r="I20" s="733">
        <f ca="1">IF(ROWS($1:7)&gt;COUNT(Dong13),"",OFFSET(TH!J$1,SMALL(Dong13,ROWS($1:7)),))</f>
        <v>13200</v>
      </c>
      <c r="J20" s="734">
        <f t="shared" ca="1" si="3"/>
        <v>80506800</v>
      </c>
      <c r="K20" s="736"/>
      <c r="L20" s="735"/>
      <c r="M20" s="714"/>
      <c r="N20" s="714"/>
    </row>
    <row r="21" spans="1:14" ht="27" customHeight="1">
      <c r="A21" s="227" t="str">
        <f ca="1">IF(ROWS($1:8)&gt;COUNT(Dong13),"",OFFSET(TH!E$1,SMALL(Dong13,ROWS($1:8)),))</f>
        <v/>
      </c>
      <c r="B21" s="230" t="str">
        <f ca="1">IF(ROWS($1:8)&gt;COUNT(Dong13),"",OFFSET(TH!H$1,SMALL(Dong13,ROWS($1:8)),))</f>
        <v/>
      </c>
      <c r="C21" s="730" t="str">
        <f t="shared" ca="1" si="2"/>
        <v/>
      </c>
      <c r="D21" s="730" t="str">
        <f ca="1">IF(ROWS($1:8)&gt;COUNT(Dong13),"",OFFSET(TH!D$1,SMALL(Dong13,ROWS($1:8)),))</f>
        <v/>
      </c>
      <c r="E21" s="1163" t="str">
        <f t="shared" ca="1" si="0"/>
        <v/>
      </c>
      <c r="F21" s="731" t="str">
        <f t="shared" ca="1" si="1"/>
        <v/>
      </c>
      <c r="G21" s="732" t="str">
        <f ca="1">IF(ROWS($1:8)&gt;COUNT(Dong13),"",OFFSET(TH!F$1,SMALL(Dong13,ROWS($1:8)),))</f>
        <v/>
      </c>
      <c r="H21" s="733" t="str">
        <f ca="1">IF(ROWS($1:8)&gt;COUNT(Dong13),"",OFFSET(TH!I$1,SMALL(Dong13,ROWS($1:8)),))</f>
        <v/>
      </c>
      <c r="I21" s="733" t="str">
        <f ca="1">IF(ROWS($1:8)&gt;COUNT(Dong13),"",OFFSET(TH!J$1,SMALL(Dong13,ROWS($1:8)),))</f>
        <v/>
      </c>
      <c r="J21" s="734">
        <f t="shared" ca="1" si="3"/>
        <v>0</v>
      </c>
      <c r="K21" s="736"/>
      <c r="L21" s="735"/>
      <c r="M21" s="714"/>
      <c r="N21" s="714"/>
    </row>
    <row r="22" spans="1:14" ht="27" customHeight="1">
      <c r="A22" s="227" t="str">
        <f ca="1">IF(ROWS($1:9)&gt;COUNT(Dong13),"",OFFSET(TH!E$1,SMALL(Dong13,ROWS($1:9)),))</f>
        <v/>
      </c>
      <c r="B22" s="230" t="str">
        <f ca="1">IF(ROWS($1:9)&gt;COUNT(Dong13),"",OFFSET(TH!H$1,SMALL(Dong13,ROWS($1:9)),))</f>
        <v/>
      </c>
      <c r="C22" s="730" t="str">
        <f t="shared" ca="1" si="2"/>
        <v/>
      </c>
      <c r="D22" s="730" t="str">
        <f ca="1">IF(ROWS($1:9)&gt;COUNT(Dong13),"",OFFSET(TH!D$1,SMALL(Dong13,ROWS($1:9)),))</f>
        <v/>
      </c>
      <c r="E22" s="1163" t="str">
        <f t="shared" ca="1" si="0"/>
        <v/>
      </c>
      <c r="F22" s="731" t="str">
        <f t="shared" ca="1" si="1"/>
        <v/>
      </c>
      <c r="G22" s="732" t="str">
        <f ca="1">IF(ROWS($1:9)&gt;COUNT(Dong13),"",OFFSET(TH!F$1,SMALL(Dong13,ROWS($1:9)),))</f>
        <v/>
      </c>
      <c r="H22" s="733" t="str">
        <f ca="1">IF(ROWS($1:9)&gt;COUNT(Dong13),"",OFFSET(TH!I$1,SMALL(Dong13,ROWS($1:9)),))</f>
        <v/>
      </c>
      <c r="I22" s="733" t="str">
        <f ca="1">IF(ROWS($1:9)&gt;COUNT(Dong13),"",OFFSET(TH!J$1,SMALL(Dong13,ROWS($1:9)),))</f>
        <v/>
      </c>
      <c r="J22" s="734">
        <f t="shared" ca="1" si="3"/>
        <v>0</v>
      </c>
      <c r="K22" s="736"/>
      <c r="L22" s="735"/>
      <c r="M22" s="714"/>
      <c r="N22" s="714"/>
    </row>
    <row r="23" spans="1:14" ht="27" customHeight="1">
      <c r="A23" s="227" t="str">
        <f ca="1">IF(ROWS($1:10)&gt;COUNT(Dong13),"",OFFSET(TH!E$1,SMALL(Dong13,ROWS($1:10)),))</f>
        <v/>
      </c>
      <c r="B23" s="230" t="str">
        <f ca="1">IF(ROWS($1:10)&gt;COUNT(Dong13),"",OFFSET(TH!H$1,SMALL(Dong13,ROWS($1:10)),))</f>
        <v/>
      </c>
      <c r="C23" s="730" t="str">
        <f t="shared" ca="1" si="2"/>
        <v/>
      </c>
      <c r="D23" s="730" t="str">
        <f ca="1">IF(ROWS($1:10)&gt;COUNT(Dong13),"",OFFSET(TH!D$1,SMALL(Dong13,ROWS($1:10)),))</f>
        <v/>
      </c>
      <c r="E23" s="1163" t="str">
        <f t="shared" ca="1" si="0"/>
        <v/>
      </c>
      <c r="F23" s="731" t="str">
        <f t="shared" ca="1" si="1"/>
        <v/>
      </c>
      <c r="G23" s="732" t="str">
        <f ca="1">IF(ROWS($1:10)&gt;COUNT(Dong13),"",OFFSET(TH!F$1,SMALL(Dong13,ROWS($1:10)),))</f>
        <v/>
      </c>
      <c r="H23" s="733" t="str">
        <f ca="1">IF(ROWS($1:10)&gt;COUNT(Dong13),"",OFFSET(TH!I$1,SMALL(Dong13,ROWS($1:10)),))</f>
        <v/>
      </c>
      <c r="I23" s="733" t="str">
        <f ca="1">IF(ROWS($1:10)&gt;COUNT(Dong13),"",OFFSET(TH!J$1,SMALL(Dong13,ROWS($1:10)),))</f>
        <v/>
      </c>
      <c r="J23" s="734">
        <f t="shared" ca="1" si="3"/>
        <v>0</v>
      </c>
      <c r="K23" s="736"/>
      <c r="L23" s="735"/>
      <c r="M23" s="714"/>
      <c r="N23" s="714"/>
    </row>
    <row r="24" spans="1:14" ht="27" customHeight="1">
      <c r="A24" s="227" t="str">
        <f ca="1">IF(ROWS($1:11)&gt;COUNT(Dong13),"",OFFSET(TH!E$1,SMALL(Dong13,ROWS($1:11)),))</f>
        <v/>
      </c>
      <c r="B24" s="230" t="str">
        <f ca="1">IF(ROWS($1:11)&gt;COUNT(Dong13),"",OFFSET(TH!H$1,SMALL(Dong13,ROWS($1:11)),))</f>
        <v/>
      </c>
      <c r="C24" s="730" t="str">
        <f t="shared" ca="1" si="2"/>
        <v/>
      </c>
      <c r="D24" s="730" t="str">
        <f ca="1">IF(ROWS($1:11)&gt;COUNT(Dong13),"",OFFSET(TH!D$1,SMALL(Dong13,ROWS($1:11)),))</f>
        <v/>
      </c>
      <c r="E24" s="1163" t="str">
        <f t="shared" ca="1" si="0"/>
        <v/>
      </c>
      <c r="F24" s="731" t="str">
        <f t="shared" ca="1" si="1"/>
        <v/>
      </c>
      <c r="G24" s="732" t="str">
        <f ca="1">IF(ROWS($1:11)&gt;COUNT(Dong13),"",OFFSET(TH!F$1,SMALL(Dong13,ROWS($1:11)),))</f>
        <v/>
      </c>
      <c r="H24" s="733" t="str">
        <f ca="1">IF(ROWS($1:11)&gt;COUNT(Dong13),"",OFFSET(TH!I$1,SMALL(Dong13,ROWS($1:11)),))</f>
        <v/>
      </c>
      <c r="I24" s="733" t="str">
        <f ca="1">IF(ROWS($1:11)&gt;COUNT(Dong13),"",OFFSET(TH!J$1,SMALL(Dong13,ROWS($1:11)),))</f>
        <v/>
      </c>
      <c r="J24" s="734">
        <f t="shared" ca="1" si="3"/>
        <v>0</v>
      </c>
      <c r="K24" s="736"/>
      <c r="L24" s="735"/>
      <c r="M24" s="714"/>
      <c r="N24" s="714"/>
    </row>
    <row r="25" spans="1:14" ht="27" customHeight="1">
      <c r="A25" s="227" t="str">
        <f ca="1">IF(ROWS($1:12)&gt;COUNT(Dong13),"",OFFSET(TH!E$1,SMALL(Dong13,ROWS($1:12)),))</f>
        <v/>
      </c>
      <c r="B25" s="230" t="str">
        <f ca="1">IF(ROWS($1:12)&gt;COUNT(Dong13),"",OFFSET(TH!H$1,SMALL(Dong13,ROWS($1:12)),))</f>
        <v/>
      </c>
      <c r="C25" s="730" t="str">
        <f t="shared" ca="1" si="2"/>
        <v/>
      </c>
      <c r="D25" s="730" t="str">
        <f ca="1">IF(ROWS($1:12)&gt;COUNT(Dong13),"",OFFSET(TH!D$1,SMALL(Dong13,ROWS($1:12)),))</f>
        <v/>
      </c>
      <c r="E25" s="1163" t="str">
        <f t="shared" ca="1" si="0"/>
        <v/>
      </c>
      <c r="F25" s="731" t="str">
        <f t="shared" ca="1" si="1"/>
        <v/>
      </c>
      <c r="G25" s="732" t="str">
        <f ca="1">IF(ROWS($1:12)&gt;COUNT(Dong13),"",OFFSET(TH!F$1,SMALL(Dong13,ROWS($1:12)),))</f>
        <v/>
      </c>
      <c r="H25" s="733" t="str">
        <f ca="1">IF(ROWS($1:12)&gt;COUNT(Dong13),"",OFFSET(TH!I$1,SMALL(Dong13,ROWS($1:12)),))</f>
        <v/>
      </c>
      <c r="I25" s="733" t="str">
        <f ca="1">IF(ROWS($1:12)&gt;COUNT(Dong13),"",OFFSET(TH!J$1,SMALL(Dong13,ROWS($1:12)),))</f>
        <v/>
      </c>
      <c r="J25" s="734">
        <f t="shared" ca="1" si="3"/>
        <v>0</v>
      </c>
      <c r="K25" s="736"/>
      <c r="L25" s="735"/>
      <c r="M25" s="714"/>
      <c r="N25" s="714"/>
    </row>
    <row r="26" spans="1:14" ht="27" customHeight="1">
      <c r="A26" s="227" t="str">
        <f ca="1">IF(ROWS($1:13)&gt;COUNT(Dong13),"",OFFSET(TH!E$1,SMALL(Dong13,ROWS($1:13)),))</f>
        <v/>
      </c>
      <c r="B26" s="230" t="str">
        <f ca="1">IF(ROWS($1:13)&gt;COUNT(Dong13),"",OFFSET(TH!H$1,SMALL(Dong13,ROWS($1:13)),))</f>
        <v/>
      </c>
      <c r="C26" s="730" t="str">
        <f t="shared" ca="1" si="2"/>
        <v/>
      </c>
      <c r="D26" s="730" t="str">
        <f ca="1">IF(ROWS($1:13)&gt;COUNT(Dong13),"",OFFSET(TH!D$1,SMALL(Dong13,ROWS($1:13)),))</f>
        <v/>
      </c>
      <c r="E26" s="1163" t="str">
        <f t="shared" ca="1" si="0"/>
        <v/>
      </c>
      <c r="F26" s="731" t="str">
        <f t="shared" ca="1" si="1"/>
        <v/>
      </c>
      <c r="G26" s="732" t="str">
        <f ca="1">IF(ROWS($1:13)&gt;COUNT(Dong13),"",OFFSET(TH!F$1,SMALL(Dong13,ROWS($1:13)),))</f>
        <v/>
      </c>
      <c r="H26" s="733" t="str">
        <f ca="1">IF(ROWS($1:13)&gt;COUNT(Dong13),"",OFFSET(TH!I$1,SMALL(Dong13,ROWS($1:13)),))</f>
        <v/>
      </c>
      <c r="I26" s="733" t="str">
        <f ca="1">IF(ROWS($1:13)&gt;COUNT(Dong13),"",OFFSET(TH!J$1,SMALL(Dong13,ROWS($1:13)),))</f>
        <v/>
      </c>
      <c r="J26" s="734">
        <f t="shared" ca="1" si="3"/>
        <v>0</v>
      </c>
      <c r="K26" s="736"/>
      <c r="L26" s="735"/>
      <c r="M26" s="714"/>
      <c r="N26" s="714"/>
    </row>
    <row r="27" spans="1:14" ht="27" customHeight="1">
      <c r="A27" s="227" t="str">
        <f ca="1">IF(ROWS($1:14)&gt;COUNT(Dong13),"",OFFSET(TH!E$1,SMALL(Dong13,ROWS($1:14)),))</f>
        <v/>
      </c>
      <c r="B27" s="230" t="str">
        <f ca="1">IF(ROWS($1:14)&gt;COUNT(Dong13),"",OFFSET(TH!H$1,SMALL(Dong13,ROWS($1:14)),))</f>
        <v/>
      </c>
      <c r="C27" s="730" t="str">
        <f t="shared" ca="1" si="2"/>
        <v/>
      </c>
      <c r="D27" s="730" t="str">
        <f ca="1">IF(ROWS($1:14)&gt;COUNT(Dong13),"",OFFSET(TH!D$1,SMALL(Dong13,ROWS($1:14)),))</f>
        <v/>
      </c>
      <c r="E27" s="1163" t="str">
        <f t="shared" ca="1" si="0"/>
        <v/>
      </c>
      <c r="F27" s="731" t="str">
        <f t="shared" ca="1" si="1"/>
        <v/>
      </c>
      <c r="G27" s="732" t="str">
        <f ca="1">IF(ROWS($1:14)&gt;COUNT(Dong13),"",OFFSET(TH!F$1,SMALL(Dong13,ROWS($1:14)),))</f>
        <v/>
      </c>
      <c r="H27" s="733" t="str">
        <f ca="1">IF(ROWS($1:14)&gt;COUNT(Dong13),"",OFFSET(TH!I$1,SMALL(Dong13,ROWS($1:14)),))</f>
        <v/>
      </c>
      <c r="I27" s="733" t="str">
        <f ca="1">IF(ROWS($1:14)&gt;COUNT(Dong13),"",OFFSET(TH!J$1,SMALL(Dong13,ROWS($1:14)),))</f>
        <v/>
      </c>
      <c r="J27" s="734">
        <f t="shared" ca="1" si="3"/>
        <v>0</v>
      </c>
      <c r="K27" s="736"/>
      <c r="L27" s="735"/>
      <c r="M27" s="714"/>
      <c r="N27" s="714"/>
    </row>
    <row r="28" spans="1:14" ht="27" customHeight="1">
      <c r="A28" s="227" t="str">
        <f ca="1">IF(ROWS($1:15)&gt;COUNT(Dong13),"",OFFSET(TH!E$1,SMALL(Dong13,ROWS($1:15)),))</f>
        <v/>
      </c>
      <c r="B28" s="230" t="str">
        <f ca="1">IF(ROWS($1:15)&gt;COUNT(Dong13),"",OFFSET(TH!H$1,SMALL(Dong13,ROWS($1:15)),))</f>
        <v/>
      </c>
      <c r="C28" s="730" t="str">
        <f t="shared" ca="1" si="2"/>
        <v/>
      </c>
      <c r="D28" s="730" t="str">
        <f ca="1">IF(ROWS($1:15)&gt;COUNT(Dong13),"",OFFSET(TH!D$1,SMALL(Dong13,ROWS($1:15)),))</f>
        <v/>
      </c>
      <c r="E28" s="1163" t="str">
        <f t="shared" ca="1" si="0"/>
        <v/>
      </c>
      <c r="F28" s="731" t="str">
        <f t="shared" ca="1" si="1"/>
        <v/>
      </c>
      <c r="G28" s="732" t="str">
        <f ca="1">IF(ROWS($1:15)&gt;COUNT(Dong13),"",OFFSET(TH!F$1,SMALL(Dong13,ROWS($1:15)),))</f>
        <v/>
      </c>
      <c r="H28" s="733" t="str">
        <f ca="1">IF(ROWS($1:15)&gt;COUNT(Dong13),"",OFFSET(TH!I$1,SMALL(Dong13,ROWS($1:15)),))</f>
        <v/>
      </c>
      <c r="I28" s="733" t="str">
        <f ca="1">IF(ROWS($1:15)&gt;COUNT(Dong13),"",OFFSET(TH!J$1,SMALL(Dong13,ROWS($1:15)),))</f>
        <v/>
      </c>
      <c r="J28" s="734">
        <f t="shared" ca="1" si="3"/>
        <v>0</v>
      </c>
      <c r="K28" s="736"/>
      <c r="L28" s="735"/>
      <c r="M28" s="714"/>
      <c r="N28" s="714"/>
    </row>
    <row r="29" spans="1:14" ht="27" customHeight="1">
      <c r="A29" s="227" t="str">
        <f ca="1">IF(ROWS($1:16)&gt;COUNT(Dong13),"",OFFSET(TH!E$1,SMALL(Dong13,ROWS($1:16)),))</f>
        <v/>
      </c>
      <c r="B29" s="230" t="str">
        <f ca="1">IF(ROWS($1:16)&gt;COUNT(Dong13),"",OFFSET(TH!H$1,SMALL(Dong13,ROWS($1:16)),))</f>
        <v/>
      </c>
      <c r="C29" s="730" t="str">
        <f t="shared" ca="1" si="2"/>
        <v/>
      </c>
      <c r="D29" s="730" t="str">
        <f ca="1">IF(ROWS($1:16)&gt;COUNT(Dong13),"",OFFSET(TH!D$1,SMALL(Dong13,ROWS($1:16)),))</f>
        <v/>
      </c>
      <c r="E29" s="1163" t="str">
        <f t="shared" ca="1" si="0"/>
        <v/>
      </c>
      <c r="F29" s="731" t="str">
        <f t="shared" ca="1" si="1"/>
        <v/>
      </c>
      <c r="G29" s="732" t="str">
        <f ca="1">IF(ROWS($1:16)&gt;COUNT(Dong13),"",OFFSET(TH!F$1,SMALL(Dong13,ROWS($1:16)),))</f>
        <v/>
      </c>
      <c r="H29" s="733" t="str">
        <f ca="1">IF(ROWS($1:16)&gt;COUNT(Dong13),"",OFFSET(TH!I$1,SMALL(Dong13,ROWS($1:16)),))</f>
        <v/>
      </c>
      <c r="I29" s="733" t="str">
        <f ca="1">IF(ROWS($1:16)&gt;COUNT(Dong13),"",OFFSET(TH!J$1,SMALL(Dong13,ROWS($1:16)),))</f>
        <v/>
      </c>
      <c r="J29" s="734">
        <f t="shared" ca="1" si="3"/>
        <v>0</v>
      </c>
      <c r="K29" s="736"/>
      <c r="L29" s="735"/>
      <c r="M29" s="714"/>
      <c r="N29" s="714"/>
    </row>
    <row r="30" spans="1:14" ht="27" customHeight="1">
      <c r="A30" s="227" t="str">
        <f ca="1">IF(ROWS($1:17)&gt;COUNT(Dong13),"",OFFSET(TH!E$1,SMALL(Dong13,ROWS($1:17)),))</f>
        <v/>
      </c>
      <c r="B30" s="230" t="str">
        <f ca="1">IF(ROWS($1:17)&gt;COUNT(Dong13),"",OFFSET(TH!H$1,SMALL(Dong13,ROWS($1:17)),))</f>
        <v/>
      </c>
      <c r="C30" s="730" t="str">
        <f t="shared" ca="1" si="2"/>
        <v/>
      </c>
      <c r="D30" s="730" t="str">
        <f ca="1">IF(ROWS($1:17)&gt;COUNT(Dong13),"",OFFSET(TH!D$1,SMALL(Dong13,ROWS($1:17)),))</f>
        <v/>
      </c>
      <c r="E30" s="1163" t="str">
        <f t="shared" ca="1" si="0"/>
        <v/>
      </c>
      <c r="F30" s="731" t="str">
        <f t="shared" ca="1" si="1"/>
        <v/>
      </c>
      <c r="G30" s="732" t="str">
        <f ca="1">IF(ROWS($1:17)&gt;COUNT(Dong13),"",OFFSET(TH!F$1,SMALL(Dong13,ROWS($1:17)),))</f>
        <v/>
      </c>
      <c r="H30" s="733" t="str">
        <f ca="1">IF(ROWS($1:17)&gt;COUNT(Dong13),"",OFFSET(TH!I$1,SMALL(Dong13,ROWS($1:17)),))</f>
        <v/>
      </c>
      <c r="I30" s="733" t="str">
        <f ca="1">IF(ROWS($1:17)&gt;COUNT(Dong13),"",OFFSET(TH!J$1,SMALL(Dong13,ROWS($1:17)),))</f>
        <v/>
      </c>
      <c r="J30" s="734">
        <f t="shared" ca="1" si="3"/>
        <v>0</v>
      </c>
      <c r="K30" s="736"/>
      <c r="L30" s="735"/>
      <c r="M30" s="714"/>
      <c r="N30" s="714"/>
    </row>
    <row r="31" spans="1:14" ht="27" customHeight="1">
      <c r="A31" s="227" t="str">
        <f ca="1">IF(ROWS($1:18)&gt;COUNT(Dong13),"",OFFSET(TH!E$1,SMALL(Dong13,ROWS($1:18)),))</f>
        <v/>
      </c>
      <c r="B31" s="230" t="str">
        <f ca="1">IF(ROWS($1:18)&gt;COUNT(Dong13),"",OFFSET(TH!H$1,SMALL(Dong13,ROWS($1:18)),))</f>
        <v/>
      </c>
      <c r="C31" s="730" t="str">
        <f t="shared" ca="1" si="2"/>
        <v/>
      </c>
      <c r="D31" s="730" t="str">
        <f ca="1">IF(ROWS($1:18)&gt;COUNT(Dong13),"",OFFSET(TH!D$1,SMALL(Dong13,ROWS($1:18)),))</f>
        <v/>
      </c>
      <c r="E31" s="1163" t="str">
        <f t="shared" ca="1" si="0"/>
        <v/>
      </c>
      <c r="F31" s="731" t="str">
        <f t="shared" ca="1" si="1"/>
        <v/>
      </c>
      <c r="G31" s="732" t="str">
        <f ca="1">IF(ROWS($1:18)&gt;COUNT(Dong13),"",OFFSET(TH!F$1,SMALL(Dong13,ROWS($1:18)),))</f>
        <v/>
      </c>
      <c r="H31" s="733" t="str">
        <f ca="1">IF(ROWS($1:18)&gt;COUNT(Dong13),"",OFFSET(TH!I$1,SMALL(Dong13,ROWS($1:18)),))</f>
        <v/>
      </c>
      <c r="I31" s="733" t="str">
        <f ca="1">IF(ROWS($1:18)&gt;COUNT(Dong13),"",OFFSET(TH!J$1,SMALL(Dong13,ROWS($1:18)),))</f>
        <v/>
      </c>
      <c r="J31" s="734">
        <f t="shared" ca="1" si="3"/>
        <v>0</v>
      </c>
      <c r="K31" s="736"/>
      <c r="L31" s="735"/>
      <c r="M31" s="714"/>
      <c r="N31" s="714"/>
    </row>
    <row r="32" spans="1:14" ht="27" customHeight="1">
      <c r="A32" s="227" t="str">
        <f ca="1">IF(ROWS($1:19)&gt;COUNT(Dong13),"",OFFSET(TH!E$1,SMALL(Dong13,ROWS($1:19)),))</f>
        <v/>
      </c>
      <c r="B32" s="230" t="str">
        <f ca="1">IF(ROWS($1:19)&gt;COUNT(Dong13),"",OFFSET(TH!H$1,SMALL(Dong13,ROWS($1:19)),))</f>
        <v/>
      </c>
      <c r="C32" s="730" t="str">
        <f t="shared" ca="1" si="2"/>
        <v/>
      </c>
      <c r="D32" s="730" t="str">
        <f ca="1">IF(ROWS($1:19)&gt;COUNT(Dong13),"",OFFSET(TH!D$1,SMALL(Dong13,ROWS($1:19)),))</f>
        <v/>
      </c>
      <c r="E32" s="1163" t="str">
        <f t="shared" ca="1" si="0"/>
        <v/>
      </c>
      <c r="F32" s="731" t="str">
        <f t="shared" ca="1" si="1"/>
        <v/>
      </c>
      <c r="G32" s="732" t="str">
        <f ca="1">IF(ROWS($1:19)&gt;COUNT(Dong13),"",OFFSET(TH!F$1,SMALL(Dong13,ROWS($1:19)),))</f>
        <v/>
      </c>
      <c r="H32" s="733" t="str">
        <f ca="1">IF(ROWS($1:19)&gt;COUNT(Dong13),"",OFFSET(TH!I$1,SMALL(Dong13,ROWS($1:19)),))</f>
        <v/>
      </c>
      <c r="I32" s="733" t="str">
        <f ca="1">IF(ROWS($1:19)&gt;COUNT(Dong13),"",OFFSET(TH!J$1,SMALL(Dong13,ROWS($1:19)),))</f>
        <v/>
      </c>
      <c r="J32" s="734">
        <f t="shared" ca="1" si="3"/>
        <v>0</v>
      </c>
      <c r="K32" s="736"/>
      <c r="L32" s="735"/>
      <c r="M32" s="714"/>
      <c r="N32" s="714"/>
    </row>
    <row r="33" spans="1:14" ht="27" customHeight="1">
      <c r="A33" s="227" t="str">
        <f ca="1">IF(ROWS($1:20)&gt;COUNT(Dong13),"",OFFSET(TH!E$1,SMALL(Dong13,ROWS($1:20)),))</f>
        <v/>
      </c>
      <c r="B33" s="230" t="str">
        <f ca="1">IF(ROWS($1:20)&gt;COUNT(Dong13),"",OFFSET(TH!H$1,SMALL(Dong13,ROWS($1:20)),))</f>
        <v/>
      </c>
      <c r="C33" s="730" t="str">
        <f t="shared" ca="1" si="2"/>
        <v/>
      </c>
      <c r="D33" s="730" t="str">
        <f ca="1">IF(ROWS($1:20)&gt;COUNT(Dong13),"",OFFSET(TH!D$1,SMALL(Dong13,ROWS($1:20)),))</f>
        <v/>
      </c>
      <c r="E33" s="1163" t="str">
        <f t="shared" ca="1" si="0"/>
        <v/>
      </c>
      <c r="F33" s="731" t="str">
        <f t="shared" ca="1" si="1"/>
        <v/>
      </c>
      <c r="G33" s="732" t="str">
        <f ca="1">IF(ROWS($1:20)&gt;COUNT(Dong13),"",OFFSET(TH!F$1,SMALL(Dong13,ROWS($1:20)),))</f>
        <v/>
      </c>
      <c r="H33" s="733" t="str">
        <f ca="1">IF(ROWS($1:20)&gt;COUNT(Dong13),"",OFFSET(TH!I$1,SMALL(Dong13,ROWS($1:20)),))</f>
        <v/>
      </c>
      <c r="I33" s="733" t="str">
        <f ca="1">IF(ROWS($1:20)&gt;COUNT(Dong13),"",OFFSET(TH!J$1,SMALL(Dong13,ROWS($1:20)),))</f>
        <v/>
      </c>
      <c r="J33" s="734">
        <f t="shared" ca="1" si="3"/>
        <v>0</v>
      </c>
      <c r="K33" s="736"/>
      <c r="L33" s="735"/>
      <c r="M33" s="714"/>
      <c r="N33" s="714"/>
    </row>
    <row r="34" spans="1:14" ht="27" customHeight="1">
      <c r="A34" s="227" t="str">
        <f ca="1">IF(ROWS($1:21)&gt;COUNT(Dong13),"",OFFSET(TH!E$1,SMALL(Dong13,ROWS($1:21)),))</f>
        <v/>
      </c>
      <c r="B34" s="230" t="str">
        <f ca="1">IF(ROWS($1:21)&gt;COUNT(Dong13),"",OFFSET(TH!H$1,SMALL(Dong13,ROWS($1:21)),))</f>
        <v/>
      </c>
      <c r="C34" s="730" t="str">
        <f t="shared" ca="1" si="2"/>
        <v/>
      </c>
      <c r="D34" s="730" t="str">
        <f ca="1">IF(ROWS($1:21)&gt;COUNT(Dong13),"",OFFSET(TH!D$1,SMALL(Dong13,ROWS($1:21)),))</f>
        <v/>
      </c>
      <c r="E34" s="1163" t="str">
        <f t="shared" ca="1" si="0"/>
        <v/>
      </c>
      <c r="F34" s="731" t="str">
        <f t="shared" ca="1" si="1"/>
        <v/>
      </c>
      <c r="G34" s="732" t="str">
        <f ca="1">IF(ROWS($1:21)&gt;COUNT(Dong13),"",OFFSET(TH!F$1,SMALL(Dong13,ROWS($1:21)),))</f>
        <v/>
      </c>
      <c r="H34" s="733" t="str">
        <f ca="1">IF(ROWS($1:21)&gt;COUNT(Dong13),"",OFFSET(TH!I$1,SMALL(Dong13,ROWS($1:21)),))</f>
        <v/>
      </c>
      <c r="I34" s="733" t="str">
        <f ca="1">IF(ROWS($1:21)&gt;COUNT(Dong13),"",OFFSET(TH!J$1,SMALL(Dong13,ROWS($1:21)),))</f>
        <v/>
      </c>
      <c r="J34" s="734">
        <f t="shared" ca="1" si="3"/>
        <v>0</v>
      </c>
      <c r="K34" s="736"/>
      <c r="L34" s="735"/>
      <c r="M34" s="714"/>
      <c r="N34" s="714"/>
    </row>
    <row r="35" spans="1:14" ht="27" customHeight="1">
      <c r="A35" s="227" t="str">
        <f ca="1">IF(ROWS($1:22)&gt;COUNT(Dong13),"",OFFSET(TH!E$1,SMALL(Dong13,ROWS($1:22)),))</f>
        <v/>
      </c>
      <c r="B35" s="230" t="str">
        <f ca="1">IF(ROWS($1:22)&gt;COUNT(Dong13),"",OFFSET(TH!H$1,SMALL(Dong13,ROWS($1:22)),))</f>
        <v/>
      </c>
      <c r="C35" s="730" t="str">
        <f t="shared" ca="1" si="2"/>
        <v/>
      </c>
      <c r="D35" s="730" t="str">
        <f ca="1">IF(ROWS($1:22)&gt;COUNT(Dong13),"",OFFSET(TH!D$1,SMALL(Dong13,ROWS($1:22)),))</f>
        <v/>
      </c>
      <c r="E35" s="1163" t="str">
        <f t="shared" ca="1" si="0"/>
        <v/>
      </c>
      <c r="F35" s="731" t="str">
        <f t="shared" ca="1" si="1"/>
        <v/>
      </c>
      <c r="G35" s="732" t="str">
        <f ca="1">IF(ROWS($1:22)&gt;COUNT(Dong13),"",OFFSET(TH!F$1,SMALL(Dong13,ROWS($1:22)),))</f>
        <v/>
      </c>
      <c r="H35" s="733" t="str">
        <f ca="1">IF(ROWS($1:22)&gt;COUNT(Dong13),"",OFFSET(TH!I$1,SMALL(Dong13,ROWS($1:22)),))</f>
        <v/>
      </c>
      <c r="I35" s="733" t="str">
        <f ca="1">IF(ROWS($1:22)&gt;COUNT(Dong13),"",OFFSET(TH!J$1,SMALL(Dong13,ROWS($1:22)),))</f>
        <v/>
      </c>
      <c r="J35" s="734">
        <f t="shared" ca="1" si="3"/>
        <v>0</v>
      </c>
      <c r="K35" s="736"/>
      <c r="L35" s="735"/>
      <c r="M35" s="714"/>
      <c r="N35" s="714"/>
    </row>
    <row r="36" spans="1:14" ht="27" customHeight="1">
      <c r="A36" s="227" t="str">
        <f ca="1">IF(ROWS($1:23)&gt;COUNT(Dong13),"",OFFSET(TH!E$1,SMALL(Dong13,ROWS($1:23)),))</f>
        <v/>
      </c>
      <c r="B36" s="230" t="str">
        <f ca="1">IF(ROWS($1:23)&gt;COUNT(Dong13),"",OFFSET(TH!H$1,SMALL(Dong13,ROWS($1:23)),))</f>
        <v/>
      </c>
      <c r="C36" s="730" t="str">
        <f t="shared" ca="1" si="2"/>
        <v/>
      </c>
      <c r="D36" s="730" t="str">
        <f ca="1">IF(ROWS($1:23)&gt;COUNT(Dong13),"",OFFSET(TH!D$1,SMALL(Dong13,ROWS($1:23)),))</f>
        <v/>
      </c>
      <c r="E36" s="1163" t="str">
        <f t="shared" ca="1" si="0"/>
        <v/>
      </c>
      <c r="F36" s="731" t="str">
        <f t="shared" ca="1" si="1"/>
        <v/>
      </c>
      <c r="G36" s="732" t="str">
        <f ca="1">IF(ROWS($1:23)&gt;COUNT(Dong13),"",OFFSET(TH!F$1,SMALL(Dong13,ROWS($1:23)),))</f>
        <v/>
      </c>
      <c r="H36" s="733" t="str">
        <f ca="1">IF(ROWS($1:23)&gt;COUNT(Dong13),"",OFFSET(TH!I$1,SMALL(Dong13,ROWS($1:23)),))</f>
        <v/>
      </c>
      <c r="I36" s="733" t="str">
        <f ca="1">IF(ROWS($1:23)&gt;COUNT(Dong13),"",OFFSET(TH!J$1,SMALL(Dong13,ROWS($1:23)),))</f>
        <v/>
      </c>
      <c r="J36" s="734">
        <f t="shared" ca="1" si="3"/>
        <v>0</v>
      </c>
      <c r="K36" s="736"/>
      <c r="L36" s="735"/>
      <c r="M36" s="714"/>
      <c r="N36" s="714"/>
    </row>
    <row r="37" spans="1:14" ht="27" customHeight="1">
      <c r="A37" s="227" t="str">
        <f ca="1">IF(ROWS($1:24)&gt;COUNT(Dong13),"",OFFSET(TH!E$1,SMALL(Dong13,ROWS($1:24)),))</f>
        <v/>
      </c>
      <c r="B37" s="230" t="str">
        <f ca="1">IF(ROWS($1:24)&gt;COUNT(Dong13),"",OFFSET(TH!H$1,SMALL(Dong13,ROWS($1:24)),))</f>
        <v/>
      </c>
      <c r="C37" s="730" t="str">
        <f t="shared" ca="1" si="2"/>
        <v/>
      </c>
      <c r="D37" s="730" t="str">
        <f ca="1">IF(ROWS($1:24)&gt;COUNT(Dong13),"",OFFSET(TH!D$1,SMALL(Dong13,ROWS($1:24)),))</f>
        <v/>
      </c>
      <c r="E37" s="1163" t="str">
        <f t="shared" ca="1" si="0"/>
        <v/>
      </c>
      <c r="F37" s="731" t="str">
        <f t="shared" ca="1" si="1"/>
        <v/>
      </c>
      <c r="G37" s="732" t="str">
        <f ca="1">IF(ROWS($1:24)&gt;COUNT(Dong13),"",OFFSET(TH!F$1,SMALL(Dong13,ROWS($1:24)),))</f>
        <v/>
      </c>
      <c r="H37" s="733" t="str">
        <f ca="1">IF(ROWS($1:24)&gt;COUNT(Dong13),"",OFFSET(TH!I$1,SMALL(Dong13,ROWS($1:24)),))</f>
        <v/>
      </c>
      <c r="I37" s="733" t="str">
        <f ca="1">IF(ROWS($1:24)&gt;COUNT(Dong13),"",OFFSET(TH!J$1,SMALL(Dong13,ROWS($1:24)),))</f>
        <v/>
      </c>
      <c r="J37" s="734">
        <f t="shared" ca="1" si="3"/>
        <v>0</v>
      </c>
      <c r="K37" s="736"/>
      <c r="L37" s="735"/>
      <c r="M37" s="714"/>
      <c r="N37" s="714"/>
    </row>
    <row r="38" spans="1:14" ht="27" customHeight="1">
      <c r="A38" s="227" t="str">
        <f ca="1">IF(ROWS($1:25)&gt;COUNT(Dong13),"",OFFSET(TH!E$1,SMALL(Dong13,ROWS($1:25)),))</f>
        <v/>
      </c>
      <c r="B38" s="230" t="str">
        <f ca="1">IF(ROWS($1:25)&gt;COUNT(Dong13),"",OFFSET(TH!H$1,SMALL(Dong13,ROWS($1:25)),))</f>
        <v/>
      </c>
      <c r="C38" s="730" t="str">
        <f t="shared" ca="1" si="2"/>
        <v/>
      </c>
      <c r="D38" s="730" t="str">
        <f ca="1">IF(ROWS($1:25)&gt;COUNT(Dong13),"",OFFSET(TH!D$1,SMALL(Dong13,ROWS($1:25)),))</f>
        <v/>
      </c>
      <c r="E38" s="1163" t="str">
        <f t="shared" ca="1" si="0"/>
        <v/>
      </c>
      <c r="F38" s="731" t="str">
        <f t="shared" ca="1" si="1"/>
        <v/>
      </c>
      <c r="G38" s="732" t="str">
        <f ca="1">IF(ROWS($1:25)&gt;COUNT(Dong13),"",OFFSET(TH!F$1,SMALL(Dong13,ROWS($1:25)),))</f>
        <v/>
      </c>
      <c r="H38" s="733" t="str">
        <f ca="1">IF(ROWS($1:25)&gt;COUNT(Dong13),"",OFFSET(TH!I$1,SMALL(Dong13,ROWS($1:25)),))</f>
        <v/>
      </c>
      <c r="I38" s="733" t="str">
        <f ca="1">IF(ROWS($1:25)&gt;COUNT(Dong13),"",OFFSET(TH!J$1,SMALL(Dong13,ROWS($1:25)),))</f>
        <v/>
      </c>
      <c r="J38" s="734">
        <f t="shared" ca="1" si="3"/>
        <v>0</v>
      </c>
      <c r="K38" s="736"/>
      <c r="L38" s="735"/>
      <c r="M38" s="714"/>
      <c r="N38" s="714"/>
    </row>
    <row r="39" spans="1:14" ht="27" customHeight="1">
      <c r="A39" s="227" t="str">
        <f ca="1">IF(ROWS($1:26)&gt;COUNT(Dong13),"",OFFSET(TH!E$1,SMALL(Dong13,ROWS($1:26)),))</f>
        <v/>
      </c>
      <c r="B39" s="230" t="str">
        <f ca="1">IF(ROWS($1:26)&gt;COUNT(Dong13),"",OFFSET(TH!H$1,SMALL(Dong13,ROWS($1:26)),))</f>
        <v/>
      </c>
      <c r="C39" s="730" t="str">
        <f t="shared" ca="1" si="2"/>
        <v/>
      </c>
      <c r="D39" s="730" t="str">
        <f ca="1">IF(ROWS($1:26)&gt;COUNT(Dong13),"",OFFSET(TH!D$1,SMALL(Dong13,ROWS($1:26)),))</f>
        <v/>
      </c>
      <c r="E39" s="1163" t="str">
        <f t="shared" ca="1" si="0"/>
        <v/>
      </c>
      <c r="F39" s="731" t="str">
        <f t="shared" ca="1" si="1"/>
        <v/>
      </c>
      <c r="G39" s="732" t="str">
        <f ca="1">IF(ROWS($1:26)&gt;COUNT(Dong13),"",OFFSET(TH!F$1,SMALL(Dong13,ROWS($1:26)),))</f>
        <v/>
      </c>
      <c r="H39" s="733" t="str">
        <f ca="1">IF(ROWS($1:26)&gt;COUNT(Dong13),"",OFFSET(TH!I$1,SMALL(Dong13,ROWS($1:26)),))</f>
        <v/>
      </c>
      <c r="I39" s="733" t="str">
        <f ca="1">IF(ROWS($1:26)&gt;COUNT(Dong13),"",OFFSET(TH!J$1,SMALL(Dong13,ROWS($1:26)),))</f>
        <v/>
      </c>
      <c r="J39" s="734">
        <f t="shared" ca="1" si="3"/>
        <v>0</v>
      </c>
      <c r="K39" s="736"/>
      <c r="L39" s="735"/>
      <c r="M39" s="714"/>
      <c r="N39" s="714"/>
    </row>
    <row r="40" spans="1:14" ht="27" customHeight="1">
      <c r="A40" s="227" t="str">
        <f ca="1">IF(ROWS($1:27)&gt;COUNT(Dong13),"",OFFSET(TH!E$1,SMALL(Dong13,ROWS($1:27)),))</f>
        <v/>
      </c>
      <c r="B40" s="230" t="str">
        <f ca="1">IF(ROWS($1:27)&gt;COUNT(Dong13),"",OFFSET(TH!H$1,SMALL(Dong13,ROWS($1:27)),))</f>
        <v/>
      </c>
      <c r="C40" s="730" t="str">
        <f t="shared" ca="1" si="2"/>
        <v/>
      </c>
      <c r="D40" s="730" t="str">
        <f ca="1">IF(ROWS($1:27)&gt;COUNT(Dong13),"",OFFSET(TH!D$1,SMALL(Dong13,ROWS($1:27)),))</f>
        <v/>
      </c>
      <c r="E40" s="1163" t="str">
        <f t="shared" ca="1" si="0"/>
        <v/>
      </c>
      <c r="F40" s="731" t="str">
        <f t="shared" ca="1" si="1"/>
        <v/>
      </c>
      <c r="G40" s="732" t="str">
        <f ca="1">IF(ROWS($1:27)&gt;COUNT(Dong13),"",OFFSET(TH!F$1,SMALL(Dong13,ROWS($1:27)),))</f>
        <v/>
      </c>
      <c r="H40" s="733" t="str">
        <f ca="1">IF(ROWS($1:27)&gt;COUNT(Dong13),"",OFFSET(TH!I$1,SMALL(Dong13,ROWS($1:27)),))</f>
        <v/>
      </c>
      <c r="I40" s="733" t="str">
        <f ca="1">IF(ROWS($1:27)&gt;COUNT(Dong13),"",OFFSET(TH!J$1,SMALL(Dong13,ROWS($1:27)),))</f>
        <v/>
      </c>
      <c r="J40" s="734">
        <f t="shared" ca="1" si="3"/>
        <v>0</v>
      </c>
      <c r="K40" s="736"/>
      <c r="L40" s="735"/>
      <c r="M40" s="714"/>
      <c r="N40" s="714"/>
    </row>
    <row r="41" spans="1:14" ht="28.5" customHeight="1">
      <c r="A41" s="715" t="s">
        <v>525</v>
      </c>
      <c r="B41" s="713"/>
      <c r="C41" s="713"/>
      <c r="D41" s="713"/>
      <c r="E41" s="1164">
        <f ca="1">SUM(J14:J40)</f>
        <v>653400000</v>
      </c>
      <c r="F41" s="737"/>
      <c r="G41" s="713"/>
      <c r="H41" s="717"/>
      <c r="I41" s="717"/>
      <c r="J41" s="738"/>
      <c r="K41" s="713"/>
      <c r="L41" s="713"/>
      <c r="M41" s="714"/>
      <c r="N41" s="739">
        <f ca="1">SUBTOTAL(9,J14:J40)</f>
        <v>653400000</v>
      </c>
    </row>
    <row r="42" spans="1:14" ht="15.75">
      <c r="A42" s="715"/>
      <c r="B42" s="713"/>
      <c r="C42" s="713"/>
      <c r="D42" s="713"/>
      <c r="E42" s="1165"/>
      <c r="F42" s="717"/>
      <c r="G42" s="713"/>
      <c r="H42" s="717"/>
      <c r="I42" s="717"/>
      <c r="J42" s="741" t="str">
        <f xml:space="preserve"> IF(OR($M$11=1,$M$11=4,$M$11=6,$M$11=9,$M$11=11),"Ngày  30  tháng  "&amp;$M$11&amp;"  năm 2016",IF(OR($M$11=3,$M$11=5,$M$11=7,$M$11=8,$M$11=10,$M$11=12),"Ngày  31  tháng  "&amp;$M$11&amp;"  năm 2016","Ngày  29  tháng  "&amp;$M$11&amp;"  năm 2016"))</f>
        <v>Ngày  29  tháng  2  năm 2016</v>
      </c>
      <c r="K42" s="742"/>
      <c r="L42" s="713"/>
      <c r="M42" s="714"/>
      <c r="N42" s="714"/>
    </row>
    <row r="43" spans="1:14" ht="15.75">
      <c r="A43" s="715"/>
      <c r="B43" s="743" t="s">
        <v>526</v>
      </c>
      <c r="C43" s="743"/>
      <c r="D43" s="743"/>
      <c r="E43" s="1161"/>
      <c r="F43" s="713"/>
      <c r="G43" s="713"/>
      <c r="H43" s="717"/>
      <c r="I43" s="717"/>
      <c r="J43" s="744" t="s">
        <v>527</v>
      </c>
      <c r="K43" s="713"/>
      <c r="L43" s="713"/>
      <c r="M43" s="714"/>
      <c r="N43" s="714"/>
    </row>
    <row r="44" spans="1:14" ht="15.75">
      <c r="A44" s="715"/>
      <c r="B44" s="745" t="s">
        <v>528</v>
      </c>
      <c r="C44" s="745"/>
      <c r="D44" s="745"/>
      <c r="E44" s="1161"/>
      <c r="F44" s="746"/>
      <c r="G44" s="713"/>
      <c r="H44" s="717"/>
      <c r="I44" s="717"/>
      <c r="J44" s="747" t="s">
        <v>529</v>
      </c>
      <c r="K44" s="713"/>
      <c r="L44" s="713"/>
      <c r="M44" s="714"/>
      <c r="N44" s="714"/>
    </row>
    <row r="45" spans="1:14" ht="15.75">
      <c r="A45" s="715"/>
      <c r="B45" s="745"/>
      <c r="C45" s="745"/>
      <c r="D45" s="745"/>
      <c r="E45" s="1161"/>
      <c r="F45" s="746"/>
      <c r="G45" s="713"/>
      <c r="H45" s="717"/>
      <c r="I45" s="747"/>
      <c r="J45" s="713"/>
      <c r="K45" s="713"/>
      <c r="L45" s="713"/>
      <c r="M45" s="714"/>
      <c r="N45" s="714"/>
    </row>
    <row r="46" spans="1:14" ht="15.75">
      <c r="A46" s="715"/>
      <c r="B46" s="745"/>
      <c r="C46" s="745"/>
      <c r="D46" s="745"/>
      <c r="E46" s="1161"/>
      <c r="F46" s="746"/>
      <c r="G46" s="713"/>
      <c r="H46" s="717"/>
      <c r="I46" s="747"/>
      <c r="J46" s="713"/>
      <c r="K46" s="713"/>
      <c r="L46" s="713"/>
      <c r="M46" s="714"/>
      <c r="N46" s="714"/>
    </row>
    <row r="47" spans="1:14" ht="15.75">
      <c r="A47" s="715"/>
      <c r="B47" s="740"/>
      <c r="C47" s="713"/>
      <c r="D47" s="713"/>
      <c r="E47" s="1161"/>
      <c r="F47" s="740"/>
      <c r="G47" s="713"/>
      <c r="H47" s="717"/>
      <c r="I47" s="717"/>
      <c r="J47" s="513"/>
      <c r="K47" s="713"/>
      <c r="L47" s="713"/>
      <c r="M47" s="714"/>
      <c r="N47" s="714"/>
    </row>
    <row r="48" spans="1:14" ht="15.75">
      <c r="A48" s="715"/>
      <c r="B48" s="748"/>
      <c r="C48" s="748"/>
      <c r="D48" s="748"/>
      <c r="E48" s="1166"/>
      <c r="F48" s="713"/>
      <c r="G48" s="713"/>
      <c r="H48" s="1365"/>
      <c r="I48" s="1365"/>
      <c r="J48" s="1365"/>
      <c r="K48" s="713"/>
      <c r="L48" s="713"/>
      <c r="M48" s="714"/>
      <c r="N48" s="714"/>
    </row>
    <row r="49" spans="1:14" ht="15.75">
      <c r="A49" s="715"/>
      <c r="B49" s="1148" t="s">
        <v>230</v>
      </c>
      <c r="C49" s="1157"/>
      <c r="D49" s="713"/>
      <c r="E49" s="1161"/>
      <c r="F49" s="713"/>
      <c r="G49" s="713"/>
      <c r="H49" s="717"/>
      <c r="I49" s="717"/>
      <c r="J49" s="1149" t="s">
        <v>125</v>
      </c>
      <c r="K49" s="1149"/>
      <c r="L49" s="1149"/>
      <c r="M49" s="1149"/>
      <c r="N49" s="714"/>
    </row>
    <row r="50" spans="1:14" ht="15.75">
      <c r="A50" s="749" t="s">
        <v>530</v>
      </c>
      <c r="B50" s="713"/>
      <c r="C50" s="713"/>
      <c r="D50" s="713"/>
      <c r="E50" s="1161"/>
      <c r="F50" s="713"/>
      <c r="G50" s="713"/>
      <c r="H50" s="717"/>
      <c r="I50" s="717"/>
      <c r="J50" s="713"/>
      <c r="K50" s="713"/>
      <c r="L50" s="713"/>
      <c r="M50" s="714"/>
      <c r="N50" s="714"/>
    </row>
    <row r="51" spans="1:14" ht="37.5" customHeight="1">
      <c r="A51" s="1366" t="s">
        <v>531</v>
      </c>
      <c r="B51" s="1367"/>
      <c r="C51" s="1367"/>
      <c r="D51" s="1367"/>
      <c r="E51" s="1367"/>
      <c r="F51" s="1367"/>
      <c r="G51" s="1367"/>
      <c r="H51" s="1367"/>
      <c r="I51" s="1367"/>
      <c r="J51" s="1367"/>
      <c r="K51" s="1367"/>
      <c r="L51" s="713"/>
      <c r="M51" s="714"/>
      <c r="N51" s="714"/>
    </row>
    <row r="52" spans="1:14" ht="45" customHeight="1">
      <c r="A52" s="1366" t="s">
        <v>532</v>
      </c>
      <c r="B52" s="1366"/>
      <c r="C52" s="1366"/>
      <c r="D52" s="1366"/>
      <c r="E52" s="1366"/>
      <c r="F52" s="1366"/>
      <c r="G52" s="1366"/>
      <c r="H52" s="1366"/>
      <c r="I52" s="1366"/>
      <c r="J52" s="1366"/>
      <c r="K52" s="1366"/>
      <c r="L52" s="713"/>
      <c r="M52" s="714"/>
      <c r="N52" s="714"/>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horizontalDpi="0" verticalDpi="0" r:id="rId1"/>
  <headerFooter>
    <oddFooter>&amp;R&amp;"Times New Roman,Regular"&amp;11&amp;P/&amp;N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6"/>
  <sheetViews>
    <sheetView workbookViewId="0">
      <pane xSplit="3" ySplit="1" topLeftCell="D38" activePane="bottomRight" state="frozen"/>
      <selection activeCell="C33" sqref="C33"/>
      <selection pane="topRight" activeCell="C33" sqref="C33"/>
      <selection pane="bottomLeft" activeCell="C33" sqref="C33"/>
      <selection pane="bottomRight" activeCell="P49" sqref="P49"/>
    </sheetView>
  </sheetViews>
  <sheetFormatPr defaultColWidth="10.28515625" defaultRowHeight="12.75"/>
  <cols>
    <col min="1" max="1" width="4.7109375" style="750" customWidth="1"/>
    <col min="2" max="2" width="23" style="750" customWidth="1"/>
    <col min="3" max="3" width="6.7109375" style="750" customWidth="1"/>
    <col min="4" max="5" width="8.85546875" style="750" customWidth="1"/>
    <col min="6" max="6" width="9.140625" style="750" customWidth="1"/>
    <col min="7" max="7" width="14.28515625" style="750" customWidth="1"/>
    <col min="8" max="11" width="13.7109375" style="750" customWidth="1"/>
    <col min="12" max="12" width="11.85546875" style="750" customWidth="1"/>
    <col min="13" max="13" width="13.7109375" style="750" hidden="1" customWidth="1"/>
    <col min="14" max="14" width="14.5703125" style="750" customWidth="1"/>
    <col min="15" max="15" width="7.28515625" style="750" customWidth="1"/>
    <col min="16" max="16" width="7.7109375" style="750" customWidth="1"/>
    <col min="17" max="17" width="3.42578125" style="751" customWidth="1"/>
    <col min="18" max="18" width="23" style="750" customWidth="1"/>
    <col min="19" max="19" width="10.140625" style="752" customWidth="1"/>
    <col min="20" max="21" width="7.5703125" style="753" customWidth="1"/>
    <col min="22" max="22" width="12.140625" style="750" customWidth="1"/>
    <col min="23" max="23" width="7.7109375" style="750" customWidth="1"/>
    <col min="24" max="16384" width="10.28515625" style="750"/>
  </cols>
  <sheetData>
    <row r="1" spans="1:25">
      <c r="B1" s="750">
        <v>1</v>
      </c>
      <c r="C1" s="750">
        <v>2</v>
      </c>
      <c r="D1" s="750">
        <v>3</v>
      </c>
      <c r="E1" s="750">
        <v>4</v>
      </c>
      <c r="F1" s="750">
        <v>5</v>
      </c>
      <c r="G1" s="750">
        <v>6</v>
      </c>
      <c r="H1" s="750">
        <v>8</v>
      </c>
      <c r="I1" s="750">
        <v>7</v>
      </c>
      <c r="J1" s="750">
        <v>9</v>
      </c>
      <c r="K1" s="750">
        <v>10</v>
      </c>
      <c r="L1" s="750">
        <v>11</v>
      </c>
      <c r="M1" s="750">
        <v>12</v>
      </c>
      <c r="N1" s="750">
        <v>13</v>
      </c>
      <c r="O1" s="750">
        <v>14</v>
      </c>
      <c r="P1" s="750">
        <v>15</v>
      </c>
    </row>
    <row r="2" spans="1:25" ht="18" customHeight="1">
      <c r="A2" s="754" t="s">
        <v>533</v>
      </c>
      <c r="B2" s="754"/>
      <c r="C2" s="755"/>
      <c r="D2" s="756"/>
      <c r="E2" s="756"/>
      <c r="F2" s="756"/>
      <c r="G2" s="753"/>
      <c r="H2" s="753"/>
      <c r="I2" s="753"/>
      <c r="J2" s="753"/>
      <c r="K2" s="753"/>
      <c r="L2" s="757"/>
      <c r="M2" s="753"/>
      <c r="N2" s="753"/>
      <c r="O2" s="758"/>
      <c r="P2" s="753"/>
      <c r="Q2" s="759"/>
      <c r="R2" s="753"/>
      <c r="S2" s="760"/>
    </row>
    <row r="3" spans="1:25" ht="18.75" customHeight="1">
      <c r="A3" s="761" t="s">
        <v>534</v>
      </c>
      <c r="B3" s="761"/>
      <c r="C3" s="761"/>
      <c r="D3" s="761"/>
      <c r="E3" s="761"/>
      <c r="F3" s="761"/>
      <c r="G3" s="761"/>
      <c r="H3" s="761"/>
      <c r="I3" s="761"/>
      <c r="J3" s="761"/>
      <c r="K3" s="761"/>
      <c r="L3" s="761"/>
      <c r="M3" s="761"/>
      <c r="N3" s="761"/>
      <c r="O3" s="761"/>
      <c r="P3" s="761"/>
      <c r="Q3" s="759"/>
      <c r="R3" s="753"/>
      <c r="S3" s="760"/>
    </row>
    <row r="4" spans="1:25" ht="18.75" customHeight="1">
      <c r="A4" s="762"/>
      <c r="B4" s="762"/>
      <c r="C4" s="763"/>
      <c r="D4" s="762"/>
      <c r="E4" s="762"/>
      <c r="F4" s="762"/>
      <c r="G4" s="762"/>
      <c r="H4" s="762"/>
      <c r="I4" s="762"/>
      <c r="J4" s="762"/>
      <c r="K4" s="762"/>
      <c r="L4" s="761"/>
      <c r="M4" s="762"/>
      <c r="N4" s="762"/>
      <c r="O4" s="764"/>
      <c r="P4" s="762"/>
      <c r="Q4" s="759"/>
      <c r="R4" s="753"/>
      <c r="S4" s="760"/>
    </row>
    <row r="5" spans="1:25" ht="12.75" customHeight="1">
      <c r="A5" s="765"/>
      <c r="B5" s="765"/>
      <c r="C5" s="766"/>
      <c r="D5" s="765"/>
      <c r="E5" s="765"/>
      <c r="F5" s="765"/>
      <c r="G5" s="765"/>
      <c r="H5" s="765"/>
      <c r="I5" s="765"/>
      <c r="J5" s="765"/>
      <c r="K5" s="765"/>
      <c r="L5" s="765"/>
      <c r="M5" s="765"/>
      <c r="N5" s="765"/>
      <c r="O5" s="767"/>
      <c r="P5" s="765"/>
      <c r="Q5" s="759"/>
      <c r="R5" s="768"/>
      <c r="S5" s="1384"/>
      <c r="T5" s="1384"/>
      <c r="U5" s="769"/>
      <c r="V5" s="1384"/>
      <c r="W5" s="1384"/>
      <c r="X5" s="768"/>
      <c r="Y5" s="768"/>
    </row>
    <row r="6" spans="1:25" s="776" customFormat="1" ht="30.75" customHeight="1">
      <c r="A6" s="770" t="s">
        <v>37</v>
      </c>
      <c r="B6" s="770" t="s">
        <v>535</v>
      </c>
      <c r="C6" s="771" t="s">
        <v>536</v>
      </c>
      <c r="D6" s="772" t="s">
        <v>537</v>
      </c>
      <c r="E6" s="772" t="s">
        <v>538</v>
      </c>
      <c r="F6" s="772" t="s">
        <v>539</v>
      </c>
      <c r="G6" s="772" t="s">
        <v>540</v>
      </c>
      <c r="H6" s="772" t="s">
        <v>541</v>
      </c>
      <c r="I6" s="772" t="s">
        <v>542</v>
      </c>
      <c r="J6" s="772" t="s">
        <v>543</v>
      </c>
      <c r="K6" s="773" t="s">
        <v>544</v>
      </c>
      <c r="L6" s="772" t="s">
        <v>545</v>
      </c>
      <c r="M6" s="773" t="s">
        <v>546</v>
      </c>
      <c r="N6" s="772" t="s">
        <v>547</v>
      </c>
      <c r="O6" s="774" t="s">
        <v>538</v>
      </c>
      <c r="P6" s="772" t="s">
        <v>548</v>
      </c>
      <c r="Q6" s="775"/>
      <c r="R6" s="770" t="s">
        <v>535</v>
      </c>
      <c r="S6" s="772" t="s">
        <v>502</v>
      </c>
      <c r="T6" s="772" t="s">
        <v>338</v>
      </c>
      <c r="U6" s="772" t="s">
        <v>539</v>
      </c>
      <c r="V6" s="772" t="s">
        <v>549</v>
      </c>
      <c r="W6" s="770" t="s">
        <v>549</v>
      </c>
    </row>
    <row r="7" spans="1:25">
      <c r="A7" s="777">
        <f>IF(B7&lt;&gt;"",ROW()-(ROW()-1),"")</f>
        <v>1</v>
      </c>
      <c r="B7" s="520" t="s">
        <v>452</v>
      </c>
      <c r="C7" s="778">
        <v>11</v>
      </c>
      <c r="D7" s="630">
        <f>ROUND(C7*O7,0)</f>
        <v>78100</v>
      </c>
      <c r="E7" s="630"/>
      <c r="F7" s="630">
        <v>16000</v>
      </c>
      <c r="G7" s="779">
        <f>(D7+E7)*F7</f>
        <v>1249600000</v>
      </c>
      <c r="H7" s="630">
        <f>IF($D$11&lt;&gt;0,H$11/($D$11+$E$11/5)*($D7+$E7/5),0)</f>
        <v>45374327.428571433</v>
      </c>
      <c r="I7" s="630">
        <f>IF($D$11&lt;&gt;0,I$11/$D$11*$D7,0)</f>
        <v>16528039.314285716</v>
      </c>
      <c r="J7" s="630">
        <f t="shared" ref="J7:K9" si="0">IF($D$11&lt;&gt;0,J$11/$D$11*$D7,0)</f>
        <v>26076882.857142854</v>
      </c>
      <c r="K7" s="630">
        <f t="shared" si="0"/>
        <v>17957921.771428574</v>
      </c>
      <c r="L7" s="630">
        <f>V18+V19</f>
        <v>7800000</v>
      </c>
      <c r="M7" s="630"/>
      <c r="N7" s="779">
        <f>G7+I7+H7+J7+L7+K7+M7</f>
        <v>1363337171.3714287</v>
      </c>
      <c r="O7" s="630">
        <v>7100</v>
      </c>
      <c r="P7" s="630">
        <f>IF(O7&lt;&gt;"",N7/O7,"")</f>
        <v>192019.31991146883</v>
      </c>
      <c r="Q7" s="780"/>
      <c r="R7" s="781" t="s">
        <v>340</v>
      </c>
      <c r="S7" s="782">
        <v>42371</v>
      </c>
      <c r="T7" s="236">
        <v>100</v>
      </c>
      <c r="U7" s="783">
        <v>35444.444444444445</v>
      </c>
      <c r="V7" s="779">
        <f>ROUND(T7*U7,0)</f>
        <v>3544444</v>
      </c>
      <c r="W7" s="784"/>
    </row>
    <row r="8" spans="1:25">
      <c r="A8" s="777">
        <f>IF(B8&lt;&gt;"",A7+1,"")</f>
        <v>2</v>
      </c>
      <c r="B8" s="520" t="s">
        <v>454</v>
      </c>
      <c r="C8" s="778">
        <v>8</v>
      </c>
      <c r="D8" s="630">
        <f>ROUND(C8*O8,0)</f>
        <v>38400</v>
      </c>
      <c r="E8" s="630"/>
      <c r="F8" s="630">
        <v>18500</v>
      </c>
      <c r="G8" s="779">
        <f t="shared" ref="G8:G9" si="1">(D8+E8)*F8</f>
        <v>710400000</v>
      </c>
      <c r="H8" s="630">
        <f t="shared" ref="H8:H9" si="2">IF($D$11&lt;&gt;0,H$11/($D$11+$E$11/5)*($D8+$E8/5),0)</f>
        <v>22309528.466800805</v>
      </c>
      <c r="I8" s="630">
        <f t="shared" ref="I8:I9" si="3">IF($D$11&lt;&gt;0,I$11/$D$11*$D8,0)</f>
        <v>8126462.3517102618</v>
      </c>
      <c r="J8" s="630">
        <f t="shared" si="0"/>
        <v>12821412.313883299</v>
      </c>
      <c r="K8" s="630">
        <f t="shared" si="0"/>
        <v>8829503.1501006037</v>
      </c>
      <c r="L8" s="630">
        <f>V20+V21</f>
        <v>46346000</v>
      </c>
      <c r="M8" s="630"/>
      <c r="N8" s="779">
        <f t="shared" ref="N8" si="4">G8+I8+H8+J8+L8+K8+M8</f>
        <v>808832906.28249502</v>
      </c>
      <c r="O8" s="785">
        <v>4800</v>
      </c>
      <c r="P8" s="630">
        <f>IF(O8&lt;&gt;"",N8/O8,"")</f>
        <v>168506.85547551978</v>
      </c>
      <c r="Q8" s="780"/>
      <c r="R8" s="786" t="s">
        <v>346</v>
      </c>
      <c r="S8" s="782">
        <v>42371</v>
      </c>
      <c r="T8" s="236">
        <v>20</v>
      </c>
      <c r="U8" s="787">
        <v>46741.2</v>
      </c>
      <c r="V8" s="779">
        <f t="shared" ref="V8:V14" si="5">ROUND(T8*U8,0)</f>
        <v>934824</v>
      </c>
      <c r="W8" s="788"/>
    </row>
    <row r="9" spans="1:25">
      <c r="A9" s="777">
        <f>IF(B9&lt;&gt;"",A8+1,"")</f>
        <v>3</v>
      </c>
      <c r="B9" s="789" t="s">
        <v>453</v>
      </c>
      <c r="C9" s="778">
        <v>11</v>
      </c>
      <c r="D9" s="630">
        <f>ROUND(C9*O9,0)</f>
        <v>132000</v>
      </c>
      <c r="E9" s="630"/>
      <c r="F9" s="630">
        <v>14500</v>
      </c>
      <c r="G9" s="779">
        <f t="shared" si="1"/>
        <v>1914000000</v>
      </c>
      <c r="H9" s="630">
        <f t="shared" si="2"/>
        <v>76689004.104627773</v>
      </c>
      <c r="I9" s="630">
        <f t="shared" si="3"/>
        <v>27934714.334004026</v>
      </c>
      <c r="J9" s="630">
        <f t="shared" si="0"/>
        <v>44073604.828973837</v>
      </c>
      <c r="K9" s="630">
        <f t="shared" si="0"/>
        <v>30351417.078470826</v>
      </c>
      <c r="L9" s="630">
        <f>V22+V23</f>
        <v>15225000</v>
      </c>
      <c r="M9" s="630"/>
      <c r="N9" s="779">
        <f>G9+I9+H9+J9+L9+K9+M9</f>
        <v>2108273740.3460765</v>
      </c>
      <c r="O9" s="785">
        <v>12000</v>
      </c>
      <c r="P9" s="630">
        <f>IF(O9&lt;&gt;"",N9/O9,"")</f>
        <v>175689.47836217305</v>
      </c>
      <c r="Q9" s="780"/>
      <c r="R9" s="786" t="s">
        <v>349</v>
      </c>
      <c r="S9" s="782">
        <v>42371</v>
      </c>
      <c r="T9" s="236">
        <v>150</v>
      </c>
      <c r="U9" s="787">
        <v>11666.673333333334</v>
      </c>
      <c r="V9" s="779">
        <f t="shared" si="5"/>
        <v>1750001</v>
      </c>
      <c r="W9" s="788"/>
    </row>
    <row r="10" spans="1:25" s="799" customFormat="1">
      <c r="A10" s="777" t="str">
        <f>IF(B10&lt;&gt;"",#REF!+1,"")</f>
        <v/>
      </c>
      <c r="B10" s="790"/>
      <c r="C10" s="791"/>
      <c r="D10" s="630"/>
      <c r="E10" s="792"/>
      <c r="F10" s="793"/>
      <c r="G10" s="794"/>
      <c r="H10" s="630"/>
      <c r="I10" s="793"/>
      <c r="J10" s="795"/>
      <c r="K10" s="793"/>
      <c r="L10" s="796"/>
      <c r="M10" s="793"/>
      <c r="N10" s="779"/>
      <c r="O10" s="797"/>
      <c r="P10" s="630" t="str">
        <f>IF(B10&lt;&gt;"",N10/O10,"")</f>
        <v/>
      </c>
      <c r="Q10" s="798"/>
      <c r="R10" s="786" t="s">
        <v>225</v>
      </c>
      <c r="S10" s="782">
        <v>42376</v>
      </c>
      <c r="T10" s="236">
        <v>100</v>
      </c>
      <c r="U10" s="787">
        <v>21979.791919191921</v>
      </c>
      <c r="V10" s="779">
        <f t="shared" si="5"/>
        <v>2197979</v>
      </c>
      <c r="W10" s="788"/>
    </row>
    <row r="11" spans="1:25" s="754" customFormat="1">
      <c r="A11" s="800"/>
      <c r="B11" s="801" t="s">
        <v>550</v>
      </c>
      <c r="C11" s="802"/>
      <c r="D11" s="803">
        <f>SUM(D7:D10)</f>
        <v>248500</v>
      </c>
      <c r="E11" s="803"/>
      <c r="F11" s="803"/>
      <c r="G11" s="803">
        <f>SUM(G7:G10)</f>
        <v>3874000000</v>
      </c>
      <c r="H11" s="804">
        <v>144372860</v>
      </c>
      <c r="I11" s="804">
        <f>V17</f>
        <v>52589216</v>
      </c>
      <c r="J11" s="804">
        <v>82971900</v>
      </c>
      <c r="K11" s="804">
        <v>57138842</v>
      </c>
      <c r="L11" s="803">
        <f>ROUND(SUM(L7:L10),0)</f>
        <v>69371000</v>
      </c>
      <c r="M11" s="803">
        <f>ROUND(SUM(M7:M10),0)</f>
        <v>0</v>
      </c>
      <c r="N11" s="803">
        <f>ROUND(SUM(N7:N10),0)</f>
        <v>4280443818</v>
      </c>
      <c r="O11" s="803">
        <f>ROUND(SUM(O7:O10),0)</f>
        <v>23900</v>
      </c>
      <c r="P11" s="803"/>
      <c r="Q11" s="759"/>
      <c r="R11" s="786" t="s">
        <v>354</v>
      </c>
      <c r="S11" s="782"/>
      <c r="T11" s="236"/>
      <c r="U11" s="787">
        <v>3500</v>
      </c>
      <c r="V11" s="779">
        <f t="shared" si="5"/>
        <v>0</v>
      </c>
      <c r="W11" s="788"/>
    </row>
    <row r="12" spans="1:25" s="754" customFormat="1">
      <c r="A12" s="805"/>
      <c r="B12" s="806"/>
      <c r="C12" s="763"/>
      <c r="D12" s="807"/>
      <c r="E12" s="807"/>
      <c r="F12" s="807"/>
      <c r="G12" s="807"/>
      <c r="H12" s="807"/>
      <c r="I12" s="761"/>
      <c r="J12" s="807"/>
      <c r="K12" s="807"/>
      <c r="L12" s="807"/>
      <c r="M12" s="807"/>
      <c r="N12" s="807"/>
      <c r="O12" s="807"/>
      <c r="P12" s="807"/>
      <c r="Q12" s="759"/>
      <c r="R12" s="786" t="s">
        <v>357</v>
      </c>
      <c r="S12" s="782">
        <v>42376</v>
      </c>
      <c r="T12" s="236">
        <v>2700</v>
      </c>
      <c r="U12" s="787">
        <v>14899.99962962963</v>
      </c>
      <c r="V12" s="779">
        <f t="shared" si="5"/>
        <v>40229999</v>
      </c>
      <c r="W12" s="788"/>
    </row>
    <row r="13" spans="1:25" s="754" customFormat="1">
      <c r="A13" s="805"/>
      <c r="B13" s="806"/>
      <c r="C13" s="763"/>
      <c r="D13" s="807"/>
      <c r="E13" s="807"/>
      <c r="F13" s="807"/>
      <c r="G13" s="808"/>
      <c r="H13" s="807"/>
      <c r="I13" s="761"/>
      <c r="J13" s="807"/>
      <c r="K13" s="807"/>
      <c r="L13" s="807"/>
      <c r="M13" s="807"/>
      <c r="N13" s="807"/>
      <c r="O13" s="807"/>
      <c r="P13" s="807"/>
      <c r="Q13" s="759"/>
      <c r="R13" s="786" t="s">
        <v>360</v>
      </c>
      <c r="S13" s="782">
        <v>42384</v>
      </c>
      <c r="T13" s="236">
        <v>400</v>
      </c>
      <c r="U13" s="787">
        <v>8500</v>
      </c>
      <c r="V13" s="779">
        <f t="shared" si="5"/>
        <v>3400000</v>
      </c>
      <c r="W13" s="788"/>
    </row>
    <row r="14" spans="1:25" s="754" customFormat="1">
      <c r="A14" s="805"/>
      <c r="B14" s="806"/>
      <c r="C14" s="763"/>
      <c r="D14" s="807"/>
      <c r="E14" s="807"/>
      <c r="F14" s="807"/>
      <c r="G14" s="808"/>
      <c r="H14" s="807"/>
      <c r="I14" s="761"/>
      <c r="J14" s="807"/>
      <c r="K14" s="807"/>
      <c r="L14" s="807"/>
      <c r="M14" s="807"/>
      <c r="N14" s="807"/>
      <c r="O14" s="807"/>
      <c r="P14" s="807"/>
      <c r="Q14" s="759"/>
      <c r="R14" s="786" t="s">
        <v>364</v>
      </c>
      <c r="S14" s="782">
        <v>42384</v>
      </c>
      <c r="T14" s="809">
        <v>1647</v>
      </c>
      <c r="U14" s="809">
        <v>322.9927140255009</v>
      </c>
      <c r="V14" s="779">
        <f t="shared" si="5"/>
        <v>531969</v>
      </c>
      <c r="W14" s="788"/>
    </row>
    <row r="15" spans="1:25" s="754" customFormat="1">
      <c r="A15" s="805"/>
      <c r="B15" s="806"/>
      <c r="C15" s="763"/>
      <c r="D15" s="807"/>
      <c r="E15" s="807"/>
      <c r="F15" s="807"/>
      <c r="G15" s="808"/>
      <c r="H15" s="807"/>
      <c r="I15" s="761"/>
      <c r="J15" s="807"/>
      <c r="K15" s="807"/>
      <c r="L15" s="807"/>
      <c r="M15" s="807"/>
      <c r="N15" s="807"/>
      <c r="O15" s="807"/>
      <c r="P15" s="807"/>
      <c r="Q15" s="750"/>
      <c r="R15" s="810"/>
      <c r="S15" s="782"/>
      <c r="T15" s="811"/>
      <c r="U15" s="811"/>
      <c r="V15" s="811"/>
      <c r="W15" s="788"/>
    </row>
    <row r="16" spans="1:25" s="754" customFormat="1">
      <c r="A16" s="805"/>
      <c r="B16" s="806"/>
      <c r="C16" s="763"/>
      <c r="D16" s="807"/>
      <c r="E16" s="807"/>
      <c r="F16" s="807"/>
      <c r="G16" s="808"/>
      <c r="H16" s="807"/>
      <c r="I16" s="761"/>
      <c r="J16" s="807"/>
      <c r="K16" s="807"/>
      <c r="L16" s="807"/>
      <c r="M16" s="807"/>
      <c r="N16" s="807"/>
      <c r="O16" s="807"/>
      <c r="P16" s="807"/>
      <c r="Q16" s="750"/>
      <c r="R16" s="810"/>
      <c r="S16" s="782"/>
      <c r="T16" s="811"/>
      <c r="U16" s="811"/>
      <c r="V16" s="811"/>
      <c r="W16" s="788"/>
    </row>
    <row r="17" spans="1:24" s="754" customFormat="1">
      <c r="A17" s="805"/>
      <c r="B17" s="806"/>
      <c r="C17" s="763"/>
      <c r="D17" s="807"/>
      <c r="E17" s="807"/>
      <c r="F17" s="807"/>
      <c r="G17" s="807"/>
      <c r="H17" s="807"/>
      <c r="I17" s="761"/>
      <c r="J17" s="807"/>
      <c r="K17" s="807"/>
      <c r="L17" s="807"/>
      <c r="M17" s="807"/>
      <c r="N17" s="807"/>
      <c r="O17" s="807"/>
      <c r="P17" s="807"/>
      <c r="Q17" s="750"/>
      <c r="R17" s="1385"/>
      <c r="S17" s="1385"/>
      <c r="T17" s="1385"/>
      <c r="U17" s="962"/>
      <c r="V17" s="813">
        <f>SUM(V7:V16)</f>
        <v>52589216</v>
      </c>
      <c r="W17" s="813">
        <f>SUM(W7:W16)</f>
        <v>0</v>
      </c>
    </row>
    <row r="18" spans="1:24">
      <c r="G18" s="768"/>
      <c r="H18" s="768"/>
      <c r="I18" s="814"/>
      <c r="N18" s="815"/>
      <c r="O18" s="807"/>
      <c r="R18" s="809" t="s">
        <v>395</v>
      </c>
      <c r="S18" s="782">
        <v>42388</v>
      </c>
      <c r="T18" s="236">
        <v>400</v>
      </c>
      <c r="U18" s="236">
        <v>17000</v>
      </c>
      <c r="V18" s="779">
        <f t="shared" ref="V18:V23" si="6">ROUND(T18*U18,0)</f>
        <v>6800000</v>
      </c>
      <c r="W18" s="795"/>
    </row>
    <row r="19" spans="1:24">
      <c r="G19" s="768"/>
      <c r="H19" s="768"/>
      <c r="I19" s="814"/>
      <c r="N19" s="815"/>
      <c r="O19" s="807"/>
      <c r="R19" s="809" t="s">
        <v>398</v>
      </c>
      <c r="S19" s="782">
        <v>42388</v>
      </c>
      <c r="T19" s="236">
        <v>400</v>
      </c>
      <c r="U19" s="787">
        <v>2500</v>
      </c>
      <c r="V19" s="779">
        <f t="shared" si="6"/>
        <v>1000000</v>
      </c>
      <c r="W19" s="795"/>
    </row>
    <row r="20" spans="1:24">
      <c r="G20" s="768"/>
      <c r="H20" s="768"/>
      <c r="I20" s="814"/>
      <c r="N20" s="815"/>
      <c r="O20" s="807"/>
      <c r="R20" s="809" t="s">
        <v>402</v>
      </c>
      <c r="S20" s="782">
        <v>42391</v>
      </c>
      <c r="T20" s="787">
        <v>620</v>
      </c>
      <c r="U20" s="787">
        <v>18300</v>
      </c>
      <c r="V20" s="779">
        <f t="shared" si="6"/>
        <v>11346000</v>
      </c>
      <c r="W20" s="795"/>
    </row>
    <row r="21" spans="1:24">
      <c r="G21" s="768"/>
      <c r="H21" s="768"/>
      <c r="I21" s="814"/>
      <c r="N21" s="815"/>
      <c r="O21" s="807"/>
      <c r="R21" s="809" t="s">
        <v>657</v>
      </c>
      <c r="S21" s="782">
        <v>42391</v>
      </c>
      <c r="T21" s="787">
        <v>2500</v>
      </c>
      <c r="U21" s="787">
        <v>14000</v>
      </c>
      <c r="V21" s="779">
        <f t="shared" si="6"/>
        <v>35000000</v>
      </c>
      <c r="W21" s="795"/>
    </row>
    <row r="22" spans="1:24">
      <c r="G22" s="768"/>
      <c r="H22" s="768"/>
      <c r="I22" s="814"/>
      <c r="N22" s="815"/>
      <c r="O22" s="807"/>
      <c r="R22" s="786" t="s">
        <v>391</v>
      </c>
      <c r="S22" s="782">
        <v>42398</v>
      </c>
      <c r="T22" s="787">
        <v>1150</v>
      </c>
      <c r="U22" s="787">
        <v>12000</v>
      </c>
      <c r="V22" s="779">
        <f t="shared" si="6"/>
        <v>13800000</v>
      </c>
      <c r="W22" s="795"/>
    </row>
    <row r="23" spans="1:24">
      <c r="G23" s="768"/>
      <c r="H23" s="768"/>
      <c r="I23" s="814"/>
      <c r="N23" s="815"/>
      <c r="O23" s="807"/>
      <c r="R23" s="809" t="s">
        <v>393</v>
      </c>
      <c r="S23" s="782">
        <v>42398</v>
      </c>
      <c r="T23" s="787">
        <v>150</v>
      </c>
      <c r="U23" s="787">
        <v>9500</v>
      </c>
      <c r="V23" s="779">
        <f t="shared" si="6"/>
        <v>1425000</v>
      </c>
      <c r="W23" s="795"/>
    </row>
    <row r="24" spans="1:24" ht="18" customHeight="1">
      <c r="A24" s="754" t="s">
        <v>533</v>
      </c>
      <c r="B24" s="754"/>
      <c r="C24" s="755"/>
      <c r="D24" s="756"/>
      <c r="E24" s="756"/>
      <c r="F24" s="756"/>
      <c r="G24" s="753"/>
      <c r="H24" s="753"/>
      <c r="I24" s="753"/>
      <c r="J24" s="753"/>
      <c r="K24" s="753"/>
      <c r="L24" s="757"/>
      <c r="M24" s="753"/>
      <c r="N24" s="753"/>
      <c r="O24" s="758"/>
      <c r="P24" s="753"/>
      <c r="Q24" s="759"/>
      <c r="R24" s="816"/>
      <c r="S24" s="817"/>
      <c r="T24" s="818"/>
      <c r="U24" s="818"/>
      <c r="V24" s="818"/>
      <c r="W24" s="819"/>
      <c r="X24" s="768"/>
    </row>
    <row r="25" spans="1:24" ht="18.75" customHeight="1">
      <c r="A25" s="761" t="s">
        <v>551</v>
      </c>
      <c r="B25" s="761"/>
      <c r="C25" s="761"/>
      <c r="D25" s="761"/>
      <c r="E25" s="761"/>
      <c r="F25" s="761"/>
      <c r="G25" s="761"/>
      <c r="H25" s="761"/>
      <c r="I25" s="761"/>
      <c r="J25" s="761"/>
      <c r="K25" s="761"/>
      <c r="L25" s="761"/>
      <c r="M25" s="761"/>
      <c r="N25" s="761"/>
      <c r="O25" s="761"/>
      <c r="P25" s="761"/>
      <c r="Q25" s="759"/>
      <c r="R25" s="820"/>
      <c r="S25" s="821"/>
      <c r="T25" s="769"/>
      <c r="U25" s="769"/>
      <c r="V25" s="822"/>
    </row>
    <row r="26" spans="1:24" ht="18.75" customHeight="1">
      <c r="A26" s="762"/>
      <c r="B26" s="762"/>
      <c r="C26" s="763"/>
      <c r="D26" s="762"/>
      <c r="E26" s="762"/>
      <c r="F26" s="762"/>
      <c r="G26" s="762"/>
      <c r="H26" s="762"/>
      <c r="I26" s="762"/>
      <c r="J26" s="762"/>
      <c r="K26" s="762"/>
      <c r="L26" s="761"/>
      <c r="M26" s="762"/>
      <c r="N26" s="762"/>
      <c r="O26" s="764"/>
      <c r="P26" s="762"/>
      <c r="Q26" s="759"/>
      <c r="R26" s="753"/>
      <c r="S26" s="760"/>
    </row>
    <row r="27" spans="1:24" ht="12.75" customHeight="1">
      <c r="A27" s="765"/>
      <c r="B27" s="765"/>
      <c r="C27" s="766"/>
      <c r="D27" s="765"/>
      <c r="E27" s="765"/>
      <c r="F27" s="765"/>
      <c r="G27" s="765"/>
      <c r="H27" s="765"/>
      <c r="I27" s="765"/>
      <c r="J27" s="765"/>
      <c r="K27" s="765"/>
      <c r="L27" s="765"/>
      <c r="M27" s="765"/>
      <c r="N27" s="765"/>
      <c r="O27" s="767"/>
      <c r="P27" s="765"/>
      <c r="Q27" s="759"/>
      <c r="R27" s="753"/>
      <c r="S27" s="760"/>
    </row>
    <row r="28" spans="1:24" s="776" customFormat="1" ht="30.75" customHeight="1">
      <c r="A28" s="770" t="s">
        <v>37</v>
      </c>
      <c r="B28" s="770" t="s">
        <v>535</v>
      </c>
      <c r="C28" s="771" t="s">
        <v>536</v>
      </c>
      <c r="D28" s="772" t="s">
        <v>537</v>
      </c>
      <c r="E28" s="772" t="s">
        <v>538</v>
      </c>
      <c r="F28" s="772" t="s">
        <v>539</v>
      </c>
      <c r="G28" s="772" t="s">
        <v>540</v>
      </c>
      <c r="H28" s="772" t="s">
        <v>541</v>
      </c>
      <c r="I28" s="772" t="s">
        <v>542</v>
      </c>
      <c r="J28" s="772" t="s">
        <v>543</v>
      </c>
      <c r="K28" s="773" t="s">
        <v>544</v>
      </c>
      <c r="L28" s="772" t="s">
        <v>545</v>
      </c>
      <c r="M28" s="773" t="s">
        <v>546</v>
      </c>
      <c r="N28" s="772" t="s">
        <v>547</v>
      </c>
      <c r="O28" s="774" t="s">
        <v>538</v>
      </c>
      <c r="P28" s="772" t="s">
        <v>548</v>
      </c>
      <c r="Q28" s="775"/>
      <c r="R28" s="770" t="s">
        <v>535</v>
      </c>
      <c r="S28" s="772" t="s">
        <v>502</v>
      </c>
      <c r="T28" s="772" t="s">
        <v>338</v>
      </c>
      <c r="U28" s="772" t="s">
        <v>539</v>
      </c>
      <c r="V28" s="772" t="s">
        <v>549</v>
      </c>
      <c r="W28" s="770" t="s">
        <v>549</v>
      </c>
    </row>
    <row r="29" spans="1:24">
      <c r="A29" s="777">
        <f>IF(B29&lt;&gt;"",ROW()-(ROW()-1),"")</f>
        <v>1</v>
      </c>
      <c r="B29" s="789" t="s">
        <v>453</v>
      </c>
      <c r="C29" s="778">
        <v>11</v>
      </c>
      <c r="D29" s="630">
        <f>ROUND(C29*O29,0)</f>
        <v>88000</v>
      </c>
      <c r="E29" s="630"/>
      <c r="F29" s="630">
        <v>13200</v>
      </c>
      <c r="G29" s="779">
        <f>(D29+E29)*F29</f>
        <v>1161600000</v>
      </c>
      <c r="H29" s="630">
        <f>IF($D$32&lt;&gt;0,H$32/($D$32+$E$32/5)*($D29+$E29/5),0)</f>
        <v>121393280</v>
      </c>
      <c r="I29" s="630">
        <f t="shared" ref="I29:K30" si="7">IF($D$32&lt;&gt;0,I$32/$D$32*$D29,0)</f>
        <v>17952687</v>
      </c>
      <c r="J29" s="630">
        <f t="shared" si="7"/>
        <v>66582899.999999993</v>
      </c>
      <c r="K29" s="630">
        <f t="shared" si="7"/>
        <v>57138841.999999993</v>
      </c>
      <c r="L29" s="630">
        <f>V39</f>
        <v>12139811</v>
      </c>
      <c r="M29" s="630"/>
      <c r="N29" s="779">
        <f>SUM(G29:L29)</f>
        <v>1436807520</v>
      </c>
      <c r="O29" s="630">
        <v>8000</v>
      </c>
      <c r="P29" s="630">
        <f>IF(O29&lt;&gt;"",N29/O29,"")</f>
        <v>179600.94</v>
      </c>
      <c r="Q29" s="798"/>
      <c r="R29" s="781" t="s">
        <v>340</v>
      </c>
      <c r="S29" s="782">
        <v>42415</v>
      </c>
      <c r="T29" s="236">
        <v>20</v>
      </c>
      <c r="U29" s="783">
        <v>35444.444444444445</v>
      </c>
      <c r="V29" s="779">
        <f t="shared" ref="V29:V36" si="8">ROUND(T29*U29,0)</f>
        <v>708889</v>
      </c>
      <c r="W29" s="784"/>
    </row>
    <row r="30" spans="1:24">
      <c r="A30" s="777" t="str">
        <f>IF(B30&lt;&gt;"",A29+1,"")</f>
        <v/>
      </c>
      <c r="B30" s="786"/>
      <c r="C30" s="778">
        <f>IF(ISNA(VLOOKUP(B30,[4]NXT!$Q$61:$S$81,2,0)),0,VLOOKUP(B30,[4]NXT!$Q$61:$S$81,2,0))</f>
        <v>0</v>
      </c>
      <c r="D30" s="630">
        <f>ROUND(C30*O30,0)</f>
        <v>0</v>
      </c>
      <c r="E30" s="630"/>
      <c r="F30" s="630"/>
      <c r="G30" s="779">
        <f>(D30+E30)*F30</f>
        <v>0</v>
      </c>
      <c r="H30" s="630">
        <f>IF($D$32&lt;&gt;0,H$32/($D$32+$E$32/5)*($D30+$E30/5),0)</f>
        <v>0</v>
      </c>
      <c r="I30" s="630">
        <f t="shared" si="7"/>
        <v>0</v>
      </c>
      <c r="J30" s="630">
        <f t="shared" si="7"/>
        <v>0</v>
      </c>
      <c r="K30" s="630">
        <f t="shared" si="7"/>
        <v>0</v>
      </c>
      <c r="L30" s="630"/>
      <c r="M30" s="630"/>
      <c r="N30" s="779">
        <f>SUM(G30:L30)</f>
        <v>0</v>
      </c>
      <c r="O30" s="785"/>
      <c r="P30" s="630" t="str">
        <f t="shared" ref="P30" si="9">IF(O30&lt;&gt;"",N30/O30,"")</f>
        <v/>
      </c>
      <c r="Q30" s="798"/>
      <c r="R30" s="786" t="s">
        <v>346</v>
      </c>
      <c r="S30" s="782">
        <v>42415</v>
      </c>
      <c r="T30" s="236">
        <v>5</v>
      </c>
      <c r="U30" s="236">
        <v>46741.2</v>
      </c>
      <c r="V30" s="779">
        <f t="shared" si="8"/>
        <v>233706</v>
      </c>
      <c r="W30" s="788"/>
    </row>
    <row r="31" spans="1:24" s="799" customFormat="1">
      <c r="A31" s="777" t="str">
        <f>IF(B31&lt;&gt;"",#REF!+1,"")</f>
        <v/>
      </c>
      <c r="B31" s="823"/>
      <c r="C31" s="824"/>
      <c r="D31" s="825"/>
      <c r="E31" s="825"/>
      <c r="F31" s="825"/>
      <c r="G31" s="826"/>
      <c r="H31" s="827"/>
      <c r="I31" s="825"/>
      <c r="J31" s="828"/>
      <c r="K31" s="825"/>
      <c r="L31" s="829"/>
      <c r="M31" s="825"/>
      <c r="N31" s="827"/>
      <c r="O31" s="830"/>
      <c r="P31" s="825"/>
      <c r="Q31" s="798"/>
      <c r="R31" s="786" t="s">
        <v>349</v>
      </c>
      <c r="S31" s="782">
        <v>42415</v>
      </c>
      <c r="T31" s="236">
        <v>150</v>
      </c>
      <c r="U31" s="787">
        <v>11666.673333333334</v>
      </c>
      <c r="V31" s="779">
        <f t="shared" si="8"/>
        <v>1750001</v>
      </c>
      <c r="W31" s="788"/>
    </row>
    <row r="32" spans="1:24" s="754" customFormat="1">
      <c r="A32" s="800"/>
      <c r="B32" s="801" t="s">
        <v>550</v>
      </c>
      <c r="C32" s="802"/>
      <c r="D32" s="803">
        <f>SUM(D29:D31)</f>
        <v>88000</v>
      </c>
      <c r="E32" s="803">
        <f>SUM(E29:E31)</f>
        <v>0</v>
      </c>
      <c r="F32" s="803"/>
      <c r="G32" s="803">
        <f>SUM(G29:G31)</f>
        <v>1161600000</v>
      </c>
      <c r="H32" s="804">
        <v>121393280</v>
      </c>
      <c r="I32" s="804">
        <f>$V$38</f>
        <v>17952687</v>
      </c>
      <c r="J32" s="804">
        <v>66582900</v>
      </c>
      <c r="K32" s="804">
        <v>57138842</v>
      </c>
      <c r="L32" s="803">
        <f>ROUND(SUM(L29:L31),0)</f>
        <v>12139811</v>
      </c>
      <c r="M32" s="803">
        <f>ROUND(SUM(M29:M31),0)</f>
        <v>0</v>
      </c>
      <c r="N32" s="803">
        <f>ROUND(SUM(N29:N31),0)</f>
        <v>1436807520</v>
      </c>
      <c r="O32" s="803">
        <f>ROUND(SUM(O29:O31),0)</f>
        <v>8000</v>
      </c>
      <c r="P32" s="803"/>
      <c r="Q32" s="759"/>
      <c r="R32" s="786" t="s">
        <v>225</v>
      </c>
      <c r="S32" s="782">
        <v>42415</v>
      </c>
      <c r="T32" s="236">
        <v>45</v>
      </c>
      <c r="U32" s="787">
        <v>21979.791919191921</v>
      </c>
      <c r="V32" s="779">
        <f t="shared" si="8"/>
        <v>989091</v>
      </c>
      <c r="W32" s="788"/>
    </row>
    <row r="33" spans="1:23" s="754" customFormat="1">
      <c r="A33" s="805"/>
      <c r="B33" s="806"/>
      <c r="C33" s="763"/>
      <c r="D33" s="807"/>
      <c r="E33" s="807"/>
      <c r="F33" s="807"/>
      <c r="G33" s="807"/>
      <c r="H33" s="807"/>
      <c r="I33" s="761"/>
      <c r="J33" s="807"/>
      <c r="K33" s="807"/>
      <c r="L33" s="807"/>
      <c r="M33" s="807"/>
      <c r="N33" s="807"/>
      <c r="O33" s="807"/>
      <c r="P33" s="807"/>
      <c r="Q33" s="759"/>
      <c r="R33" s="786" t="s">
        <v>354</v>
      </c>
      <c r="S33" s="782"/>
      <c r="T33" s="236"/>
      <c r="U33" s="236">
        <v>3500</v>
      </c>
      <c r="V33" s="779">
        <f t="shared" si="8"/>
        <v>0</v>
      </c>
      <c r="W33" s="831"/>
    </row>
    <row r="34" spans="1:23" s="754" customFormat="1">
      <c r="A34" s="805"/>
      <c r="B34" s="806"/>
      <c r="C34" s="763"/>
      <c r="D34" s="807"/>
      <c r="E34" s="807"/>
      <c r="F34" s="807"/>
      <c r="G34" s="807"/>
      <c r="H34" s="807"/>
      <c r="I34" s="761"/>
      <c r="J34" s="807"/>
      <c r="K34" s="807"/>
      <c r="L34" s="807"/>
      <c r="M34" s="807"/>
      <c r="N34" s="807"/>
      <c r="O34" s="807"/>
      <c r="P34" s="807"/>
      <c r="Q34" s="759"/>
      <c r="R34" s="786" t="s">
        <v>357</v>
      </c>
      <c r="S34" s="782">
        <v>42415</v>
      </c>
      <c r="T34" s="236">
        <v>540</v>
      </c>
      <c r="U34" s="236">
        <v>14900</v>
      </c>
      <c r="V34" s="779">
        <f t="shared" si="8"/>
        <v>8046000</v>
      </c>
      <c r="W34" s="831"/>
    </row>
    <row r="35" spans="1:23" s="754" customFormat="1">
      <c r="A35" s="805"/>
      <c r="B35" s="806"/>
      <c r="C35" s="763"/>
      <c r="D35" s="807"/>
      <c r="E35" s="807"/>
      <c r="F35" s="807"/>
      <c r="G35" s="807"/>
      <c r="H35" s="807"/>
      <c r="I35" s="761"/>
      <c r="J35" s="807"/>
      <c r="K35" s="807"/>
      <c r="L35" s="807"/>
      <c r="M35" s="807"/>
      <c r="N35" s="807"/>
      <c r="O35" s="807"/>
      <c r="P35" s="807"/>
      <c r="Q35" s="759"/>
      <c r="R35" s="786" t="s">
        <v>360</v>
      </c>
      <c r="S35" s="782">
        <v>42425</v>
      </c>
      <c r="T35" s="236">
        <v>150</v>
      </c>
      <c r="U35" s="236">
        <v>8500</v>
      </c>
      <c r="V35" s="779">
        <f t="shared" si="8"/>
        <v>1275000</v>
      </c>
      <c r="W35" s="831"/>
    </row>
    <row r="36" spans="1:23" s="754" customFormat="1">
      <c r="A36" s="805"/>
      <c r="B36" s="806"/>
      <c r="C36" s="763"/>
      <c r="D36" s="807"/>
      <c r="E36" s="807"/>
      <c r="F36" s="807"/>
      <c r="G36" s="807"/>
      <c r="H36" s="807"/>
      <c r="I36" s="761"/>
      <c r="J36" s="807"/>
      <c r="K36" s="807"/>
      <c r="L36" s="807"/>
      <c r="M36" s="807"/>
      <c r="N36" s="807"/>
      <c r="O36" s="807"/>
      <c r="P36" s="807"/>
      <c r="Q36" s="759"/>
      <c r="R36" s="786" t="s">
        <v>364</v>
      </c>
      <c r="S36" s="782">
        <v>42425</v>
      </c>
      <c r="T36" s="236">
        <v>150</v>
      </c>
      <c r="U36" s="809">
        <v>33000</v>
      </c>
      <c r="V36" s="779">
        <f t="shared" si="8"/>
        <v>4950000</v>
      </c>
      <c r="W36" s="831"/>
    </row>
    <row r="37" spans="1:23">
      <c r="R37" s="810"/>
      <c r="S37" s="782"/>
      <c r="T37" s="811"/>
      <c r="U37" s="236"/>
      <c r="V37" s="811"/>
      <c r="W37" s="831"/>
    </row>
    <row r="38" spans="1:23">
      <c r="R38" s="832"/>
      <c r="S38" s="833"/>
      <c r="T38" s="834"/>
      <c r="U38" s="962"/>
      <c r="V38" s="813">
        <f>SUM(V29:V37)</f>
        <v>17952687</v>
      </c>
      <c r="W38" s="813">
        <f>SUM(W29:W37)</f>
        <v>0</v>
      </c>
    </row>
    <row r="39" spans="1:23">
      <c r="R39" s="835" t="s">
        <v>382</v>
      </c>
      <c r="S39" s="782">
        <v>42401</v>
      </c>
      <c r="T39" s="236">
        <v>2100</v>
      </c>
      <c r="U39" s="236">
        <v>5780.8622078968574</v>
      </c>
      <c r="V39" s="779">
        <f t="shared" ref="V39:V41" si="10">ROUND(T39*U39,0)</f>
        <v>12139811</v>
      </c>
      <c r="W39" s="784"/>
    </row>
    <row r="40" spans="1:23">
      <c r="R40" s="835"/>
      <c r="S40" s="782"/>
      <c r="T40" s="236"/>
      <c r="U40" s="236"/>
      <c r="V40" s="779">
        <f t="shared" si="10"/>
        <v>0</v>
      </c>
      <c r="W40" s="784"/>
    </row>
    <row r="41" spans="1:23">
      <c r="R41" s="835"/>
      <c r="S41" s="782"/>
      <c r="T41" s="236"/>
      <c r="U41" s="236"/>
      <c r="V41" s="779">
        <f t="shared" si="10"/>
        <v>0</v>
      </c>
      <c r="W41" s="784"/>
    </row>
    <row r="42" spans="1:23" ht="18" customHeight="1">
      <c r="A42" s="754" t="s">
        <v>533</v>
      </c>
      <c r="B42" s="754"/>
      <c r="C42" s="755"/>
      <c r="D42" s="756"/>
      <c r="E42" s="756"/>
      <c r="F42" s="756"/>
      <c r="G42" s="753"/>
      <c r="H42" s="753"/>
      <c r="I42" s="753"/>
      <c r="J42" s="753"/>
      <c r="K42" s="753"/>
      <c r="L42" s="757"/>
      <c r="M42" s="753"/>
      <c r="N42" s="753"/>
      <c r="O42" s="758"/>
      <c r="P42" s="753"/>
      <c r="Q42" s="759"/>
      <c r="R42" s="759"/>
      <c r="S42" s="836"/>
      <c r="T42" s="769"/>
      <c r="U42" s="769"/>
      <c r="V42" s="769"/>
      <c r="W42" s="837"/>
    </row>
    <row r="43" spans="1:23" ht="18.75" customHeight="1">
      <c r="A43" s="761" t="s">
        <v>552</v>
      </c>
      <c r="B43" s="761"/>
      <c r="C43" s="761"/>
      <c r="D43" s="761"/>
      <c r="E43" s="761"/>
      <c r="F43" s="761"/>
      <c r="G43" s="761"/>
      <c r="H43" s="761"/>
      <c r="I43" s="761"/>
      <c r="J43" s="761"/>
      <c r="K43" s="761"/>
      <c r="L43" s="761"/>
      <c r="M43" s="761"/>
      <c r="N43" s="761"/>
      <c r="O43" s="761"/>
      <c r="P43" s="761"/>
      <c r="Q43" s="759"/>
      <c r="R43" s="820"/>
      <c r="S43" s="821"/>
      <c r="T43" s="769"/>
      <c r="U43" s="769"/>
      <c r="V43" s="822"/>
      <c r="W43" s="837"/>
    </row>
    <row r="44" spans="1:23" ht="18.75" customHeight="1">
      <c r="A44" s="762"/>
      <c r="B44" s="762"/>
      <c r="C44" s="763"/>
      <c r="D44" s="762"/>
      <c r="E44" s="762"/>
      <c r="F44" s="762"/>
      <c r="G44" s="762"/>
      <c r="H44" s="762"/>
      <c r="I44" s="762"/>
      <c r="J44" s="762"/>
      <c r="K44" s="762"/>
      <c r="L44" s="761"/>
      <c r="M44" s="762"/>
      <c r="N44" s="762"/>
      <c r="O44" s="764"/>
      <c r="P44" s="762"/>
      <c r="Q44" s="759"/>
      <c r="R44" s="820"/>
      <c r="S44" s="821"/>
      <c r="T44" s="769"/>
      <c r="U44" s="769"/>
      <c r="V44" s="822"/>
      <c r="W44" s="837"/>
    </row>
    <row r="45" spans="1:23" ht="12.75" customHeight="1">
      <c r="A45" s="765"/>
      <c r="B45" s="765"/>
      <c r="C45" s="766"/>
      <c r="D45" s="765"/>
      <c r="E45" s="765"/>
      <c r="F45" s="765"/>
      <c r="G45" s="765"/>
      <c r="H45" s="765"/>
      <c r="I45" s="765"/>
      <c r="J45" s="765"/>
      <c r="K45" s="765"/>
      <c r="L45" s="765"/>
      <c r="M45" s="765"/>
      <c r="N45" s="765"/>
      <c r="O45" s="767"/>
      <c r="P45" s="765"/>
      <c r="Q45" s="759"/>
      <c r="R45" s="820"/>
      <c r="S45" s="821"/>
      <c r="T45" s="769"/>
      <c r="U45" s="769"/>
      <c r="V45" s="822"/>
      <c r="W45" s="768"/>
    </row>
    <row r="46" spans="1:23" s="776" customFormat="1" ht="30.75" customHeight="1">
      <c r="A46" s="770" t="s">
        <v>37</v>
      </c>
      <c r="B46" s="770" t="s">
        <v>535</v>
      </c>
      <c r="C46" s="771" t="s">
        <v>536</v>
      </c>
      <c r="D46" s="772" t="s">
        <v>537</v>
      </c>
      <c r="E46" s="772" t="s">
        <v>538</v>
      </c>
      <c r="F46" s="772" t="s">
        <v>539</v>
      </c>
      <c r="G46" s="772" t="s">
        <v>540</v>
      </c>
      <c r="H46" s="772" t="s">
        <v>541</v>
      </c>
      <c r="I46" s="772" t="s">
        <v>542</v>
      </c>
      <c r="J46" s="772" t="s">
        <v>543</v>
      </c>
      <c r="K46" s="773" t="s">
        <v>544</v>
      </c>
      <c r="L46" s="772" t="s">
        <v>545</v>
      </c>
      <c r="M46" s="773" t="s">
        <v>546</v>
      </c>
      <c r="N46" s="772" t="s">
        <v>547</v>
      </c>
      <c r="O46" s="774" t="s">
        <v>538</v>
      </c>
      <c r="P46" s="772" t="s">
        <v>548</v>
      </c>
      <c r="Q46" s="775"/>
      <c r="R46" s="770" t="s">
        <v>535</v>
      </c>
      <c r="S46" s="772" t="s">
        <v>502</v>
      </c>
      <c r="T46" s="772" t="s">
        <v>338</v>
      </c>
      <c r="U46" s="772" t="s">
        <v>539</v>
      </c>
      <c r="V46" s="772" t="s">
        <v>549</v>
      </c>
      <c r="W46" s="770" t="s">
        <v>549</v>
      </c>
    </row>
    <row r="47" spans="1:23">
      <c r="A47" s="777">
        <f>IF(B47&lt;&gt;"",ROW()-(ROW()-1),"")</f>
        <v>1</v>
      </c>
      <c r="B47" s="789" t="s">
        <v>453</v>
      </c>
      <c r="C47" s="778">
        <v>0</v>
      </c>
      <c r="D47" s="630">
        <f t="shared" ref="D47:D49" si="11">ROUND(C47*O47,0)</f>
        <v>0</v>
      </c>
      <c r="E47" s="630">
        <v>8000</v>
      </c>
      <c r="F47" s="630">
        <f>P29</f>
        <v>179600.94</v>
      </c>
      <c r="G47" s="779">
        <f>(D47+E47)*F47</f>
        <v>1436807520</v>
      </c>
      <c r="H47" s="630">
        <f>IF($D$52&lt;&gt;0,H$52/($D$52+$E$52/5)*($D47+$E47/5),0)</f>
        <v>2497109.0581778265</v>
      </c>
      <c r="I47" s="630">
        <f t="shared" ref="I47:K49" si="12">IF($D$52&lt;&gt;0,I$52/$D$52*$D47,0)</f>
        <v>0</v>
      </c>
      <c r="J47" s="630">
        <f t="shared" si="12"/>
        <v>0</v>
      </c>
      <c r="K47" s="630">
        <f t="shared" si="12"/>
        <v>0</v>
      </c>
      <c r="L47" s="630">
        <f>SUM($V$57:$V$58)/SUM($O$47:$O$48)*O47</f>
        <v>10075200</v>
      </c>
      <c r="M47" s="630"/>
      <c r="N47" s="779">
        <f>SUM(G47:L47)</f>
        <v>1449379829.0581777</v>
      </c>
      <c r="O47" s="785">
        <v>8000</v>
      </c>
      <c r="P47" s="630">
        <f>IF(O47&lt;&gt;"",N47/O47,"")</f>
        <v>181172.47863227222</v>
      </c>
      <c r="Q47" s="798"/>
      <c r="R47" s="781" t="s">
        <v>340</v>
      </c>
      <c r="S47" s="782">
        <v>42431</v>
      </c>
      <c r="T47" s="236">
        <v>50</v>
      </c>
      <c r="U47" s="783">
        <v>35444.444444444445</v>
      </c>
      <c r="V47" s="779">
        <f t="shared" ref="V47:V54" si="13">ROUND(T47*U47,0)</f>
        <v>1772222</v>
      </c>
      <c r="W47" s="788"/>
    </row>
    <row r="48" spans="1:23">
      <c r="A48" s="777">
        <f t="shared" ref="A48:A49" si="14">IF(B48&lt;&gt;"",A47+1,"")</f>
        <v>2</v>
      </c>
      <c r="B48" s="838" t="s">
        <v>944</v>
      </c>
      <c r="C48" s="778">
        <v>11</v>
      </c>
      <c r="D48" s="630">
        <f t="shared" si="11"/>
        <v>49500</v>
      </c>
      <c r="E48" s="630"/>
      <c r="F48" s="630">
        <v>13200</v>
      </c>
      <c r="G48" s="779">
        <f t="shared" ref="G48:G49" si="15">(D48+E48)*F48</f>
        <v>653400000</v>
      </c>
      <c r="H48" s="630">
        <f>IF($D$52&lt;&gt;0,H$52/($D$52+$E$52/5)*($D48+$E48/5),0)</f>
        <v>77254311.487376511</v>
      </c>
      <c r="I48" s="630">
        <f t="shared" si="12"/>
        <v>26767452.972067039</v>
      </c>
      <c r="J48" s="630">
        <f t="shared" si="12"/>
        <v>34356926.815642461</v>
      </c>
      <c r="K48" s="630">
        <f t="shared" si="12"/>
        <v>31601929.374301676</v>
      </c>
      <c r="L48" s="630">
        <f>SUM($V$57:$V$58)/SUM($O$47:$O$48)*O48</f>
        <v>5667300</v>
      </c>
      <c r="M48" s="630"/>
      <c r="N48" s="779">
        <f>SUM(G48:L48)+1</f>
        <v>829047921.6493876</v>
      </c>
      <c r="O48" s="785">
        <v>4500</v>
      </c>
      <c r="P48" s="630">
        <f t="shared" ref="P48:P49" si="16">IF(O48&lt;&gt;"",N48/O48,"")</f>
        <v>184232.87147764169</v>
      </c>
      <c r="Q48" s="798"/>
      <c r="R48" s="786" t="s">
        <v>346</v>
      </c>
      <c r="S48" s="782">
        <v>42431</v>
      </c>
      <c r="T48" s="236">
        <v>20</v>
      </c>
      <c r="U48" s="236">
        <v>46741.2</v>
      </c>
      <c r="V48" s="779">
        <f t="shared" si="13"/>
        <v>934824</v>
      </c>
      <c r="W48" s="788"/>
    </row>
    <row r="49" spans="1:23">
      <c r="A49" s="777">
        <f t="shared" si="14"/>
        <v>3</v>
      </c>
      <c r="B49" s="838" t="s">
        <v>454</v>
      </c>
      <c r="C49" s="778">
        <v>8</v>
      </c>
      <c r="D49" s="630">
        <f t="shared" si="11"/>
        <v>40000</v>
      </c>
      <c r="E49" s="630"/>
      <c r="F49" s="630">
        <v>18500</v>
      </c>
      <c r="G49" s="779">
        <f t="shared" si="15"/>
        <v>740000000</v>
      </c>
      <c r="H49" s="630">
        <f>IF($D$52&lt;&gt;0,H$52/($D$52+$E$52/5)*($D49+$E49/5),0)</f>
        <v>62427726.454445668</v>
      </c>
      <c r="I49" s="630">
        <f t="shared" si="12"/>
        <v>21630265.027932961</v>
      </c>
      <c r="J49" s="630">
        <f t="shared" si="12"/>
        <v>27763173.184357543</v>
      </c>
      <c r="K49" s="630">
        <f t="shared" si="12"/>
        <v>25536912.625698324</v>
      </c>
      <c r="L49" s="630">
        <f>V59</f>
        <v>12059070</v>
      </c>
      <c r="M49" s="630"/>
      <c r="N49" s="779">
        <f t="shared" ref="N49:N50" si="17">SUM(G49:L49)</f>
        <v>889417147.29243457</v>
      </c>
      <c r="O49" s="785">
        <v>5000</v>
      </c>
      <c r="P49" s="630">
        <f t="shared" si="16"/>
        <v>177883.42945848691</v>
      </c>
      <c r="Q49" s="798"/>
      <c r="R49" s="786" t="s">
        <v>349</v>
      </c>
      <c r="S49" s="782">
        <v>42431</v>
      </c>
      <c r="T49" s="809">
        <v>150</v>
      </c>
      <c r="U49" s="787">
        <v>13571.429</v>
      </c>
      <c r="V49" s="779">
        <f t="shared" si="13"/>
        <v>2035714</v>
      </c>
      <c r="W49" s="788"/>
    </row>
    <row r="50" spans="1:23">
      <c r="A50" s="777" t="str">
        <f>IF(B50&lt;&gt;"",#REF!+1,"")</f>
        <v/>
      </c>
      <c r="B50" s="838"/>
      <c r="C50" s="778"/>
      <c r="D50" s="630"/>
      <c r="E50" s="630"/>
      <c r="F50" s="630"/>
      <c r="G50" s="779"/>
      <c r="H50" s="630"/>
      <c r="I50" s="630"/>
      <c r="J50" s="630"/>
      <c r="K50" s="630"/>
      <c r="L50" s="630"/>
      <c r="M50" s="630"/>
      <c r="N50" s="779">
        <f t="shared" si="17"/>
        <v>0</v>
      </c>
      <c r="O50" s="785"/>
      <c r="P50" s="630"/>
      <c r="Q50" s="798"/>
      <c r="R50" s="786" t="s">
        <v>225</v>
      </c>
      <c r="S50" s="782">
        <v>42431</v>
      </c>
      <c r="T50" s="809">
        <v>200</v>
      </c>
      <c r="U50" s="787">
        <v>21979.791919191921</v>
      </c>
      <c r="V50" s="779">
        <f t="shared" si="13"/>
        <v>4395958</v>
      </c>
      <c r="W50" s="788"/>
    </row>
    <row r="51" spans="1:23" s="799" customFormat="1">
      <c r="A51" s="777" t="str">
        <f>IF(B51&lt;&gt;"",#REF!+1,"")</f>
        <v/>
      </c>
      <c r="B51" s="838"/>
      <c r="C51" s="778"/>
      <c r="D51" s="630"/>
      <c r="E51" s="630"/>
      <c r="F51" s="630"/>
      <c r="G51" s="779"/>
      <c r="H51" s="630"/>
      <c r="I51" s="630"/>
      <c r="J51" s="630"/>
      <c r="K51" s="630"/>
      <c r="L51" s="630"/>
      <c r="M51" s="630"/>
      <c r="N51" s="779"/>
      <c r="O51" s="785"/>
      <c r="P51" s="630"/>
      <c r="Q51" s="798"/>
      <c r="R51" s="786" t="s">
        <v>354</v>
      </c>
      <c r="S51" s="782"/>
      <c r="T51" s="809"/>
      <c r="U51" s="236">
        <v>3500</v>
      </c>
      <c r="V51" s="779">
        <f t="shared" si="13"/>
        <v>0</v>
      </c>
      <c r="W51" s="788"/>
    </row>
    <row r="52" spans="1:23" s="754" customFormat="1">
      <c r="A52" s="800"/>
      <c r="B52" s="801" t="s">
        <v>550</v>
      </c>
      <c r="C52" s="802"/>
      <c r="D52" s="803">
        <f>SUM(D47:D51)</f>
        <v>89500</v>
      </c>
      <c r="E52" s="803">
        <f>SUM(E47:E51)</f>
        <v>8000</v>
      </c>
      <c r="F52" s="803"/>
      <c r="G52" s="803">
        <f>SUM(G47:G51)</f>
        <v>2830207520</v>
      </c>
      <c r="H52" s="804">
        <v>142179147</v>
      </c>
      <c r="I52" s="804">
        <f>V56</f>
        <v>48397718</v>
      </c>
      <c r="J52" s="804">
        <v>62120100</v>
      </c>
      <c r="K52" s="804">
        <v>57138842</v>
      </c>
      <c r="L52" s="803">
        <f>ROUND(SUM(L47:L51),0)</f>
        <v>27801570</v>
      </c>
      <c r="M52" s="803">
        <f>ROUND(SUM(M47:M51),0)</f>
        <v>0</v>
      </c>
      <c r="N52" s="803">
        <f>ROUND(SUM(N47:N51),0)</f>
        <v>3167844898</v>
      </c>
      <c r="O52" s="803">
        <f>ROUND(SUM(O47:O51),0)</f>
        <v>17500</v>
      </c>
      <c r="P52" s="803"/>
      <c r="Q52" s="759"/>
      <c r="R52" s="786" t="s">
        <v>357</v>
      </c>
      <c r="S52" s="782">
        <v>42434</v>
      </c>
      <c r="T52" s="809">
        <v>2160</v>
      </c>
      <c r="U52" s="236">
        <v>14900</v>
      </c>
      <c r="V52" s="779">
        <f t="shared" si="13"/>
        <v>32184000</v>
      </c>
      <c r="W52" s="788"/>
    </row>
    <row r="53" spans="1:23" s="754" customFormat="1">
      <c r="A53" s="805"/>
      <c r="B53" s="806"/>
      <c r="C53" s="763"/>
      <c r="D53" s="807"/>
      <c r="E53" s="807"/>
      <c r="F53" s="807"/>
      <c r="G53" s="807"/>
      <c r="H53" s="761"/>
      <c r="I53" s="761"/>
      <c r="J53" s="761"/>
      <c r="K53" s="761"/>
      <c r="L53" s="761"/>
      <c r="M53" s="807"/>
      <c r="N53" s="807"/>
      <c r="O53" s="807"/>
      <c r="P53" s="807"/>
      <c r="Q53" s="759"/>
      <c r="R53" s="786" t="s">
        <v>360</v>
      </c>
      <c r="S53" s="782">
        <v>42434</v>
      </c>
      <c r="T53" s="809">
        <v>250</v>
      </c>
      <c r="U53" s="236">
        <v>8500</v>
      </c>
      <c r="V53" s="779">
        <f t="shared" si="13"/>
        <v>2125000</v>
      </c>
      <c r="W53" s="788"/>
    </row>
    <row r="54" spans="1:23" s="754" customFormat="1">
      <c r="A54" s="805"/>
      <c r="B54" s="806"/>
      <c r="C54" s="763"/>
      <c r="D54" s="807"/>
      <c r="E54" s="807"/>
      <c r="F54" s="807"/>
      <c r="G54" s="807"/>
      <c r="H54" s="761"/>
      <c r="I54" s="761"/>
      <c r="J54" s="761"/>
      <c r="K54" s="761"/>
      <c r="L54" s="761"/>
      <c r="M54" s="807"/>
      <c r="N54" s="807"/>
      <c r="O54" s="807"/>
      <c r="P54" s="807"/>
      <c r="Q54" s="759"/>
      <c r="R54" s="786" t="s">
        <v>364</v>
      </c>
      <c r="S54" s="782">
        <v>42434</v>
      </c>
      <c r="T54" s="809">
        <v>150</v>
      </c>
      <c r="U54" s="809">
        <v>33000</v>
      </c>
      <c r="V54" s="779">
        <f t="shared" si="13"/>
        <v>4950000</v>
      </c>
      <c r="W54" s="788"/>
    </row>
    <row r="55" spans="1:23" s="754" customFormat="1">
      <c r="A55" s="805"/>
      <c r="B55" s="806"/>
      <c r="C55" s="763"/>
      <c r="D55" s="807"/>
      <c r="E55" s="807"/>
      <c r="F55" s="807"/>
      <c r="G55" s="807"/>
      <c r="H55" s="761"/>
      <c r="I55" s="761"/>
      <c r="J55" s="761"/>
      <c r="K55" s="761"/>
      <c r="L55" s="761"/>
      <c r="M55" s="807"/>
      <c r="N55" s="807"/>
      <c r="O55" s="807"/>
      <c r="P55" s="807"/>
      <c r="Q55" s="759"/>
      <c r="R55" s="840"/>
      <c r="S55" s="782"/>
      <c r="T55" s="841"/>
      <c r="U55" s="841"/>
      <c r="V55" s="841"/>
      <c r="W55" s="842"/>
    </row>
    <row r="56" spans="1:23" s="754" customFormat="1">
      <c r="A56" s="805"/>
      <c r="B56" s="806"/>
      <c r="C56" s="763"/>
      <c r="D56" s="807"/>
      <c r="E56" s="807"/>
      <c r="F56" s="807"/>
      <c r="G56" s="807"/>
      <c r="H56" s="807"/>
      <c r="I56" s="761"/>
      <c r="J56" s="807"/>
      <c r="K56" s="807"/>
      <c r="L56" s="807"/>
      <c r="M56" s="807"/>
      <c r="N56" s="807"/>
      <c r="O56" s="807"/>
      <c r="P56" s="807"/>
      <c r="Q56" s="759"/>
      <c r="R56" s="832"/>
      <c r="S56" s="833"/>
      <c r="T56" s="834"/>
      <c r="U56" s="812"/>
      <c r="V56" s="813">
        <f>SUM(V47:V55)</f>
        <v>48397718</v>
      </c>
      <c r="W56" s="813">
        <f>SUM(W47:W52)</f>
        <v>0</v>
      </c>
    </row>
    <row r="57" spans="1:23" s="754" customFormat="1">
      <c r="A57" s="805"/>
      <c r="B57" s="806"/>
      <c r="C57" s="763"/>
      <c r="D57" s="807"/>
      <c r="E57" s="807"/>
      <c r="F57" s="807"/>
      <c r="G57" s="807"/>
      <c r="H57" s="807"/>
      <c r="I57" s="761"/>
      <c r="J57" s="807"/>
      <c r="K57" s="807"/>
      <c r="L57" s="807"/>
      <c r="M57" s="807"/>
      <c r="N57" s="807"/>
      <c r="O57" s="807"/>
      <c r="P57" s="807"/>
      <c r="Q57" s="759"/>
      <c r="R57" s="835" t="s">
        <v>391</v>
      </c>
      <c r="S57" s="782">
        <v>42439</v>
      </c>
      <c r="T57" s="236">
        <v>1015</v>
      </c>
      <c r="U57" s="236">
        <v>12000</v>
      </c>
      <c r="V57" s="779">
        <f t="shared" ref="V57:V62" si="18">ROUND(T57*U57,0)</f>
        <v>12180000</v>
      </c>
      <c r="W57" s="779"/>
    </row>
    <row r="58" spans="1:23" s="754" customFormat="1">
      <c r="A58" s="805"/>
      <c r="B58" s="806"/>
      <c r="C58" s="763"/>
      <c r="D58" s="807"/>
      <c r="E58" s="807"/>
      <c r="F58" s="807"/>
      <c r="G58" s="808"/>
      <c r="H58" s="807"/>
      <c r="I58" s="761"/>
      <c r="J58" s="807"/>
      <c r="K58" s="807"/>
      <c r="L58" s="807"/>
      <c r="M58" s="807"/>
      <c r="N58" s="843"/>
      <c r="O58" s="807"/>
      <c r="P58" s="807"/>
      <c r="Q58" s="759"/>
      <c r="R58" s="835" t="s">
        <v>393</v>
      </c>
      <c r="S58" s="782">
        <v>42439</v>
      </c>
      <c r="T58" s="787">
        <v>375</v>
      </c>
      <c r="U58" s="787">
        <v>9500</v>
      </c>
      <c r="V58" s="779">
        <f t="shared" si="18"/>
        <v>3562500</v>
      </c>
      <c r="W58" s="795"/>
    </row>
    <row r="59" spans="1:23" s="754" customFormat="1">
      <c r="A59" s="805"/>
      <c r="B59" s="806"/>
      <c r="C59" s="763"/>
      <c r="D59" s="807"/>
      <c r="E59" s="807"/>
      <c r="F59" s="807"/>
      <c r="G59" s="808"/>
      <c r="H59" s="807"/>
      <c r="I59" s="761"/>
      <c r="J59" s="807"/>
      <c r="K59" s="807"/>
      <c r="L59" s="807"/>
      <c r="M59" s="807"/>
      <c r="N59" s="843"/>
      <c r="O59" s="807"/>
      <c r="P59" s="807"/>
      <c r="Q59" s="759"/>
      <c r="R59" s="835" t="s">
        <v>385</v>
      </c>
      <c r="S59" s="782">
        <v>42459</v>
      </c>
      <c r="T59" s="236">
        <v>2700</v>
      </c>
      <c r="U59" s="236">
        <v>4466.322284402353</v>
      </c>
      <c r="V59" s="779">
        <f t="shared" si="18"/>
        <v>12059070</v>
      </c>
      <c r="W59" s="795"/>
    </row>
    <row r="60" spans="1:23" s="754" customFormat="1">
      <c r="A60" s="805"/>
      <c r="B60" s="806"/>
      <c r="C60" s="763"/>
      <c r="D60" s="807"/>
      <c r="E60" s="807"/>
      <c r="F60" s="807"/>
      <c r="G60" s="807"/>
      <c r="H60" s="807"/>
      <c r="I60" s="761"/>
      <c r="J60" s="807"/>
      <c r="K60" s="807"/>
      <c r="L60" s="807"/>
      <c r="M60" s="807"/>
      <c r="N60" s="807"/>
      <c r="O60" s="807"/>
      <c r="P60" s="807"/>
      <c r="Q60" s="759"/>
      <c r="R60" s="835"/>
      <c r="S60" s="782"/>
      <c r="T60" s="787"/>
      <c r="U60" s="787"/>
      <c r="V60" s="779">
        <f t="shared" si="18"/>
        <v>0</v>
      </c>
      <c r="W60" s="795"/>
    </row>
    <row r="61" spans="1:23">
      <c r="R61" s="835"/>
      <c r="S61" s="782"/>
      <c r="T61" s="787"/>
      <c r="U61" s="787"/>
      <c r="V61" s="779">
        <f t="shared" si="18"/>
        <v>0</v>
      </c>
      <c r="W61" s="795"/>
    </row>
    <row r="62" spans="1:23">
      <c r="R62" s="835"/>
      <c r="S62" s="782"/>
      <c r="T62" s="236"/>
      <c r="U62" s="236"/>
      <c r="V62" s="779">
        <f t="shared" si="18"/>
        <v>0</v>
      </c>
      <c r="W62" s="795"/>
    </row>
    <row r="63" spans="1:23" ht="18" customHeight="1">
      <c r="A63" s="754" t="s">
        <v>533</v>
      </c>
      <c r="B63" s="754"/>
      <c r="C63" s="755"/>
      <c r="D63" s="756"/>
      <c r="E63" s="756"/>
      <c r="F63" s="756"/>
      <c r="G63" s="753"/>
      <c r="H63" s="753"/>
      <c r="I63" s="753"/>
      <c r="J63" s="753"/>
      <c r="K63" s="753"/>
      <c r="L63" s="757"/>
      <c r="M63" s="753"/>
      <c r="N63" s="753"/>
      <c r="O63" s="758"/>
      <c r="P63" s="753"/>
      <c r="Q63" s="759"/>
      <c r="R63" s="753"/>
      <c r="S63" s="760"/>
    </row>
    <row r="64" spans="1:23" ht="18.75" customHeight="1">
      <c r="A64" s="761" t="s">
        <v>553</v>
      </c>
      <c r="B64" s="761"/>
      <c r="C64" s="761"/>
      <c r="D64" s="761"/>
      <c r="E64" s="761"/>
      <c r="F64" s="761"/>
      <c r="G64" s="761"/>
      <c r="H64" s="761"/>
      <c r="I64" s="761"/>
      <c r="J64" s="761"/>
      <c r="K64" s="761"/>
      <c r="L64" s="761"/>
      <c r="M64" s="761"/>
      <c r="N64" s="761"/>
      <c r="O64" s="761"/>
      <c r="P64" s="761"/>
      <c r="Q64" s="759"/>
      <c r="R64" s="753"/>
      <c r="S64" s="760"/>
    </row>
    <row r="65" spans="1:23" ht="18.75" customHeight="1">
      <c r="A65" s="762"/>
      <c r="B65" s="762"/>
      <c r="C65" s="763"/>
      <c r="D65" s="762"/>
      <c r="E65" s="762"/>
      <c r="F65" s="762"/>
      <c r="G65" s="762"/>
      <c r="H65" s="762"/>
      <c r="I65" s="762"/>
      <c r="J65" s="762"/>
      <c r="K65" s="762"/>
      <c r="L65" s="761"/>
      <c r="M65" s="762"/>
      <c r="N65" s="762"/>
      <c r="O65" s="764"/>
      <c r="P65" s="762"/>
      <c r="Q65" s="759"/>
      <c r="R65" s="753"/>
      <c r="S65" s="760"/>
    </row>
    <row r="66" spans="1:23" ht="12.75" customHeight="1">
      <c r="A66" s="765"/>
      <c r="B66" s="765"/>
      <c r="C66" s="766"/>
      <c r="D66" s="765"/>
      <c r="E66" s="765"/>
      <c r="F66" s="765"/>
      <c r="G66" s="765"/>
      <c r="H66" s="765"/>
      <c r="I66" s="765"/>
      <c r="J66" s="765"/>
      <c r="K66" s="765"/>
      <c r="L66" s="765"/>
      <c r="M66" s="765"/>
      <c r="N66" s="765"/>
      <c r="O66" s="767"/>
      <c r="P66" s="765"/>
      <c r="Q66" s="759"/>
      <c r="R66" s="753"/>
      <c r="S66" s="760"/>
    </row>
    <row r="67" spans="1:23" s="776" customFormat="1" ht="30.75" customHeight="1">
      <c r="A67" s="770" t="s">
        <v>37</v>
      </c>
      <c r="B67" s="770" t="s">
        <v>535</v>
      </c>
      <c r="C67" s="771" t="s">
        <v>536</v>
      </c>
      <c r="D67" s="772" t="s">
        <v>537</v>
      </c>
      <c r="E67" s="772" t="s">
        <v>538</v>
      </c>
      <c r="F67" s="772" t="s">
        <v>539</v>
      </c>
      <c r="G67" s="772" t="s">
        <v>540</v>
      </c>
      <c r="H67" s="772" t="s">
        <v>541</v>
      </c>
      <c r="I67" s="772" t="s">
        <v>542</v>
      </c>
      <c r="J67" s="772" t="s">
        <v>543</v>
      </c>
      <c r="K67" s="773" t="s">
        <v>544</v>
      </c>
      <c r="L67" s="772" t="s">
        <v>545</v>
      </c>
      <c r="M67" s="773" t="s">
        <v>546</v>
      </c>
      <c r="N67" s="772" t="s">
        <v>547</v>
      </c>
      <c r="O67" s="774" t="s">
        <v>538</v>
      </c>
      <c r="P67" s="772" t="s">
        <v>548</v>
      </c>
      <c r="Q67" s="775"/>
      <c r="R67" s="770" t="s">
        <v>535</v>
      </c>
      <c r="S67" s="772" t="s">
        <v>502</v>
      </c>
      <c r="T67" s="772" t="s">
        <v>338</v>
      </c>
      <c r="U67" s="772" t="s">
        <v>539</v>
      </c>
      <c r="V67" s="772" t="s">
        <v>549</v>
      </c>
      <c r="W67" s="770" t="s">
        <v>549</v>
      </c>
    </row>
    <row r="68" spans="1:23">
      <c r="A68" s="844">
        <f>IF(B68&lt;&gt;"",ROW()-(ROW()-1),"")</f>
        <v>1</v>
      </c>
      <c r="B68" s="838" t="s">
        <v>454</v>
      </c>
      <c r="C68" s="778"/>
      <c r="D68" s="630">
        <f t="shared" ref="D68:D69" si="19">ROUND(C68*O68,0)</f>
        <v>0</v>
      </c>
      <c r="E68" s="630">
        <f>O49</f>
        <v>5000</v>
      </c>
      <c r="F68" s="630">
        <f>P49</f>
        <v>177883.42945848691</v>
      </c>
      <c r="G68" s="779">
        <f t="shared" ref="G68" si="20">(D68+E68)*F68</f>
        <v>889417147.29243457</v>
      </c>
      <c r="H68" s="630">
        <f>IF($D$72&lt;&gt;0,H$72/($D$72+$E$72/5)*($D68+$E68/5),0)</f>
        <v>0</v>
      </c>
      <c r="I68" s="630">
        <f t="shared" ref="I68:K69" si="21">IF($D$72&lt;&gt;0,I$72/$D$72*$D68,0)</f>
        <v>0</v>
      </c>
      <c r="J68" s="630">
        <f t="shared" si="21"/>
        <v>0</v>
      </c>
      <c r="K68" s="630">
        <f t="shared" si="21"/>
        <v>0</v>
      </c>
      <c r="L68" s="630">
        <f>($V$78+$V$79)/$O$72*O68</f>
        <v>48579545.454545453</v>
      </c>
      <c r="M68" s="630"/>
      <c r="N68" s="779">
        <f t="shared" ref="N68" si="22">ROUND(SUM(G68:L68),0)</f>
        <v>937996693</v>
      </c>
      <c r="O68" s="785">
        <v>5000</v>
      </c>
      <c r="P68" s="630">
        <f t="shared" ref="P68" si="23">IF(O68&lt;&gt;"",N68/O68,"")</f>
        <v>187599.33859999999</v>
      </c>
      <c r="Q68" s="798"/>
      <c r="R68" s="781" t="s">
        <v>340</v>
      </c>
      <c r="S68" s="845"/>
      <c r="T68" s="236"/>
      <c r="U68" s="783"/>
      <c r="V68" s="779">
        <f t="shared" ref="V68:V75" si="24">ROUND(T68*U68,0)</f>
        <v>0</v>
      </c>
      <c r="W68" s="779"/>
    </row>
    <row r="69" spans="1:23">
      <c r="A69" s="846">
        <f>IF(B69&lt;&gt;"",A68+1,"")</f>
        <v>2</v>
      </c>
      <c r="B69" s="838" t="s">
        <v>1377</v>
      </c>
      <c r="C69" s="778">
        <v>8</v>
      </c>
      <c r="D69" s="630">
        <f t="shared" si="19"/>
        <v>30400</v>
      </c>
      <c r="E69" s="630"/>
      <c r="F69" s="630">
        <v>18500</v>
      </c>
      <c r="G69" s="779">
        <f t="shared" ref="G69" si="25">(D69+E69)*F69</f>
        <v>562400000</v>
      </c>
      <c r="H69" s="630">
        <f>IF($D$72&lt;&gt;0,H$72/($D$72+$E$72/5)*($D69+$E69/5),0)</f>
        <v>0</v>
      </c>
      <c r="I69" s="630">
        <f t="shared" si="21"/>
        <v>0</v>
      </c>
      <c r="J69" s="630">
        <f t="shared" si="21"/>
        <v>0</v>
      </c>
      <c r="K69" s="630">
        <f t="shared" si="21"/>
        <v>57138842</v>
      </c>
      <c r="L69" s="630">
        <f>($V$78+$V$79)/$O$72*O69</f>
        <v>36920454.545454539</v>
      </c>
      <c r="M69" s="630"/>
      <c r="N69" s="779">
        <f t="shared" ref="N69" si="26">ROUND(SUM(G69:L69),0)</f>
        <v>656459297</v>
      </c>
      <c r="O69" s="785">
        <v>3800</v>
      </c>
      <c r="P69" s="630">
        <f t="shared" ref="P69" si="27">IF(O69&lt;&gt;"",N69/O69,"")</f>
        <v>172752.44657894736</v>
      </c>
      <c r="Q69" s="798"/>
      <c r="R69" s="786" t="s">
        <v>346</v>
      </c>
      <c r="S69" s="845"/>
      <c r="T69" s="236"/>
      <c r="U69" s="787"/>
      <c r="V69" s="779">
        <f t="shared" si="24"/>
        <v>0</v>
      </c>
      <c r="W69" s="795"/>
    </row>
    <row r="70" spans="1:23">
      <c r="A70" s="846" t="str">
        <f t="shared" ref="A70:A71" si="28">IF(B70&lt;&gt;"",A69+1,"")</f>
        <v/>
      </c>
      <c r="B70" s="838"/>
      <c r="C70" s="778"/>
      <c r="D70" s="630">
        <f t="shared" ref="D70:D71" si="29">ROUND(C70*O70,0)</f>
        <v>0</v>
      </c>
      <c r="E70" s="630"/>
      <c r="F70" s="630"/>
      <c r="G70" s="779">
        <f t="shared" ref="G70:G71" si="30">(D70+E70)*F70</f>
        <v>0</v>
      </c>
      <c r="H70" s="630">
        <f t="shared" ref="H70:H71" si="31">IF($D$72&lt;&gt;0,H$72/($D$72+$E$72/5)*($D70+$E70/5),0)</f>
        <v>0</v>
      </c>
      <c r="I70" s="630">
        <f t="shared" ref="I70:K71" si="32">IF($D$72&lt;&gt;0,I$72/$D$72*$D70,0)</f>
        <v>0</v>
      </c>
      <c r="J70" s="630">
        <f t="shared" si="32"/>
        <v>0</v>
      </c>
      <c r="K70" s="630">
        <f t="shared" si="32"/>
        <v>0</v>
      </c>
      <c r="L70" s="630">
        <f>($V$78+$V$79)/$O$72*O70</f>
        <v>0</v>
      </c>
      <c r="M70" s="630"/>
      <c r="N70" s="779">
        <f t="shared" ref="N70:N71" si="33">ROUND(SUM(G70:L70),0)</f>
        <v>0</v>
      </c>
      <c r="O70" s="785"/>
      <c r="P70" s="630" t="str">
        <f t="shared" ref="P70:P71" si="34">IF(O70&lt;&gt;"",N70/O70,"")</f>
        <v/>
      </c>
      <c r="Q70" s="798"/>
      <c r="R70" s="786" t="s">
        <v>349</v>
      </c>
      <c r="S70" s="845"/>
      <c r="T70" s="236"/>
      <c r="U70" s="787"/>
      <c r="V70" s="779"/>
      <c r="W70" s="795"/>
    </row>
    <row r="71" spans="1:23">
      <c r="A71" s="846" t="str">
        <f t="shared" si="28"/>
        <v/>
      </c>
      <c r="B71" s="838"/>
      <c r="C71" s="778"/>
      <c r="D71" s="630">
        <f t="shared" si="29"/>
        <v>0</v>
      </c>
      <c r="E71" s="630"/>
      <c r="F71" s="630"/>
      <c r="G71" s="779">
        <f t="shared" si="30"/>
        <v>0</v>
      </c>
      <c r="H71" s="630">
        <f t="shared" si="31"/>
        <v>0</v>
      </c>
      <c r="I71" s="630">
        <f t="shared" si="32"/>
        <v>0</v>
      </c>
      <c r="J71" s="630">
        <f t="shared" si="32"/>
        <v>0</v>
      </c>
      <c r="K71" s="630">
        <f t="shared" si="32"/>
        <v>0</v>
      </c>
      <c r="L71" s="630">
        <f>($V$78+$V$79)/$O$72*O71</f>
        <v>0</v>
      </c>
      <c r="M71" s="630"/>
      <c r="N71" s="779">
        <f t="shared" si="33"/>
        <v>0</v>
      </c>
      <c r="O71" s="785"/>
      <c r="P71" s="630" t="str">
        <f t="shared" si="34"/>
        <v/>
      </c>
      <c r="Q71" s="798"/>
      <c r="R71" s="786" t="s">
        <v>225</v>
      </c>
      <c r="S71" s="845"/>
      <c r="T71" s="236"/>
      <c r="U71" s="787"/>
      <c r="V71" s="779">
        <f t="shared" si="24"/>
        <v>0</v>
      </c>
      <c r="W71" s="795"/>
    </row>
    <row r="72" spans="1:23" s="799" customFormat="1">
      <c r="A72" s="800"/>
      <c r="B72" s="801" t="s">
        <v>550</v>
      </c>
      <c r="C72" s="802"/>
      <c r="D72" s="803">
        <f>SUM(D68:D69)</f>
        <v>30400</v>
      </c>
      <c r="E72" s="803">
        <f>SUM(E68:E69)</f>
        <v>5000</v>
      </c>
      <c r="F72" s="803"/>
      <c r="G72" s="803">
        <f>SUM(G68:G69)</f>
        <v>1451817147.2924347</v>
      </c>
      <c r="H72" s="804"/>
      <c r="I72" s="804">
        <f>V77</f>
        <v>0</v>
      </c>
      <c r="J72" s="804"/>
      <c r="K72" s="804">
        <v>57138842</v>
      </c>
      <c r="L72" s="803">
        <f>ROUND(SUM(L68:L71),0)</f>
        <v>85500000</v>
      </c>
      <c r="M72" s="803">
        <f>ROUND(SUM(M68:M71),0)</f>
        <v>0</v>
      </c>
      <c r="N72" s="803">
        <f>ROUND(SUM(N68:N71),0)</f>
        <v>1594455990</v>
      </c>
      <c r="O72" s="803">
        <f>ROUND(SUM(O68:O71),0)</f>
        <v>8800</v>
      </c>
      <c r="P72" s="803"/>
      <c r="Q72" s="798"/>
      <c r="R72" s="786" t="s">
        <v>354</v>
      </c>
      <c r="S72" s="845"/>
      <c r="T72" s="809"/>
      <c r="U72" s="787"/>
      <c r="V72" s="779">
        <f t="shared" si="24"/>
        <v>0</v>
      </c>
      <c r="W72" s="795"/>
    </row>
    <row r="73" spans="1:23" s="754" customFormat="1">
      <c r="A73" s="750"/>
      <c r="B73" s="750"/>
      <c r="C73" s="750"/>
      <c r="D73" s="750"/>
      <c r="E73" s="750"/>
      <c r="F73" s="750"/>
      <c r="G73" s="750"/>
      <c r="H73" s="750"/>
      <c r="I73" s="750"/>
      <c r="J73" s="750"/>
      <c r="K73" s="750"/>
      <c r="L73" s="750"/>
      <c r="M73" s="750"/>
      <c r="N73" s="750"/>
      <c r="O73" s="750"/>
      <c r="P73" s="750"/>
      <c r="Q73" s="798"/>
      <c r="R73" s="786" t="s">
        <v>357</v>
      </c>
      <c r="S73" s="845"/>
      <c r="T73" s="236"/>
      <c r="U73" s="787"/>
      <c r="V73" s="779">
        <f t="shared" si="24"/>
        <v>0</v>
      </c>
      <c r="W73" s="795"/>
    </row>
    <row r="74" spans="1:23">
      <c r="Q74" s="798"/>
      <c r="R74" s="786" t="s">
        <v>360</v>
      </c>
      <c r="S74" s="845"/>
      <c r="T74" s="236"/>
      <c r="U74" s="787"/>
      <c r="V74" s="779">
        <f t="shared" si="24"/>
        <v>0</v>
      </c>
      <c r="W74" s="795"/>
    </row>
    <row r="75" spans="1:23">
      <c r="Q75" s="798"/>
      <c r="R75" s="786" t="s">
        <v>364</v>
      </c>
      <c r="S75" s="845"/>
      <c r="T75" s="236"/>
      <c r="U75" s="787"/>
      <c r="V75" s="779">
        <f t="shared" si="24"/>
        <v>0</v>
      </c>
      <c r="W75" s="795"/>
    </row>
    <row r="76" spans="1:23">
      <c r="Q76" s="798"/>
      <c r="R76" s="849"/>
      <c r="S76" s="782"/>
      <c r="T76" s="236"/>
      <c r="U76" s="236"/>
      <c r="V76" s="795"/>
      <c r="W76" s="795"/>
    </row>
    <row r="77" spans="1:23">
      <c r="R77" s="832"/>
      <c r="S77" s="833"/>
      <c r="T77" s="834"/>
      <c r="U77" s="850"/>
      <c r="V77" s="813">
        <f>SUM(V68:V76)</f>
        <v>0</v>
      </c>
      <c r="W77" s="813">
        <f>SUM(W68:W76)</f>
        <v>0</v>
      </c>
    </row>
    <row r="78" spans="1:23">
      <c r="R78" s="809" t="s">
        <v>402</v>
      </c>
      <c r="S78" s="845"/>
      <c r="T78" s="236">
        <v>1250</v>
      </c>
      <c r="U78" s="236">
        <v>18000</v>
      </c>
      <c r="V78" s="779">
        <f>ROUND(T78*U78,0)</f>
        <v>22500000</v>
      </c>
      <c r="W78" s="779"/>
    </row>
    <row r="79" spans="1:23">
      <c r="R79" s="809" t="s">
        <v>657</v>
      </c>
      <c r="S79" s="845"/>
      <c r="T79" s="236">
        <v>4500</v>
      </c>
      <c r="U79" s="236">
        <v>14000</v>
      </c>
      <c r="V79" s="779">
        <f>ROUND(T79*U79,0)</f>
        <v>63000000</v>
      </c>
      <c r="W79" s="795"/>
    </row>
    <row r="80" spans="1:23">
      <c r="R80" s="809"/>
      <c r="S80" s="782"/>
      <c r="T80" s="787"/>
      <c r="U80" s="787"/>
      <c r="V80" s="779">
        <f>ROUND(T80*U80,0)</f>
        <v>0</v>
      </c>
      <c r="W80" s="795"/>
    </row>
    <row r="81" spans="1:23">
      <c r="R81" s="809"/>
      <c r="S81" s="782"/>
      <c r="T81" s="787"/>
      <c r="U81" s="787"/>
      <c r="V81" s="779">
        <f>ROUND(T81*U81,0)</f>
        <v>0</v>
      </c>
      <c r="W81" s="795"/>
    </row>
    <row r="82" spans="1:23" ht="18" customHeight="1">
      <c r="A82" s="754" t="s">
        <v>533</v>
      </c>
      <c r="B82" s="754"/>
      <c r="C82" s="755"/>
      <c r="D82" s="756"/>
      <c r="E82" s="756"/>
      <c r="F82" s="756"/>
      <c r="G82" s="753"/>
      <c r="H82" s="753"/>
      <c r="I82" s="753"/>
      <c r="J82" s="753"/>
      <c r="K82" s="753"/>
      <c r="L82" s="757"/>
      <c r="M82" s="753"/>
      <c r="N82" s="753"/>
      <c r="O82" s="758"/>
      <c r="P82" s="753"/>
      <c r="Q82" s="759"/>
      <c r="R82" s="753"/>
      <c r="S82" s="760"/>
    </row>
    <row r="83" spans="1:23" ht="18.75" customHeight="1">
      <c r="A83" s="761" t="s">
        <v>554</v>
      </c>
      <c r="B83" s="761"/>
      <c r="C83" s="761"/>
      <c r="D83" s="761"/>
      <c r="E83" s="761"/>
      <c r="F83" s="761"/>
      <c r="G83" s="761"/>
      <c r="H83" s="761"/>
      <c r="I83" s="761"/>
      <c r="J83" s="761"/>
      <c r="K83" s="761"/>
      <c r="L83" s="761"/>
      <c r="M83" s="761"/>
      <c r="N83" s="761"/>
      <c r="O83" s="761"/>
      <c r="P83" s="761"/>
      <c r="Q83" s="759"/>
      <c r="R83" s="753"/>
      <c r="S83" s="760"/>
    </row>
    <row r="84" spans="1:23" ht="18.75" customHeight="1">
      <c r="A84" s="762"/>
      <c r="B84" s="762"/>
      <c r="C84" s="763"/>
      <c r="D84" s="762"/>
      <c r="E84" s="762"/>
      <c r="F84" s="762"/>
      <c r="G84" s="762"/>
      <c r="H84" s="762"/>
      <c r="I84" s="762"/>
      <c r="J84" s="762"/>
      <c r="K84" s="762"/>
      <c r="L84" s="761"/>
      <c r="M84" s="762"/>
      <c r="N84" s="762"/>
      <c r="O84" s="764"/>
      <c r="P84" s="762"/>
      <c r="Q84" s="759"/>
      <c r="R84" s="753"/>
      <c r="S84" s="760"/>
    </row>
    <row r="85" spans="1:23" ht="12.75" customHeight="1">
      <c r="A85" s="765"/>
      <c r="B85" s="765"/>
      <c r="C85" s="766"/>
      <c r="D85" s="765"/>
      <c r="E85" s="765"/>
      <c r="F85" s="765"/>
      <c r="G85" s="765"/>
      <c r="H85" s="765"/>
      <c r="I85" s="765"/>
      <c r="J85" s="765"/>
      <c r="K85" s="765"/>
      <c r="L85" s="765"/>
      <c r="M85" s="765"/>
      <c r="N85" s="765"/>
      <c r="O85" s="767"/>
      <c r="P85" s="765"/>
      <c r="Q85" s="759"/>
      <c r="R85" s="753"/>
      <c r="S85" s="760"/>
    </row>
    <row r="86" spans="1:23" s="776" customFormat="1" ht="30.75" customHeight="1">
      <c r="A86" s="770" t="s">
        <v>37</v>
      </c>
      <c r="B86" s="770" t="s">
        <v>535</v>
      </c>
      <c r="C86" s="771" t="s">
        <v>536</v>
      </c>
      <c r="D86" s="772" t="s">
        <v>537</v>
      </c>
      <c r="E86" s="772" t="s">
        <v>538</v>
      </c>
      <c r="F86" s="772" t="s">
        <v>539</v>
      </c>
      <c r="G86" s="772" t="s">
        <v>540</v>
      </c>
      <c r="H86" s="772" t="s">
        <v>541</v>
      </c>
      <c r="I86" s="772" t="s">
        <v>542</v>
      </c>
      <c r="J86" s="772" t="s">
        <v>543</v>
      </c>
      <c r="K86" s="773" t="s">
        <v>544</v>
      </c>
      <c r="L86" s="772" t="s">
        <v>545</v>
      </c>
      <c r="M86" s="773" t="s">
        <v>546</v>
      </c>
      <c r="N86" s="772" t="s">
        <v>547</v>
      </c>
      <c r="O86" s="774" t="s">
        <v>538</v>
      </c>
      <c r="P86" s="772" t="s">
        <v>548</v>
      </c>
      <c r="Q86" s="775"/>
      <c r="R86" s="770" t="s">
        <v>535</v>
      </c>
      <c r="S86" s="772" t="s">
        <v>502</v>
      </c>
      <c r="T86" s="772" t="s">
        <v>338</v>
      </c>
      <c r="U86" s="772" t="s">
        <v>539</v>
      </c>
      <c r="V86" s="772" t="s">
        <v>549</v>
      </c>
      <c r="W86" s="770" t="s">
        <v>549</v>
      </c>
    </row>
    <row r="87" spans="1:23">
      <c r="A87" s="777" t="str">
        <f>IF(B87&lt;&gt;"",ROW()-(ROW()-1),"")</f>
        <v/>
      </c>
      <c r="B87" s="520"/>
      <c r="C87" s="778">
        <f>IF(ISNA(VLOOKUP(B87,NXT!$Q$61:$S$81,2,0)),0,VLOOKUP(B87,NXT!$Q$61:$S$81,2,0))</f>
        <v>0</v>
      </c>
      <c r="D87" s="630">
        <f>ROUND(C87*O87,0)</f>
        <v>0</v>
      </c>
      <c r="E87" s="630"/>
      <c r="F87" s="630"/>
      <c r="G87" s="779">
        <f>(D87+E87)*F87</f>
        <v>0</v>
      </c>
      <c r="H87" s="630">
        <f>IF($D$90&lt;&gt;0,H$90/($D$90+$E$90/5)*($D87+$E87/5),0)</f>
        <v>0</v>
      </c>
      <c r="I87" s="630">
        <f t="shared" ref="I87:K88" si="35">IF($D$90&lt;&gt;0,I$90/$D$90*$D87,0)</f>
        <v>0</v>
      </c>
      <c r="J87" s="630">
        <f t="shared" si="35"/>
        <v>0</v>
      </c>
      <c r="K87" s="630">
        <f t="shared" si="35"/>
        <v>0</v>
      </c>
      <c r="L87" s="779"/>
      <c r="M87" s="630" t="e">
        <f>34560000/($O$68+#REF!+#REF!)*O87</f>
        <v>#REF!</v>
      </c>
      <c r="N87" s="779">
        <f>ROUND(SUM(G87:L87),0)</f>
        <v>0</v>
      </c>
      <c r="O87" s="630"/>
      <c r="P87" s="630">
        <f>IF(N87&lt;&gt;0,N87/O87,0)</f>
        <v>0</v>
      </c>
      <c r="Q87" s="798"/>
      <c r="R87" s="786"/>
      <c r="S87" s="845"/>
      <c r="T87" s="236"/>
      <c r="U87" s="787"/>
      <c r="V87" s="779">
        <f t="shared" ref="V87:V93" si="36">ROUND(T87*U87,0)</f>
        <v>0</v>
      </c>
      <c r="W87" s="795"/>
    </row>
    <row r="88" spans="1:23">
      <c r="A88" s="777" t="str">
        <f>IF(B88&lt;&gt;"",A87+1,"")</f>
        <v/>
      </c>
      <c r="B88" s="515"/>
      <c r="C88" s="778">
        <f>IF(ISNA(VLOOKUP(B88,NXT!$Q$61:$S$81,2,0)),0,VLOOKUP(B88,NXT!$Q$61:$S$81,2,0))</f>
        <v>0</v>
      </c>
      <c r="D88" s="630">
        <f>ROUND(C88*O88,0)</f>
        <v>0</v>
      </c>
      <c r="E88" s="630"/>
      <c r="F88" s="630"/>
      <c r="G88" s="779">
        <f>(D88+E88)*F88</f>
        <v>0</v>
      </c>
      <c r="H88" s="630">
        <f>IF($D$90&lt;&gt;0,H$90/($D$90+$E$90/5)*($D88+$E88/5),0)</f>
        <v>0</v>
      </c>
      <c r="I88" s="630">
        <f t="shared" si="35"/>
        <v>0</v>
      </c>
      <c r="J88" s="630">
        <f t="shared" si="35"/>
        <v>0</v>
      </c>
      <c r="K88" s="630">
        <f t="shared" si="35"/>
        <v>0</v>
      </c>
      <c r="L88" s="630"/>
      <c r="M88" s="630"/>
      <c r="N88" s="779">
        <f>ROUND(SUM(G88:L88),0)</f>
        <v>0</v>
      </c>
      <c r="O88" s="785"/>
      <c r="P88" s="630">
        <f>IF(N88&lt;&gt;0,N88/O88,0)</f>
        <v>0</v>
      </c>
      <c r="Q88" s="798"/>
      <c r="R88" s="786"/>
      <c r="S88" s="845"/>
      <c r="T88" s="236"/>
      <c r="U88" s="787"/>
      <c r="V88" s="779">
        <f t="shared" si="36"/>
        <v>0</v>
      </c>
      <c r="W88" s="795"/>
    </row>
    <row r="89" spans="1:23" s="799" customFormat="1">
      <c r="A89" s="777" t="str">
        <f>IF(B89&lt;&gt;"",#REF!+1,"")</f>
        <v/>
      </c>
      <c r="B89" s="790"/>
      <c r="C89" s="791"/>
      <c r="D89" s="793"/>
      <c r="E89" s="793"/>
      <c r="F89" s="793"/>
      <c r="G89" s="794"/>
      <c r="H89" s="839"/>
      <c r="I89" s="793"/>
      <c r="J89" s="795"/>
      <c r="K89" s="793"/>
      <c r="L89" s="796"/>
      <c r="M89" s="793"/>
      <c r="N89" s="827"/>
      <c r="O89" s="797"/>
      <c r="P89" s="793"/>
      <c r="Q89" s="798"/>
      <c r="R89" s="786"/>
      <c r="S89" s="845"/>
      <c r="T89" s="236"/>
      <c r="U89" s="787"/>
      <c r="V89" s="779">
        <f t="shared" si="36"/>
        <v>0</v>
      </c>
      <c r="W89" s="795"/>
    </row>
    <row r="90" spans="1:23" s="754" customFormat="1">
      <c r="A90" s="800"/>
      <c r="B90" s="801" t="s">
        <v>550</v>
      </c>
      <c r="C90" s="802"/>
      <c r="D90" s="803">
        <f>SUM(D87:D88)</f>
        <v>0</v>
      </c>
      <c r="E90" s="803">
        <f>SUM(E87:E88)</f>
        <v>0</v>
      </c>
      <c r="F90" s="803"/>
      <c r="G90" s="803">
        <f>SUM(G87:G88)</f>
        <v>0</v>
      </c>
      <c r="H90" s="804"/>
      <c r="I90" s="804">
        <f>V95</f>
        <v>0</v>
      </c>
      <c r="J90" s="804"/>
      <c r="K90" s="804">
        <v>57138842</v>
      </c>
      <c r="L90" s="803">
        <f>ROUND(SUM(L87:L89),0)</f>
        <v>0</v>
      </c>
      <c r="M90" s="803" t="e">
        <f>ROUND(SUM(M87:M89),0)</f>
        <v>#REF!</v>
      </c>
      <c r="N90" s="803">
        <f>ROUND(SUM(N87:N89),0)</f>
        <v>0</v>
      </c>
      <c r="O90" s="803">
        <f>ROUND(SUM(O87:O89),0)</f>
        <v>0</v>
      </c>
      <c r="P90" s="803"/>
      <c r="Q90" s="798"/>
      <c r="R90" s="786"/>
      <c r="S90" s="845"/>
      <c r="T90" s="809"/>
      <c r="U90" s="809"/>
      <c r="V90" s="779">
        <f t="shared" si="36"/>
        <v>0</v>
      </c>
      <c r="W90" s="795"/>
    </row>
    <row r="91" spans="1:23">
      <c r="Q91" s="798"/>
      <c r="R91" s="786"/>
      <c r="S91" s="847"/>
      <c r="T91" s="809"/>
      <c r="U91" s="787"/>
      <c r="V91" s="779">
        <f t="shared" si="36"/>
        <v>0</v>
      </c>
      <c r="W91" s="795"/>
    </row>
    <row r="92" spans="1:23">
      <c r="Q92" s="798"/>
      <c r="R92" s="848"/>
      <c r="S92" s="847"/>
      <c r="T92" s="809"/>
      <c r="U92" s="787"/>
      <c r="V92" s="779">
        <f t="shared" si="36"/>
        <v>0</v>
      </c>
      <c r="W92" s="795"/>
    </row>
    <row r="93" spans="1:23">
      <c r="Q93" s="798"/>
      <c r="R93" s="786"/>
      <c r="S93" s="847"/>
      <c r="T93" s="809"/>
      <c r="U93" s="787"/>
      <c r="V93" s="779">
        <f t="shared" si="36"/>
        <v>0</v>
      </c>
      <c r="W93" s="795"/>
    </row>
    <row r="94" spans="1:23">
      <c r="Q94" s="798"/>
      <c r="R94" s="849"/>
      <c r="S94" s="782"/>
      <c r="T94" s="236"/>
      <c r="U94" s="236"/>
      <c r="V94" s="795"/>
      <c r="W94" s="795"/>
    </row>
    <row r="95" spans="1:23">
      <c r="R95" s="832"/>
      <c r="S95" s="833"/>
      <c r="T95" s="834"/>
      <c r="U95" s="850"/>
      <c r="V95" s="803">
        <f>SUM(V87:V94)</f>
        <v>0</v>
      </c>
      <c r="W95" s="813">
        <f>SUM(W87:W94)</f>
        <v>0</v>
      </c>
    </row>
    <row r="96" spans="1:23">
      <c r="R96" s="835"/>
      <c r="S96" s="845"/>
      <c r="T96" s="236"/>
      <c r="U96" s="236"/>
      <c r="V96" s="779">
        <f>ROUND(T96*U96,0)</f>
        <v>0</v>
      </c>
      <c r="W96" s="779"/>
    </row>
    <row r="97" spans="1:23">
      <c r="R97" s="851"/>
      <c r="S97" s="845"/>
      <c r="T97" s="787"/>
      <c r="U97" s="787"/>
      <c r="V97" s="779">
        <f>ROUND(T97*U97,0)</f>
        <v>0</v>
      </c>
      <c r="W97" s="795"/>
    </row>
    <row r="98" spans="1:23">
      <c r="R98" s="786"/>
      <c r="S98" s="845"/>
      <c r="T98" s="787"/>
      <c r="U98" s="787"/>
      <c r="V98" s="779">
        <f>ROUND(T98*U98,0)</f>
        <v>0</v>
      </c>
      <c r="W98" s="795"/>
    </row>
    <row r="99" spans="1:23">
      <c r="R99" s="809"/>
      <c r="S99" s="782"/>
      <c r="T99" s="787"/>
      <c r="U99" s="787"/>
      <c r="V99" s="779">
        <f>ROUND(T99*U99,0)</f>
        <v>0</v>
      </c>
      <c r="W99" s="795"/>
    </row>
    <row r="100" spans="1:23">
      <c r="R100" s="809"/>
      <c r="S100" s="782"/>
      <c r="T100" s="787"/>
      <c r="U100" s="787"/>
      <c r="V100" s="779">
        <f>ROUND(T100*U100,0)</f>
        <v>0</v>
      </c>
      <c r="W100" s="795"/>
    </row>
    <row r="101" spans="1:23">
      <c r="R101" s="759"/>
      <c r="S101" s="836"/>
      <c r="T101" s="769"/>
      <c r="U101" s="769"/>
      <c r="V101" s="807"/>
      <c r="W101" s="837"/>
    </row>
    <row r="102" spans="1:23" ht="18" customHeight="1">
      <c r="A102" s="754" t="s">
        <v>533</v>
      </c>
      <c r="B102" s="754"/>
      <c r="C102" s="755"/>
      <c r="D102" s="756"/>
      <c r="E102" s="756"/>
      <c r="F102" s="756"/>
      <c r="G102" s="753"/>
      <c r="H102" s="753"/>
      <c r="I102" s="753"/>
      <c r="J102" s="753"/>
      <c r="K102" s="753"/>
      <c r="L102" s="757"/>
      <c r="M102" s="753"/>
      <c r="N102" s="753"/>
      <c r="O102" s="758"/>
      <c r="P102" s="753"/>
      <c r="Q102" s="759"/>
      <c r="R102" s="753"/>
      <c r="S102" s="760"/>
    </row>
    <row r="103" spans="1:23" ht="18.75" customHeight="1">
      <c r="A103" s="761" t="s">
        <v>555</v>
      </c>
      <c r="B103" s="761"/>
      <c r="C103" s="761"/>
      <c r="D103" s="761"/>
      <c r="E103" s="761"/>
      <c r="F103" s="761"/>
      <c r="G103" s="761"/>
      <c r="H103" s="761"/>
      <c r="I103" s="761"/>
      <c r="J103" s="761"/>
      <c r="K103" s="761"/>
      <c r="L103" s="761"/>
      <c r="M103" s="761"/>
      <c r="N103" s="761"/>
      <c r="O103" s="761"/>
      <c r="P103" s="761"/>
      <c r="Q103" s="759"/>
      <c r="R103" s="753"/>
      <c r="S103" s="760"/>
    </row>
    <row r="104" spans="1:23" ht="18.75" customHeight="1">
      <c r="A104" s="762"/>
      <c r="B104" s="762"/>
      <c r="C104" s="763"/>
      <c r="D104" s="762"/>
      <c r="E104" s="762"/>
      <c r="F104" s="762"/>
      <c r="G104" s="762"/>
      <c r="H104" s="762"/>
      <c r="I104" s="762"/>
      <c r="J104" s="762"/>
      <c r="K104" s="762"/>
      <c r="L104" s="761"/>
      <c r="M104" s="762"/>
      <c r="N104" s="762"/>
      <c r="O104" s="764"/>
      <c r="P104" s="762"/>
      <c r="Q104" s="759"/>
      <c r="R104" s="753"/>
      <c r="S104" s="760"/>
    </row>
    <row r="105" spans="1:23" ht="12.75" customHeight="1">
      <c r="A105" s="765"/>
      <c r="B105" s="765"/>
      <c r="C105" s="766"/>
      <c r="D105" s="765"/>
      <c r="E105" s="765"/>
      <c r="F105" s="765"/>
      <c r="G105" s="765"/>
      <c r="H105" s="765"/>
      <c r="I105" s="765"/>
      <c r="J105" s="765"/>
      <c r="K105" s="765"/>
      <c r="L105" s="765"/>
      <c r="M105" s="765"/>
      <c r="N105" s="765"/>
      <c r="O105" s="767"/>
      <c r="P105" s="765"/>
      <c r="Q105" s="759"/>
      <c r="R105" s="753"/>
      <c r="S105" s="760"/>
    </row>
    <row r="106" spans="1:23" s="776" customFormat="1" ht="30.75" customHeight="1">
      <c r="A106" s="770" t="s">
        <v>37</v>
      </c>
      <c r="B106" s="770" t="s">
        <v>535</v>
      </c>
      <c r="C106" s="771" t="s">
        <v>536</v>
      </c>
      <c r="D106" s="772" t="s">
        <v>537</v>
      </c>
      <c r="E106" s="772" t="s">
        <v>538</v>
      </c>
      <c r="F106" s="772" t="s">
        <v>539</v>
      </c>
      <c r="G106" s="772" t="s">
        <v>540</v>
      </c>
      <c r="H106" s="772" t="s">
        <v>541</v>
      </c>
      <c r="I106" s="772" t="s">
        <v>542</v>
      </c>
      <c r="J106" s="772" t="s">
        <v>543</v>
      </c>
      <c r="K106" s="773" t="s">
        <v>544</v>
      </c>
      <c r="L106" s="772" t="s">
        <v>545</v>
      </c>
      <c r="M106" s="773" t="s">
        <v>546</v>
      </c>
      <c r="N106" s="772" t="s">
        <v>547</v>
      </c>
      <c r="O106" s="774" t="s">
        <v>538</v>
      </c>
      <c r="P106" s="772" t="s">
        <v>548</v>
      </c>
      <c r="Q106" s="775"/>
      <c r="R106" s="770" t="s">
        <v>535</v>
      </c>
      <c r="S106" s="772" t="s">
        <v>502</v>
      </c>
      <c r="T106" s="772" t="s">
        <v>338</v>
      </c>
      <c r="U106" s="772" t="s">
        <v>539</v>
      </c>
      <c r="V106" s="772" t="s">
        <v>549</v>
      </c>
      <c r="W106" s="770" t="s">
        <v>549</v>
      </c>
    </row>
    <row r="107" spans="1:23">
      <c r="A107" s="777" t="str">
        <f>IF(B107&lt;&gt;"",ROW()-(ROW()-1),"")</f>
        <v/>
      </c>
      <c r="B107" s="852"/>
      <c r="C107" s="778">
        <f>IF(ISNA(VLOOKUP(B107,NXT!$Q$61:$S$81,2,0)),0,VLOOKUP(B107,NXT!$Q$61:$S$81,2,0))</f>
        <v>0</v>
      </c>
      <c r="D107" s="630">
        <f>ROUND(C107*O107,0)</f>
        <v>0</v>
      </c>
      <c r="E107" s="630"/>
      <c r="F107" s="630"/>
      <c r="G107" s="779">
        <f>D107*F107</f>
        <v>0</v>
      </c>
      <c r="H107" s="630">
        <f>IF($D$112&lt;&gt;0,H$112/($D$112+$E$112/5)*($D107+$E107/5),0)</f>
        <v>0</v>
      </c>
      <c r="I107" s="630">
        <f t="shared" ref="I107:K110" si="37">IF($D$112&lt;&gt;0,I$112/$D$112*$D107,0)</f>
        <v>0</v>
      </c>
      <c r="J107" s="630">
        <f t="shared" si="37"/>
        <v>0</v>
      </c>
      <c r="K107" s="630">
        <f t="shared" si="37"/>
        <v>0</v>
      </c>
      <c r="L107" s="779"/>
      <c r="M107" s="630" t="e">
        <f>34560000/($O$68+#REF!+#REF!)*O107</f>
        <v>#REF!</v>
      </c>
      <c r="N107" s="779">
        <f>ROUND(SUM(G107:L107),0)</f>
        <v>0</v>
      </c>
      <c r="O107" s="630"/>
      <c r="P107" s="630">
        <f>IF(N107&lt;&gt;0,N107/O107,0)</f>
        <v>0</v>
      </c>
      <c r="Q107" s="798"/>
      <c r="R107" s="781"/>
      <c r="S107" s="845"/>
      <c r="T107" s="236"/>
      <c r="U107" s="783"/>
      <c r="V107" s="779">
        <f t="shared" ref="V107:V119" si="38">ROUND(T107*U107,0)</f>
        <v>0</v>
      </c>
      <c r="W107" s="779"/>
    </row>
    <row r="108" spans="1:23">
      <c r="A108" s="777" t="str">
        <f>IF(B108&lt;&gt;"",A107+1,"")</f>
        <v/>
      </c>
      <c r="B108" s="789"/>
      <c r="C108" s="778">
        <f>IF(ISNA(VLOOKUP(B108,NXT!$Q$61:$S$81,2,0)),0,VLOOKUP(B108,NXT!$Q$61:$S$81,2,0))</f>
        <v>0</v>
      </c>
      <c r="D108" s="630">
        <f>ROUND(C108*O108,0)</f>
        <v>0</v>
      </c>
      <c r="E108" s="630"/>
      <c r="F108" s="630"/>
      <c r="G108" s="779">
        <f>D108*F108</f>
        <v>0</v>
      </c>
      <c r="H108" s="630">
        <f>IF($D$112&lt;&gt;0,H$112/($D$112+$E$112/5)*($D108+$E108/5),0)</f>
        <v>0</v>
      </c>
      <c r="I108" s="630">
        <f t="shared" si="37"/>
        <v>0</v>
      </c>
      <c r="J108" s="630">
        <f t="shared" si="37"/>
        <v>0</v>
      </c>
      <c r="K108" s="630">
        <f t="shared" si="37"/>
        <v>0</v>
      </c>
      <c r="L108" s="630"/>
      <c r="M108" s="630"/>
      <c r="N108" s="779">
        <f>ROUND(SUM(G108:L108),0)</f>
        <v>0</v>
      </c>
      <c r="O108" s="785"/>
      <c r="P108" s="630">
        <f>IF(N108&lt;&gt;0,N108/O108,0)</f>
        <v>0</v>
      </c>
      <c r="Q108" s="798"/>
      <c r="R108" s="786"/>
      <c r="S108" s="845"/>
      <c r="T108" s="236"/>
      <c r="U108" s="787"/>
      <c r="V108" s="779">
        <f t="shared" si="38"/>
        <v>0</v>
      </c>
      <c r="W108" s="795"/>
    </row>
    <row r="109" spans="1:23">
      <c r="A109" s="777" t="str">
        <f>IF(B109&lt;&gt;"",A108+1,"")</f>
        <v/>
      </c>
      <c r="B109" s="789"/>
      <c r="C109" s="778">
        <f>IF(ISNA(VLOOKUP(B109,NXT!$Q$61:$S$81,2,0)),0,VLOOKUP(B109,NXT!$Q$61:$S$81,2,0))</f>
        <v>0</v>
      </c>
      <c r="D109" s="630">
        <f>ROUND(C109*O109,0)</f>
        <v>0</v>
      </c>
      <c r="E109" s="630"/>
      <c r="F109" s="630"/>
      <c r="G109" s="779">
        <f>D109*F109</f>
        <v>0</v>
      </c>
      <c r="H109" s="630">
        <f>IF($D$112&lt;&gt;0,H$112/($D$112+$E$112/5)*($D109+$E109/5),0)</f>
        <v>0</v>
      </c>
      <c r="I109" s="630">
        <f t="shared" si="37"/>
        <v>0</v>
      </c>
      <c r="J109" s="630">
        <f t="shared" si="37"/>
        <v>0</v>
      </c>
      <c r="K109" s="630">
        <f t="shared" si="37"/>
        <v>0</v>
      </c>
      <c r="L109" s="630"/>
      <c r="M109" s="630">
        <v>25840000</v>
      </c>
      <c r="N109" s="779">
        <f>ROUND(SUM(G109:L109),0)</f>
        <v>0</v>
      </c>
      <c r="O109" s="785"/>
      <c r="P109" s="630">
        <f>IF(N109&lt;&gt;0,N109/O109,0)</f>
        <v>0</v>
      </c>
      <c r="Q109" s="798"/>
      <c r="R109" s="786"/>
      <c r="S109" s="845"/>
      <c r="T109" s="236"/>
      <c r="U109" s="787"/>
      <c r="V109" s="779">
        <f t="shared" si="38"/>
        <v>0</v>
      </c>
      <c r="W109" s="795"/>
    </row>
    <row r="110" spans="1:23">
      <c r="A110" s="777" t="str">
        <f>IF(B110&lt;&gt;"",A109+1,"")</f>
        <v/>
      </c>
      <c r="B110" s="515"/>
      <c r="C110" s="778">
        <f>IF(ISNA(VLOOKUP(B110,NXT!$Q$61:$S$81,2,0)),0,VLOOKUP(B110,NXT!$Q$61:$S$81,2,0))</f>
        <v>0</v>
      </c>
      <c r="D110" s="630">
        <f>ROUND(C110*O110,0)</f>
        <v>0</v>
      </c>
      <c r="E110" s="630"/>
      <c r="F110" s="630"/>
      <c r="G110" s="779">
        <f>D110*F110</f>
        <v>0</v>
      </c>
      <c r="H110" s="630">
        <f>IF($D$112&lt;&gt;0,H$112/($D$112+$E$112/5)*($D110+$E110/5),0)</f>
        <v>0</v>
      </c>
      <c r="I110" s="630">
        <f t="shared" si="37"/>
        <v>0</v>
      </c>
      <c r="J110" s="630">
        <f t="shared" si="37"/>
        <v>0</v>
      </c>
      <c r="K110" s="630">
        <f t="shared" si="37"/>
        <v>0</v>
      </c>
      <c r="L110" s="630"/>
      <c r="M110" s="630" t="e">
        <f>34560000/($O$68+#REF!+#REF!)*O110</f>
        <v>#REF!</v>
      </c>
      <c r="N110" s="779">
        <f>ROUND(SUM(G110:L110),0)</f>
        <v>0</v>
      </c>
      <c r="O110" s="785"/>
      <c r="P110" s="630">
        <f>IF(N110&lt;&gt;0,N110/O110,0)</f>
        <v>0</v>
      </c>
      <c r="Q110" s="798"/>
      <c r="R110" s="786"/>
      <c r="S110" s="845"/>
      <c r="T110" s="809"/>
      <c r="U110" s="787"/>
      <c r="V110" s="779">
        <f t="shared" si="38"/>
        <v>0</v>
      </c>
      <c r="W110" s="795"/>
    </row>
    <row r="111" spans="1:23">
      <c r="A111" s="777" t="str">
        <f>IF(B111&lt;&gt;"",#REF!+1,"")</f>
        <v/>
      </c>
      <c r="B111" s="790"/>
      <c r="C111" s="791"/>
      <c r="D111" s="793"/>
      <c r="E111" s="793"/>
      <c r="F111" s="793"/>
      <c r="G111" s="794"/>
      <c r="H111" s="839"/>
      <c r="I111" s="793"/>
      <c r="J111" s="795"/>
      <c r="K111" s="793"/>
      <c r="L111" s="796"/>
      <c r="M111" s="793"/>
      <c r="N111" s="779"/>
      <c r="O111" s="797"/>
      <c r="P111" s="793"/>
      <c r="Q111" s="798"/>
      <c r="R111" s="786"/>
      <c r="S111" s="845"/>
      <c r="T111" s="236"/>
      <c r="U111" s="787"/>
      <c r="V111" s="779">
        <f t="shared" si="38"/>
        <v>0</v>
      </c>
      <c r="W111" s="795"/>
    </row>
    <row r="112" spans="1:23">
      <c r="A112" s="800"/>
      <c r="B112" s="801" t="s">
        <v>550</v>
      </c>
      <c r="C112" s="802"/>
      <c r="D112" s="803">
        <f>SUM(D107:D110)</f>
        <v>0</v>
      </c>
      <c r="E112" s="803"/>
      <c r="F112" s="803"/>
      <c r="G112" s="803">
        <f>SUM(G107:G110)</f>
        <v>0</v>
      </c>
      <c r="H112" s="804"/>
      <c r="I112" s="804">
        <f>V121</f>
        <v>0</v>
      </c>
      <c r="J112" s="804"/>
      <c r="K112" s="804">
        <v>57138842</v>
      </c>
      <c r="L112" s="803">
        <f>ROUND(SUM(L107:L111),0)</f>
        <v>0</v>
      </c>
      <c r="M112" s="803" t="e">
        <f>ROUND(SUM(M107:M111),0)</f>
        <v>#REF!</v>
      </c>
      <c r="N112" s="803">
        <f>ROUND(SUM(N107:N111),0)</f>
        <v>0</v>
      </c>
      <c r="O112" s="803">
        <f>ROUND(SUM(O107:O111),0)</f>
        <v>0</v>
      </c>
      <c r="P112" s="803"/>
      <c r="Q112" s="798"/>
      <c r="R112" s="786"/>
      <c r="S112" s="845"/>
      <c r="T112" s="236"/>
      <c r="U112" s="787"/>
      <c r="V112" s="779">
        <f t="shared" si="38"/>
        <v>0</v>
      </c>
      <c r="W112" s="795"/>
    </row>
    <row r="113" spans="1:23" s="799" customFormat="1">
      <c r="A113" s="750"/>
      <c r="B113" s="750"/>
      <c r="C113" s="750"/>
      <c r="D113" s="750"/>
      <c r="E113" s="750"/>
      <c r="F113" s="750"/>
      <c r="G113" s="750"/>
      <c r="H113" s="750"/>
      <c r="I113" s="750"/>
      <c r="J113" s="750"/>
      <c r="K113" s="750"/>
      <c r="L113" s="750"/>
      <c r="M113" s="750"/>
      <c r="N113" s="750"/>
      <c r="O113" s="750"/>
      <c r="P113" s="750"/>
      <c r="Q113" s="798"/>
      <c r="R113" s="786"/>
      <c r="S113" s="845"/>
      <c r="T113" s="236"/>
      <c r="U113" s="787"/>
      <c r="V113" s="779">
        <f t="shared" si="38"/>
        <v>0</v>
      </c>
      <c r="W113" s="795"/>
    </row>
    <row r="114" spans="1:23" s="754" customFormat="1">
      <c r="A114" s="750"/>
      <c r="B114" s="750"/>
      <c r="C114" s="750"/>
      <c r="D114" s="750"/>
      <c r="E114" s="750"/>
      <c r="F114" s="750"/>
      <c r="G114" s="750"/>
      <c r="H114" s="750"/>
      <c r="I114" s="750"/>
      <c r="J114" s="750"/>
      <c r="K114" s="750"/>
      <c r="L114" s="750"/>
      <c r="M114" s="750"/>
      <c r="N114" s="750"/>
      <c r="O114" s="750"/>
      <c r="P114" s="750"/>
      <c r="Q114" s="798"/>
      <c r="R114" s="786"/>
      <c r="S114" s="845"/>
      <c r="T114" s="809"/>
      <c r="U114" s="809"/>
      <c r="V114" s="779">
        <f t="shared" si="38"/>
        <v>0</v>
      </c>
      <c r="W114" s="795"/>
    </row>
    <row r="115" spans="1:23">
      <c r="Q115" s="798"/>
      <c r="R115" s="786"/>
      <c r="S115" s="847"/>
      <c r="T115" s="809"/>
      <c r="U115" s="787"/>
      <c r="V115" s="779">
        <f t="shared" si="38"/>
        <v>0</v>
      </c>
      <c r="W115" s="795"/>
    </row>
    <row r="116" spans="1:23">
      <c r="Q116" s="798"/>
      <c r="R116" s="520"/>
      <c r="S116" s="847"/>
      <c r="T116" s="236"/>
      <c r="U116" s="236"/>
      <c r="V116" s="779">
        <f t="shared" si="38"/>
        <v>0</v>
      </c>
      <c r="W116" s="795"/>
    </row>
    <row r="117" spans="1:23">
      <c r="Q117" s="798"/>
      <c r="R117" s="786"/>
      <c r="S117" s="847"/>
      <c r="T117" s="236"/>
      <c r="U117" s="236"/>
      <c r="V117" s="779">
        <f t="shared" si="38"/>
        <v>0</v>
      </c>
      <c r="W117" s="795"/>
    </row>
    <row r="118" spans="1:23">
      <c r="Q118" s="798"/>
      <c r="R118" s="848"/>
      <c r="S118" s="847"/>
      <c r="T118" s="809"/>
      <c r="U118" s="787"/>
      <c r="V118" s="779">
        <f t="shared" si="38"/>
        <v>0</v>
      </c>
      <c r="W118" s="795"/>
    </row>
    <row r="119" spans="1:23">
      <c r="Q119" s="798"/>
      <c r="R119" s="786"/>
      <c r="S119" s="845"/>
      <c r="T119" s="809"/>
      <c r="U119" s="787"/>
      <c r="V119" s="779">
        <f t="shared" si="38"/>
        <v>0</v>
      </c>
      <c r="W119" s="795"/>
    </row>
    <row r="120" spans="1:23">
      <c r="Q120" s="798"/>
      <c r="R120" s="520"/>
      <c r="S120" s="782"/>
      <c r="T120" s="236"/>
      <c r="U120" s="236"/>
      <c r="V120" s="779"/>
      <c r="W120" s="795"/>
    </row>
    <row r="121" spans="1:23">
      <c r="R121" s="832"/>
      <c r="S121" s="833"/>
      <c r="T121" s="834"/>
      <c r="U121" s="850"/>
      <c r="V121" s="803">
        <f>SUM(V107:V120)</f>
        <v>0</v>
      </c>
      <c r="W121" s="813">
        <f>SUM(W107:W120)</f>
        <v>0</v>
      </c>
    </row>
    <row r="122" spans="1:23">
      <c r="R122" s="835"/>
      <c r="S122" s="845"/>
      <c r="T122" s="236"/>
      <c r="U122" s="236"/>
      <c r="V122" s="779">
        <f t="shared" ref="V122:V128" si="39">ROUND(T122*U122,0)</f>
        <v>0</v>
      </c>
      <c r="W122" s="779"/>
    </row>
    <row r="123" spans="1:23">
      <c r="R123" s="786"/>
      <c r="S123" s="845"/>
      <c r="T123" s="787"/>
      <c r="U123" s="787"/>
      <c r="V123" s="779">
        <f t="shared" si="39"/>
        <v>0</v>
      </c>
      <c r="W123" s="795"/>
    </row>
    <row r="124" spans="1:23">
      <c r="R124" s="786"/>
      <c r="S124" s="845"/>
      <c r="T124" s="787"/>
      <c r="U124" s="787"/>
      <c r="V124" s="779">
        <f t="shared" si="39"/>
        <v>0</v>
      </c>
      <c r="W124" s="795"/>
    </row>
    <row r="125" spans="1:23">
      <c r="R125" s="786"/>
      <c r="S125" s="845"/>
      <c r="T125" s="787"/>
      <c r="U125" s="787"/>
      <c r="V125" s="779">
        <f t="shared" si="39"/>
        <v>0</v>
      </c>
      <c r="W125" s="795"/>
    </row>
    <row r="126" spans="1:23">
      <c r="R126" s="835"/>
      <c r="S126" s="845"/>
      <c r="T126" s="236"/>
      <c r="U126" s="236"/>
      <c r="V126" s="779">
        <f t="shared" si="39"/>
        <v>0</v>
      </c>
      <c r="W126" s="795"/>
    </row>
    <row r="127" spans="1:23">
      <c r="R127" s="809"/>
      <c r="S127" s="782"/>
      <c r="T127" s="787"/>
      <c r="U127" s="787"/>
      <c r="V127" s="779">
        <f t="shared" si="39"/>
        <v>0</v>
      </c>
      <c r="W127" s="795"/>
    </row>
    <row r="128" spans="1:23">
      <c r="R128" s="809"/>
      <c r="S128" s="782"/>
      <c r="T128" s="787"/>
      <c r="U128" s="787"/>
      <c r="V128" s="779">
        <f t="shared" si="39"/>
        <v>0</v>
      </c>
      <c r="W128" s="795"/>
    </row>
    <row r="129" spans="1:23" ht="12.75" customHeight="1">
      <c r="A129" s="769"/>
      <c r="B129" s="769"/>
      <c r="C129" s="853"/>
      <c r="D129" s="769"/>
      <c r="E129" s="769"/>
      <c r="F129" s="769"/>
      <c r="G129" s="769"/>
      <c r="H129" s="769"/>
      <c r="I129" s="769"/>
      <c r="J129" s="769"/>
      <c r="K129" s="769"/>
      <c r="L129" s="769"/>
      <c r="M129" s="769"/>
      <c r="N129" s="769"/>
      <c r="O129" s="821"/>
      <c r="P129" s="769"/>
      <c r="Q129" s="759"/>
      <c r="R129" s="753"/>
      <c r="S129" s="760"/>
    </row>
    <row r="130" spans="1:23" ht="18" customHeight="1">
      <c r="A130" s="754" t="s">
        <v>533</v>
      </c>
      <c r="B130" s="754"/>
      <c r="C130" s="854"/>
      <c r="D130" s="756"/>
      <c r="E130" s="756"/>
      <c r="F130" s="756"/>
      <c r="G130" s="753"/>
      <c r="H130" s="753"/>
      <c r="I130" s="753"/>
      <c r="J130" s="753"/>
      <c r="K130" s="753"/>
      <c r="L130" s="757"/>
      <c r="M130" s="753"/>
      <c r="N130" s="753"/>
      <c r="O130" s="758"/>
      <c r="P130" s="753"/>
      <c r="Q130" s="759"/>
      <c r="R130" s="753"/>
      <c r="S130" s="760"/>
    </row>
    <row r="131" spans="1:23" ht="18.75" customHeight="1">
      <c r="A131" s="761" t="s">
        <v>556</v>
      </c>
      <c r="B131" s="761"/>
      <c r="C131" s="761"/>
      <c r="D131" s="761"/>
      <c r="E131" s="761"/>
      <c r="F131" s="761"/>
      <c r="G131" s="761"/>
      <c r="H131" s="761"/>
      <c r="I131" s="761"/>
      <c r="J131" s="761"/>
      <c r="K131" s="761"/>
      <c r="L131" s="761"/>
      <c r="M131" s="761"/>
      <c r="N131" s="761"/>
      <c r="O131" s="761"/>
      <c r="P131" s="761"/>
      <c r="Q131" s="759"/>
      <c r="R131" s="753"/>
      <c r="S131" s="760"/>
    </row>
    <row r="132" spans="1:23" ht="18.75" customHeight="1">
      <c r="A132" s="762"/>
      <c r="B132" s="762"/>
      <c r="C132" s="763"/>
      <c r="D132" s="762"/>
      <c r="E132" s="762"/>
      <c r="F132" s="762"/>
      <c r="G132" s="762"/>
      <c r="H132" s="762"/>
      <c r="I132" s="762"/>
      <c r="J132" s="762"/>
      <c r="K132" s="762"/>
      <c r="L132" s="761"/>
      <c r="M132" s="762"/>
      <c r="N132" s="762"/>
      <c r="O132" s="764"/>
      <c r="P132" s="762"/>
      <c r="Q132" s="759"/>
      <c r="R132" s="753"/>
      <c r="S132" s="760"/>
    </row>
    <row r="133" spans="1:23" ht="12.75" customHeight="1">
      <c r="A133" s="765"/>
      <c r="B133" s="765"/>
      <c r="C133" s="766"/>
      <c r="D133" s="765"/>
      <c r="E133" s="765"/>
      <c r="F133" s="765"/>
      <c r="G133" s="765"/>
      <c r="H133" s="765"/>
      <c r="I133" s="765"/>
      <c r="J133" s="765"/>
      <c r="K133" s="765"/>
      <c r="L133" s="765"/>
      <c r="M133" s="765"/>
      <c r="N133" s="765"/>
      <c r="O133" s="767"/>
      <c r="P133" s="765"/>
      <c r="Q133" s="759"/>
      <c r="R133" s="753"/>
      <c r="S133" s="760"/>
    </row>
    <row r="134" spans="1:23" s="776" customFormat="1" ht="30.75" customHeight="1">
      <c r="A134" s="770" t="s">
        <v>37</v>
      </c>
      <c r="B134" s="770" t="s">
        <v>535</v>
      </c>
      <c r="C134" s="771" t="s">
        <v>536</v>
      </c>
      <c r="D134" s="772" t="s">
        <v>537</v>
      </c>
      <c r="E134" s="772" t="s">
        <v>538</v>
      </c>
      <c r="F134" s="772" t="s">
        <v>539</v>
      </c>
      <c r="G134" s="772" t="s">
        <v>540</v>
      </c>
      <c r="H134" s="772" t="s">
        <v>541</v>
      </c>
      <c r="I134" s="772" t="s">
        <v>542</v>
      </c>
      <c r="J134" s="772" t="s">
        <v>543</v>
      </c>
      <c r="K134" s="773" t="s">
        <v>544</v>
      </c>
      <c r="L134" s="772" t="s">
        <v>545</v>
      </c>
      <c r="M134" s="773" t="s">
        <v>546</v>
      </c>
      <c r="N134" s="772" t="s">
        <v>547</v>
      </c>
      <c r="O134" s="774" t="s">
        <v>538</v>
      </c>
      <c r="P134" s="772" t="s">
        <v>548</v>
      </c>
      <c r="Q134" s="775"/>
      <c r="R134" s="770" t="s">
        <v>535</v>
      </c>
      <c r="S134" s="772" t="s">
        <v>502</v>
      </c>
      <c r="T134" s="772" t="s">
        <v>338</v>
      </c>
      <c r="U134" s="772" t="s">
        <v>539</v>
      </c>
      <c r="V134" s="772" t="s">
        <v>549</v>
      </c>
      <c r="W134" s="770" t="s">
        <v>549</v>
      </c>
    </row>
    <row r="135" spans="1:23">
      <c r="A135" s="777" t="str">
        <f>IF(B135&lt;&gt;"",ROW()-(ROW()-1),"")</f>
        <v/>
      </c>
      <c r="B135" s="789"/>
      <c r="C135" s="778">
        <f>IF(ISNA(VLOOKUP(B135,NXT!$Q$61:$S$81,2,0)),0,VLOOKUP(B135,NXT!$Q$61:$S$81,2,0))</f>
        <v>0</v>
      </c>
      <c r="D135" s="630">
        <f>ROUND(C135*O135,0)</f>
        <v>0</v>
      </c>
      <c r="E135" s="630"/>
      <c r="F135" s="630"/>
      <c r="G135" s="779">
        <f>D135*F135</f>
        <v>0</v>
      </c>
      <c r="H135" s="630">
        <f>IF($D$139&lt;&gt;0,H$139/($D$139+$E$139/5)*($D135+$E135/5),0)</f>
        <v>0</v>
      </c>
      <c r="I135" s="630">
        <f t="shared" ref="I135:K138" si="40">IF($D$139&lt;&gt;0,I$139/$D$139*$D135,0)</f>
        <v>0</v>
      </c>
      <c r="J135" s="630">
        <f t="shared" si="40"/>
        <v>0</v>
      </c>
      <c r="K135" s="630">
        <f t="shared" si="40"/>
        <v>0</v>
      </c>
      <c r="L135" s="779"/>
      <c r="M135" s="630" t="e">
        <f>34560000/($O$68+#REF!+#REF!)*O135</f>
        <v>#REF!</v>
      </c>
      <c r="N135" s="779">
        <f>ROUND(SUM(G135:L135),0)</f>
        <v>0</v>
      </c>
      <c r="O135" s="630"/>
      <c r="P135" s="630">
        <f>IF(N135&lt;&gt;0,N135/O135,0)</f>
        <v>0</v>
      </c>
      <c r="Q135" s="798"/>
      <c r="R135" s="781"/>
      <c r="S135" s="845"/>
      <c r="T135" s="236"/>
      <c r="U135" s="783"/>
      <c r="V135" s="779">
        <f t="shared" ref="V135:V144" si="41">ROUND(T135*U135,0)</f>
        <v>0</v>
      </c>
      <c r="W135" s="779"/>
    </row>
    <row r="136" spans="1:23">
      <c r="A136" s="777" t="str">
        <f>IF(B136&lt;&gt;"",A135+1,"")</f>
        <v/>
      </c>
      <c r="B136" s="520"/>
      <c r="C136" s="778">
        <f>IF(ISNA(VLOOKUP(B136,NXT!$Q$61:$S$81,2,0)),0,VLOOKUP(B136,NXT!$Q$61:$S$81,2,0))</f>
        <v>0</v>
      </c>
      <c r="D136" s="630">
        <f>ROUND(C136*O136,0)</f>
        <v>0</v>
      </c>
      <c r="E136" s="630"/>
      <c r="F136" s="630"/>
      <c r="G136" s="779">
        <f>D136*F136</f>
        <v>0</v>
      </c>
      <c r="H136" s="630">
        <f>IF($D$139&lt;&gt;0,H$139/($D$139+$E$139/5)*($D136+$E136/5),0)</f>
        <v>0</v>
      </c>
      <c r="I136" s="630">
        <f t="shared" si="40"/>
        <v>0</v>
      </c>
      <c r="J136" s="630">
        <f t="shared" si="40"/>
        <v>0</v>
      </c>
      <c r="K136" s="630">
        <f t="shared" si="40"/>
        <v>0</v>
      </c>
      <c r="L136" s="630"/>
      <c r="M136" s="630"/>
      <c r="N136" s="779">
        <f>ROUND(SUM(G136:L136),0)</f>
        <v>0</v>
      </c>
      <c r="O136" s="785"/>
      <c r="P136" s="630">
        <f>IF(N136&lt;&gt;0,N136/O136,0)</f>
        <v>0</v>
      </c>
      <c r="Q136" s="798"/>
      <c r="R136" s="786"/>
      <c r="S136" s="845"/>
      <c r="T136" s="236"/>
      <c r="U136" s="787"/>
      <c r="V136" s="779">
        <f t="shared" si="41"/>
        <v>0</v>
      </c>
      <c r="W136" s="795"/>
    </row>
    <row r="137" spans="1:23">
      <c r="A137" s="777" t="str">
        <f>IF(B137&lt;&gt;"",A136+1,"")</f>
        <v/>
      </c>
      <c r="B137" s="789"/>
      <c r="C137" s="778">
        <f>IF(ISNA(VLOOKUP(B137,NXT!$Q$61:$S$81,2,0)),0,VLOOKUP(B137,NXT!$Q$61:$S$81,2,0))</f>
        <v>0</v>
      </c>
      <c r="D137" s="630">
        <f>ROUND(C137*O137,0)</f>
        <v>0</v>
      </c>
      <c r="E137" s="630"/>
      <c r="F137" s="630"/>
      <c r="G137" s="779">
        <f>D137*F137</f>
        <v>0</v>
      </c>
      <c r="H137" s="630">
        <f>IF($D$139&lt;&gt;0,H$139/($D$139+$E$139/5)*($D137+$E137/5),0)</f>
        <v>0</v>
      </c>
      <c r="I137" s="630">
        <f t="shared" si="40"/>
        <v>0</v>
      </c>
      <c r="J137" s="630">
        <f t="shared" si="40"/>
        <v>0</v>
      </c>
      <c r="K137" s="630">
        <f t="shared" si="40"/>
        <v>0</v>
      </c>
      <c r="L137" s="630"/>
      <c r="M137" s="630">
        <v>25840000</v>
      </c>
      <c r="N137" s="779">
        <f>ROUND(SUM(G137:L137),0)</f>
        <v>0</v>
      </c>
      <c r="O137" s="785"/>
      <c r="P137" s="630">
        <f>IF(N137&lt;&gt;0,N137/O137,0)</f>
        <v>0</v>
      </c>
      <c r="Q137" s="798"/>
      <c r="R137" s="786"/>
      <c r="S137" s="845"/>
      <c r="T137" s="236"/>
      <c r="U137" s="787"/>
      <c r="V137" s="779">
        <f t="shared" si="41"/>
        <v>0</v>
      </c>
      <c r="W137" s="795"/>
    </row>
    <row r="138" spans="1:23">
      <c r="A138" s="777" t="str">
        <f>IF(B138&lt;&gt;"",#REF!+1,"")</f>
        <v/>
      </c>
      <c r="B138" s="789"/>
      <c r="C138" s="778"/>
      <c r="D138" s="630">
        <f>ROUND(C138*O138,0)</f>
        <v>0</v>
      </c>
      <c r="E138" s="630"/>
      <c r="F138" s="630"/>
      <c r="G138" s="779">
        <f>D138*F138</f>
        <v>0</v>
      </c>
      <c r="H138" s="630">
        <f>IF($D$139&lt;&gt;0,H$139/($D$139+$E$139/5)*($D138+$E138/5),0)</f>
        <v>0</v>
      </c>
      <c r="I138" s="630">
        <f t="shared" si="40"/>
        <v>0</v>
      </c>
      <c r="J138" s="630">
        <f t="shared" si="40"/>
        <v>0</v>
      </c>
      <c r="K138" s="630">
        <f t="shared" si="40"/>
        <v>0</v>
      </c>
      <c r="L138" s="630"/>
      <c r="M138" s="630" t="e">
        <f>34560000/($O$68+#REF!+#REF!)*O138</f>
        <v>#REF!</v>
      </c>
      <c r="N138" s="779">
        <f>ROUND(SUM(G138:L138),0)</f>
        <v>0</v>
      </c>
      <c r="O138" s="785"/>
      <c r="P138" s="630">
        <f>IF(N138&lt;&gt;0,N138/O138,0)</f>
        <v>0</v>
      </c>
      <c r="Q138" s="798"/>
      <c r="R138" s="786"/>
      <c r="S138" s="845"/>
      <c r="T138" s="809"/>
      <c r="U138" s="787"/>
      <c r="V138" s="779">
        <f t="shared" si="41"/>
        <v>0</v>
      </c>
      <c r="W138" s="795"/>
    </row>
    <row r="139" spans="1:23">
      <c r="A139" s="800"/>
      <c r="B139" s="801" t="s">
        <v>550</v>
      </c>
      <c r="C139" s="802"/>
      <c r="D139" s="803">
        <f>SUM(D135:D138)</f>
        <v>0</v>
      </c>
      <c r="E139" s="803"/>
      <c r="F139" s="803"/>
      <c r="G139" s="803">
        <f>SUM(G135:G138)</f>
        <v>0</v>
      </c>
      <c r="H139" s="804"/>
      <c r="I139" s="804">
        <f>V146</f>
        <v>0</v>
      </c>
      <c r="J139" s="804"/>
      <c r="K139" s="804">
        <v>57138842</v>
      </c>
      <c r="L139" s="803">
        <f>ROUND(SUM(L135:L138),0)</f>
        <v>0</v>
      </c>
      <c r="M139" s="803" t="e">
        <f>ROUND(SUM(M135:M138),0)</f>
        <v>#REF!</v>
      </c>
      <c r="N139" s="803">
        <f>ROUND(SUM(N135:N138),0)</f>
        <v>0</v>
      </c>
      <c r="O139" s="803">
        <f>ROUND(SUM(O135:O138),0)</f>
        <v>0</v>
      </c>
      <c r="P139" s="803"/>
      <c r="Q139" s="798"/>
      <c r="R139" s="786"/>
      <c r="S139" s="845"/>
      <c r="T139" s="236"/>
      <c r="U139" s="787"/>
      <c r="V139" s="779">
        <f t="shared" si="41"/>
        <v>0</v>
      </c>
      <c r="W139" s="795"/>
    </row>
    <row r="140" spans="1:23">
      <c r="Q140" s="798"/>
      <c r="R140" s="786"/>
      <c r="S140" s="845"/>
      <c r="T140" s="236"/>
      <c r="U140" s="787"/>
      <c r="V140" s="779">
        <f t="shared" si="41"/>
        <v>0</v>
      </c>
      <c r="W140" s="795"/>
    </row>
    <row r="141" spans="1:23" s="754" customFormat="1">
      <c r="A141" s="750"/>
      <c r="B141" s="750"/>
      <c r="C141" s="750"/>
      <c r="D141" s="750"/>
      <c r="E141" s="750"/>
      <c r="F141" s="750"/>
      <c r="G141" s="750"/>
      <c r="H141" s="750"/>
      <c r="I141" s="750"/>
      <c r="J141" s="750"/>
      <c r="K141" s="750"/>
      <c r="L141" s="750"/>
      <c r="M141" s="750"/>
      <c r="N141" s="750"/>
      <c r="O141" s="750"/>
      <c r="P141" s="750"/>
      <c r="Q141" s="798"/>
      <c r="R141" s="786"/>
      <c r="S141" s="845"/>
      <c r="T141" s="809"/>
      <c r="U141" s="809"/>
      <c r="V141" s="779">
        <f t="shared" si="41"/>
        <v>0</v>
      </c>
      <c r="W141" s="795"/>
    </row>
    <row r="142" spans="1:23">
      <c r="Q142" s="798"/>
      <c r="R142" s="786"/>
      <c r="S142" s="847"/>
      <c r="T142" s="809"/>
      <c r="U142" s="787"/>
      <c r="V142" s="779">
        <f t="shared" si="41"/>
        <v>0</v>
      </c>
      <c r="W142" s="795"/>
    </row>
    <row r="143" spans="1:23">
      <c r="Q143" s="798"/>
      <c r="R143" s="520"/>
      <c r="S143" s="845"/>
      <c r="T143" s="236"/>
      <c r="U143" s="236"/>
      <c r="V143" s="779">
        <f t="shared" si="41"/>
        <v>0</v>
      </c>
      <c r="W143" s="795"/>
    </row>
    <row r="144" spans="1:23">
      <c r="Q144" s="798"/>
      <c r="R144" s="848"/>
      <c r="S144" s="847"/>
      <c r="T144" s="809"/>
      <c r="U144" s="787"/>
      <c r="V144" s="779">
        <f t="shared" si="41"/>
        <v>0</v>
      </c>
      <c r="W144" s="795"/>
    </row>
    <row r="145" spans="1:23">
      <c r="Q145" s="798"/>
      <c r="R145" s="520"/>
      <c r="S145" s="782"/>
      <c r="T145" s="236"/>
      <c r="U145" s="236"/>
      <c r="V145" s="795"/>
      <c r="W145" s="795"/>
    </row>
    <row r="146" spans="1:23">
      <c r="R146" s="832"/>
      <c r="S146" s="833"/>
      <c r="T146" s="834"/>
      <c r="U146" s="850"/>
      <c r="V146" s="803">
        <f>SUM(V135:V145)</f>
        <v>0</v>
      </c>
      <c r="W146" s="813">
        <f>SUM(W135:W145)</f>
        <v>0</v>
      </c>
    </row>
    <row r="147" spans="1:23">
      <c r="R147" s="835"/>
      <c r="S147" s="845"/>
      <c r="T147" s="236"/>
      <c r="U147" s="236"/>
      <c r="V147" s="779">
        <f t="shared" ref="V147:V152" si="42">ROUND(T147*U147,0)</f>
        <v>0</v>
      </c>
      <c r="W147" s="779"/>
    </row>
    <row r="148" spans="1:23">
      <c r="R148" s="786"/>
      <c r="S148" s="845"/>
      <c r="T148" s="787"/>
      <c r="U148" s="787"/>
      <c r="V148" s="779">
        <f t="shared" si="42"/>
        <v>0</v>
      </c>
      <c r="W148" s="795"/>
    </row>
    <row r="149" spans="1:23">
      <c r="R149" s="786"/>
      <c r="S149" s="845"/>
      <c r="T149" s="787"/>
      <c r="U149" s="787"/>
      <c r="V149" s="779">
        <f t="shared" si="42"/>
        <v>0</v>
      </c>
      <c r="W149" s="795"/>
    </row>
    <row r="150" spans="1:23">
      <c r="R150" s="786"/>
      <c r="S150" s="845"/>
      <c r="T150" s="787"/>
      <c r="U150" s="787"/>
      <c r="V150" s="779">
        <f t="shared" si="42"/>
        <v>0</v>
      </c>
      <c r="W150" s="795"/>
    </row>
    <row r="151" spans="1:23">
      <c r="R151" s="786"/>
      <c r="S151" s="845"/>
      <c r="T151" s="787"/>
      <c r="U151" s="787"/>
      <c r="V151" s="779">
        <f t="shared" si="42"/>
        <v>0</v>
      </c>
      <c r="W151" s="795"/>
    </row>
    <row r="152" spans="1:23">
      <c r="R152" s="809"/>
      <c r="S152" s="782"/>
      <c r="T152" s="787"/>
      <c r="U152" s="787"/>
      <c r="V152" s="779">
        <f t="shared" si="42"/>
        <v>0</v>
      </c>
      <c r="W152" s="795"/>
    </row>
    <row r="153" spans="1:23" ht="16.5" customHeight="1">
      <c r="A153" s="754" t="s">
        <v>533</v>
      </c>
      <c r="B153" s="754"/>
      <c r="C153" s="755"/>
      <c r="D153" s="756"/>
      <c r="E153" s="756"/>
      <c r="F153" s="756"/>
      <c r="G153" s="753"/>
      <c r="H153" s="753"/>
      <c r="I153" s="753"/>
      <c r="J153" s="753"/>
      <c r="K153" s="753"/>
      <c r="L153" s="757"/>
      <c r="M153" s="753"/>
      <c r="N153" s="753"/>
      <c r="O153" s="758"/>
      <c r="P153" s="753"/>
      <c r="R153" s="753"/>
      <c r="S153" s="760"/>
    </row>
    <row r="154" spans="1:23" ht="16.5" customHeight="1">
      <c r="A154" s="761" t="s">
        <v>557</v>
      </c>
      <c r="B154" s="761"/>
      <c r="C154" s="761"/>
      <c r="D154" s="761"/>
      <c r="E154" s="761"/>
      <c r="F154" s="761"/>
      <c r="G154" s="761"/>
      <c r="H154" s="761"/>
      <c r="I154" s="761"/>
      <c r="J154" s="761"/>
      <c r="K154" s="761"/>
      <c r="L154" s="761"/>
      <c r="M154" s="761"/>
      <c r="N154" s="761"/>
      <c r="O154" s="761"/>
      <c r="P154" s="761"/>
      <c r="Q154" s="759"/>
      <c r="R154" s="753"/>
      <c r="S154" s="760"/>
    </row>
    <row r="155" spans="1:23" ht="11.25" customHeight="1">
      <c r="A155" s="762"/>
      <c r="B155" s="762"/>
      <c r="C155" s="763"/>
      <c r="D155" s="762"/>
      <c r="E155" s="762"/>
      <c r="F155" s="762"/>
      <c r="G155" s="762"/>
      <c r="H155" s="762"/>
      <c r="I155" s="762"/>
      <c r="J155" s="762"/>
      <c r="K155" s="762"/>
      <c r="L155" s="761"/>
      <c r="M155" s="762"/>
      <c r="N155" s="762"/>
      <c r="O155" s="764"/>
      <c r="P155" s="762"/>
      <c r="Q155" s="759"/>
      <c r="R155" s="753"/>
      <c r="S155" s="760"/>
    </row>
    <row r="156" spans="1:23" ht="11.25" customHeight="1">
      <c r="A156" s="765"/>
      <c r="B156" s="765"/>
      <c r="C156" s="766"/>
      <c r="D156" s="765"/>
      <c r="E156" s="765"/>
      <c r="F156" s="765"/>
      <c r="G156" s="765"/>
      <c r="H156" s="765"/>
      <c r="I156" s="765"/>
      <c r="J156" s="765"/>
      <c r="K156" s="765"/>
      <c r="L156" s="765"/>
      <c r="M156" s="765"/>
      <c r="N156" s="765"/>
      <c r="O156" s="767"/>
      <c r="P156" s="765"/>
      <c r="Q156" s="759"/>
      <c r="R156" s="753"/>
      <c r="S156" s="760"/>
    </row>
    <row r="157" spans="1:23" ht="28.5" customHeight="1">
      <c r="A157" s="770" t="s">
        <v>37</v>
      </c>
      <c r="B157" s="770" t="s">
        <v>535</v>
      </c>
      <c r="C157" s="771" t="s">
        <v>536</v>
      </c>
      <c r="D157" s="772" t="s">
        <v>537</v>
      </c>
      <c r="E157" s="772" t="s">
        <v>538</v>
      </c>
      <c r="F157" s="772" t="s">
        <v>539</v>
      </c>
      <c r="G157" s="772" t="s">
        <v>540</v>
      </c>
      <c r="H157" s="772" t="s">
        <v>541</v>
      </c>
      <c r="I157" s="772" t="s">
        <v>542</v>
      </c>
      <c r="J157" s="772" t="s">
        <v>543</v>
      </c>
      <c r="K157" s="773" t="s">
        <v>544</v>
      </c>
      <c r="L157" s="772" t="s">
        <v>545</v>
      </c>
      <c r="M157" s="773" t="s">
        <v>546</v>
      </c>
      <c r="N157" s="772" t="s">
        <v>547</v>
      </c>
      <c r="O157" s="774" t="s">
        <v>538</v>
      </c>
      <c r="P157" s="772" t="s">
        <v>548</v>
      </c>
      <c r="Q157" s="759"/>
      <c r="R157" s="770" t="s">
        <v>535</v>
      </c>
      <c r="S157" s="772" t="s">
        <v>502</v>
      </c>
      <c r="T157" s="772" t="s">
        <v>338</v>
      </c>
      <c r="U157" s="772" t="s">
        <v>539</v>
      </c>
      <c r="V157" s="772" t="s">
        <v>549</v>
      </c>
      <c r="W157" s="770" t="s">
        <v>549</v>
      </c>
    </row>
    <row r="158" spans="1:23" s="776" customFormat="1" ht="12" customHeight="1">
      <c r="A158" s="777" t="str">
        <f>IF(B158&lt;&gt;"",ROW()-(ROW()-1),"")</f>
        <v/>
      </c>
      <c r="B158" s="789"/>
      <c r="C158" s="778">
        <f>IF(ISNA(VLOOKUP(B158,NXT!$Q$61:$S$81,2,0)),0,VLOOKUP(B158,NXT!$Q$61:$S$81,2,0))</f>
        <v>0</v>
      </c>
      <c r="D158" s="630">
        <f>ROUND(C158*O158,0)</f>
        <v>0</v>
      </c>
      <c r="E158" s="630"/>
      <c r="F158" s="630"/>
      <c r="G158" s="779">
        <f>(D158+E158)*F158</f>
        <v>0</v>
      </c>
      <c r="H158" s="630">
        <f>IF($D$163&lt;&gt;0,H$163/($D$163+$E$163/5)*($D158+$E158/5),0)</f>
        <v>0</v>
      </c>
      <c r="I158" s="630">
        <f t="shared" ref="I158:K161" si="43">IF($D$163&lt;&gt;0,I$163/$D$163*$D158,0)</f>
        <v>0</v>
      </c>
      <c r="J158" s="630">
        <f t="shared" si="43"/>
        <v>0</v>
      </c>
      <c r="K158" s="630">
        <f t="shared" si="43"/>
        <v>0</v>
      </c>
      <c r="L158" s="779"/>
      <c r="M158" s="630" t="e">
        <f>34560000/($O$68+#REF!+#REF!)*O158</f>
        <v>#REF!</v>
      </c>
      <c r="N158" s="779">
        <f>ROUND(SUM(G158:L158),0)</f>
        <v>0</v>
      </c>
      <c r="O158" s="630"/>
      <c r="P158" s="630">
        <f>IF(N158&lt;&gt;0,N158/O158,0)</f>
        <v>0</v>
      </c>
      <c r="Q158" s="775"/>
      <c r="R158" s="781"/>
      <c r="S158" s="845"/>
      <c r="T158" s="236"/>
      <c r="U158" s="783"/>
      <c r="V158" s="779">
        <f t="shared" ref="V158:V168" si="44">ROUND(T158*U158,0)</f>
        <v>0</v>
      </c>
      <c r="W158" s="779"/>
    </row>
    <row r="159" spans="1:23" ht="12" customHeight="1">
      <c r="A159" s="777" t="str">
        <f>IF(B159&lt;&gt;"",A158+1,"")</f>
        <v/>
      </c>
      <c r="B159" s="789"/>
      <c r="C159" s="778">
        <f>IF(ISNA(VLOOKUP(B159,NXT!$Q$61:$S$81,2,0)),0,VLOOKUP(B159,NXT!$Q$61:$S$81,2,0))</f>
        <v>0</v>
      </c>
      <c r="D159" s="630">
        <f>ROUND(C159*O159,0)</f>
        <v>0</v>
      </c>
      <c r="E159" s="630"/>
      <c r="F159" s="630"/>
      <c r="G159" s="779">
        <f>(D159+E159)*F159</f>
        <v>0</v>
      </c>
      <c r="H159" s="630">
        <f>IF($D$163&lt;&gt;0,H$163/($D$163+$E$163/5)*($D159+$E159/5),0)</f>
        <v>0</v>
      </c>
      <c r="I159" s="630">
        <f t="shared" si="43"/>
        <v>0</v>
      </c>
      <c r="J159" s="630">
        <f t="shared" si="43"/>
        <v>0</v>
      </c>
      <c r="K159" s="630">
        <f t="shared" si="43"/>
        <v>0</v>
      </c>
      <c r="L159" s="630"/>
      <c r="M159" s="630">
        <v>25840000</v>
      </c>
      <c r="N159" s="779">
        <f>ROUND(SUM(G159:L159),0)</f>
        <v>0</v>
      </c>
      <c r="O159" s="785"/>
      <c r="P159" s="630">
        <f>IF(N159&lt;&gt;0,N159/O159,0)</f>
        <v>0</v>
      </c>
      <c r="Q159" s="798"/>
      <c r="R159" s="786"/>
      <c r="S159" s="845"/>
      <c r="T159" s="236"/>
      <c r="U159" s="787"/>
      <c r="V159" s="779">
        <f t="shared" si="44"/>
        <v>0</v>
      </c>
      <c r="W159" s="795"/>
    </row>
    <row r="160" spans="1:23" ht="12" customHeight="1">
      <c r="A160" s="777" t="str">
        <f>IF(B160&lt;&gt;"",A159+1,"")</f>
        <v/>
      </c>
      <c r="B160" s="789"/>
      <c r="C160" s="778">
        <f>IF(ISNA(VLOOKUP(B160,NXT!$Q$61:$S$81,2,0)),0,VLOOKUP(B160,NXT!$Q$61:$S$81,2,0))</f>
        <v>0</v>
      </c>
      <c r="D160" s="630">
        <f>ROUND(C160*O160,0)</f>
        <v>0</v>
      </c>
      <c r="E160" s="630"/>
      <c r="F160" s="630"/>
      <c r="G160" s="779">
        <f>(D160+E160)*F160</f>
        <v>0</v>
      </c>
      <c r="H160" s="630">
        <f>IF($D$163&lt;&gt;0,H$163/($D$163+$E$163/5)*($D160+$E160/5),0)</f>
        <v>0</v>
      </c>
      <c r="I160" s="630">
        <f t="shared" si="43"/>
        <v>0</v>
      </c>
      <c r="J160" s="630">
        <f t="shared" si="43"/>
        <v>0</v>
      </c>
      <c r="K160" s="630">
        <f t="shared" si="43"/>
        <v>0</v>
      </c>
      <c r="L160" s="630"/>
      <c r="M160" s="630" t="e">
        <f>34560000/($O$68+#REF!+#REF!)*O160</f>
        <v>#REF!</v>
      </c>
      <c r="N160" s="779">
        <f>ROUND(SUM(G160:L160),0)</f>
        <v>0</v>
      </c>
      <c r="O160" s="785"/>
      <c r="P160" s="630">
        <f>IF(N160&lt;&gt;0,N160/O160,0)</f>
        <v>0</v>
      </c>
      <c r="Q160" s="798"/>
      <c r="R160" s="786"/>
      <c r="S160" s="845"/>
      <c r="T160" s="236"/>
      <c r="U160" s="787"/>
      <c r="V160" s="779">
        <f t="shared" si="44"/>
        <v>0</v>
      </c>
      <c r="W160" s="795"/>
    </row>
    <row r="161" spans="1:23" ht="12" customHeight="1">
      <c r="A161" s="777" t="str">
        <f>IF(B161&lt;&gt;"",A160+1,"")</f>
        <v/>
      </c>
      <c r="B161" s="789"/>
      <c r="C161" s="778">
        <f>IF(ISNA(VLOOKUP(B161,NXT!$Q$61:$S$81,2,0)),0,VLOOKUP(B161,NXT!$Q$61:$S$81,2,0))</f>
        <v>0</v>
      </c>
      <c r="D161" s="630">
        <f>ROUND(C161*O161,0)</f>
        <v>0</v>
      </c>
      <c r="E161" s="630"/>
      <c r="F161" s="630"/>
      <c r="G161" s="779">
        <f>(D161+E161)*F161</f>
        <v>0</v>
      </c>
      <c r="H161" s="630">
        <f>IF($D$163&lt;&gt;0,H$163/($D$163+$E$163/5)*($D161+$E161/5),0)</f>
        <v>0</v>
      </c>
      <c r="I161" s="630">
        <f t="shared" si="43"/>
        <v>0</v>
      </c>
      <c r="J161" s="630">
        <f t="shared" si="43"/>
        <v>0</v>
      </c>
      <c r="K161" s="630">
        <f t="shared" si="43"/>
        <v>0</v>
      </c>
      <c r="L161" s="630"/>
      <c r="M161" s="630" t="e">
        <f>34560000/($O$68+#REF!+#REF!)*O161</f>
        <v>#REF!</v>
      </c>
      <c r="N161" s="779">
        <f>ROUND(SUM(G161:L161),0)</f>
        <v>0</v>
      </c>
      <c r="O161" s="785"/>
      <c r="P161" s="630">
        <f>IF(N161&lt;&gt;0,N161/O161,0)</f>
        <v>0</v>
      </c>
      <c r="Q161" s="798"/>
      <c r="R161" s="786"/>
      <c r="S161" s="845"/>
      <c r="T161" s="236"/>
      <c r="U161" s="787"/>
      <c r="V161" s="779">
        <f t="shared" si="44"/>
        <v>0</v>
      </c>
      <c r="W161" s="795"/>
    </row>
    <row r="162" spans="1:23" ht="12" customHeight="1">
      <c r="A162" s="777" t="str">
        <f>IF(B162&lt;&gt;"",#REF!+1,"")</f>
        <v/>
      </c>
      <c r="B162" s="790"/>
      <c r="C162" s="778">
        <f>IF(ISNA(VLOOKUP(B162,NXT!$Q$61:$S$81,2,0)),0,VLOOKUP(B162,NXT!$Q$61:$S$81,2,0))</f>
        <v>0</v>
      </c>
      <c r="D162" s="793"/>
      <c r="E162" s="793"/>
      <c r="F162" s="793"/>
      <c r="G162" s="794"/>
      <c r="H162" s="839"/>
      <c r="I162" s="793"/>
      <c r="J162" s="795"/>
      <c r="K162" s="793"/>
      <c r="L162" s="796"/>
      <c r="M162" s="793"/>
      <c r="N162" s="827"/>
      <c r="O162" s="797"/>
      <c r="P162" s="793"/>
      <c r="Q162" s="798"/>
      <c r="R162" s="786"/>
      <c r="S162" s="845"/>
      <c r="T162" s="236"/>
      <c r="U162" s="236"/>
      <c r="V162" s="779">
        <f t="shared" si="44"/>
        <v>0</v>
      </c>
      <c r="W162" s="795"/>
    </row>
    <row r="163" spans="1:23" ht="12" customHeight="1">
      <c r="A163" s="800"/>
      <c r="B163" s="801" t="s">
        <v>550</v>
      </c>
      <c r="C163" s="802"/>
      <c r="D163" s="803">
        <f>SUM(D158:D161)</f>
        <v>0</v>
      </c>
      <c r="E163" s="803">
        <f>SUM(E158:E161)</f>
        <v>0</v>
      </c>
      <c r="F163" s="803"/>
      <c r="G163" s="803">
        <f>SUM(G158:G161)</f>
        <v>0</v>
      </c>
      <c r="H163" s="804"/>
      <c r="I163" s="804">
        <f>V170</f>
        <v>0</v>
      </c>
      <c r="J163" s="804"/>
      <c r="K163" s="804">
        <v>57138842</v>
      </c>
      <c r="L163" s="803">
        <f>ROUND(SUM(L158:L162),0)</f>
        <v>0</v>
      </c>
      <c r="M163" s="803" t="e">
        <f>ROUND(SUM(M158:M162),0)</f>
        <v>#REF!</v>
      </c>
      <c r="N163" s="803">
        <f>ROUND(SUM(N158:N162),0)</f>
        <v>0</v>
      </c>
      <c r="O163" s="803">
        <f>ROUND(SUM(O158:O162),0)</f>
        <v>0</v>
      </c>
      <c r="P163" s="803"/>
      <c r="Q163" s="798"/>
      <c r="R163" s="786"/>
      <c r="S163" s="845"/>
      <c r="T163" s="236"/>
      <c r="U163" s="787"/>
      <c r="V163" s="779">
        <f t="shared" si="44"/>
        <v>0</v>
      </c>
      <c r="W163" s="795"/>
    </row>
    <row r="164" spans="1:23" ht="12" customHeight="1">
      <c r="Q164" s="798"/>
      <c r="R164" s="786"/>
      <c r="S164" s="845"/>
      <c r="T164" s="236"/>
      <c r="U164" s="809"/>
      <c r="V164" s="779">
        <f t="shared" si="44"/>
        <v>0</v>
      </c>
      <c r="W164" s="795"/>
    </row>
    <row r="165" spans="1:23" ht="12" customHeight="1">
      <c r="Q165" s="798"/>
      <c r="R165" s="786"/>
      <c r="S165" s="782"/>
      <c r="T165" s="809"/>
      <c r="U165" s="787"/>
      <c r="V165" s="779">
        <f t="shared" si="44"/>
        <v>0</v>
      </c>
      <c r="W165" s="795"/>
    </row>
    <row r="166" spans="1:23" ht="12" customHeight="1">
      <c r="Q166" s="798"/>
      <c r="R166" s="848"/>
      <c r="S166" s="782"/>
      <c r="T166" s="809"/>
      <c r="U166" s="787"/>
      <c r="V166" s="779">
        <f t="shared" si="44"/>
        <v>0</v>
      </c>
      <c r="W166" s="795"/>
    </row>
    <row r="167" spans="1:23" ht="12" customHeight="1">
      <c r="Q167" s="798"/>
      <c r="R167" s="786"/>
      <c r="S167" s="782"/>
      <c r="T167" s="236"/>
      <c r="U167" s="236"/>
      <c r="V167" s="779">
        <f t="shared" si="44"/>
        <v>0</v>
      </c>
      <c r="W167" s="795"/>
    </row>
    <row r="168" spans="1:23" ht="12" customHeight="1">
      <c r="Q168" s="798"/>
      <c r="R168" s="520"/>
      <c r="S168" s="782"/>
      <c r="T168" s="236"/>
      <c r="U168" s="236"/>
      <c r="V168" s="779">
        <f t="shared" si="44"/>
        <v>0</v>
      </c>
      <c r="W168" s="795"/>
    </row>
    <row r="169" spans="1:23" s="799" customFormat="1" ht="12" customHeight="1">
      <c r="A169" s="750"/>
      <c r="B169" s="750"/>
      <c r="C169" s="750"/>
      <c r="D169" s="750"/>
      <c r="E169" s="750"/>
      <c r="F169" s="750"/>
      <c r="G169" s="750"/>
      <c r="H169" s="750"/>
      <c r="I169" s="750"/>
      <c r="J169" s="750"/>
      <c r="K169" s="750"/>
      <c r="L169" s="750"/>
      <c r="M169" s="750"/>
      <c r="N169" s="750"/>
      <c r="O169" s="750"/>
      <c r="P169" s="750"/>
      <c r="Q169" s="798"/>
      <c r="R169" s="786"/>
      <c r="S169" s="782"/>
      <c r="T169" s="236"/>
      <c r="U169" s="236"/>
      <c r="V169" s="779"/>
      <c r="W169" s="795"/>
    </row>
    <row r="170" spans="1:23" s="754" customFormat="1" ht="12" customHeight="1">
      <c r="A170" s="750"/>
      <c r="B170" s="750"/>
      <c r="C170" s="750"/>
      <c r="D170" s="750"/>
      <c r="E170" s="750"/>
      <c r="F170" s="750"/>
      <c r="G170" s="750"/>
      <c r="H170" s="750"/>
      <c r="I170" s="750"/>
      <c r="J170" s="750"/>
      <c r="K170" s="750"/>
      <c r="L170" s="750"/>
      <c r="M170" s="750"/>
      <c r="N170" s="750"/>
      <c r="O170" s="750"/>
      <c r="P170" s="750"/>
      <c r="Q170" s="798"/>
      <c r="R170" s="832"/>
      <c r="S170" s="833"/>
      <c r="T170" s="834"/>
      <c r="U170" s="850"/>
      <c r="V170" s="813">
        <f>SUM(V158:V169)</f>
        <v>0</v>
      </c>
      <c r="W170" s="813">
        <f>SUM(W158:W169)</f>
        <v>0</v>
      </c>
    </row>
    <row r="171" spans="1:23" ht="12" customHeight="1">
      <c r="R171" s="786"/>
      <c r="S171" s="845"/>
      <c r="T171" s="787"/>
      <c r="U171" s="787"/>
      <c r="V171" s="779">
        <f t="shared" ref="V171:V178" si="45">ROUND(T171*U171,0)</f>
        <v>0</v>
      </c>
      <c r="W171" s="795"/>
    </row>
    <row r="172" spans="1:23" ht="12" customHeight="1">
      <c r="R172" s="835"/>
      <c r="S172" s="845"/>
      <c r="T172" s="236"/>
      <c r="U172" s="236"/>
      <c r="V172" s="779">
        <f t="shared" si="45"/>
        <v>0</v>
      </c>
      <c r="W172" s="779"/>
    </row>
    <row r="173" spans="1:23" ht="12" customHeight="1">
      <c r="R173" s="786"/>
      <c r="S173" s="782"/>
      <c r="T173" s="787"/>
      <c r="U173" s="787"/>
      <c r="V173" s="779">
        <f t="shared" si="45"/>
        <v>0</v>
      </c>
      <c r="W173" s="795"/>
    </row>
    <row r="174" spans="1:23" ht="12" customHeight="1">
      <c r="R174" s="786"/>
      <c r="S174" s="782"/>
      <c r="T174" s="787"/>
      <c r="U174" s="787"/>
      <c r="V174" s="779">
        <f t="shared" si="45"/>
        <v>0</v>
      </c>
      <c r="W174" s="795"/>
    </row>
    <row r="175" spans="1:23" ht="12" customHeight="1">
      <c r="R175" s="809"/>
      <c r="S175" s="782"/>
      <c r="T175" s="787"/>
      <c r="U175" s="787"/>
      <c r="V175" s="779">
        <f t="shared" si="45"/>
        <v>0</v>
      </c>
      <c r="W175" s="795"/>
    </row>
    <row r="176" spans="1:23" ht="12" customHeight="1">
      <c r="R176" s="809"/>
      <c r="S176" s="782"/>
      <c r="T176" s="787"/>
      <c r="U176" s="787"/>
      <c r="V176" s="779">
        <f t="shared" si="45"/>
        <v>0</v>
      </c>
      <c r="W176" s="795"/>
    </row>
    <row r="177" spans="1:23" ht="12" customHeight="1">
      <c r="R177" s="809"/>
      <c r="S177" s="782"/>
      <c r="T177" s="787"/>
      <c r="U177" s="787"/>
      <c r="V177" s="779">
        <f t="shared" si="45"/>
        <v>0</v>
      </c>
      <c r="W177" s="795"/>
    </row>
    <row r="178" spans="1:23" ht="12" customHeight="1">
      <c r="R178" s="809"/>
      <c r="S178" s="782"/>
      <c r="T178" s="787"/>
      <c r="U178" s="787"/>
      <c r="V178" s="779">
        <f t="shared" si="45"/>
        <v>0</v>
      </c>
      <c r="W178" s="795"/>
    </row>
    <row r="179" spans="1:23">
      <c r="R179" s="753"/>
      <c r="S179" s="760"/>
    </row>
    <row r="180" spans="1:23" ht="20.25" customHeight="1">
      <c r="A180" s="754" t="s">
        <v>533</v>
      </c>
      <c r="B180" s="754"/>
      <c r="C180" s="755"/>
      <c r="D180" s="756"/>
      <c r="E180" s="756"/>
      <c r="F180" s="756"/>
      <c r="G180" s="753"/>
      <c r="H180" s="753"/>
      <c r="I180" s="753"/>
      <c r="J180" s="753"/>
      <c r="K180" s="753"/>
      <c r="L180" s="757"/>
      <c r="M180" s="753"/>
      <c r="N180" s="753"/>
      <c r="O180" s="758"/>
      <c r="P180" s="753"/>
      <c r="R180" s="753"/>
      <c r="S180" s="760"/>
    </row>
    <row r="181" spans="1:23" ht="20.25" customHeight="1">
      <c r="A181" s="761" t="s">
        <v>558</v>
      </c>
      <c r="B181" s="761"/>
      <c r="C181" s="761"/>
      <c r="D181" s="761"/>
      <c r="E181" s="761"/>
      <c r="F181" s="761"/>
      <c r="G181" s="761"/>
      <c r="H181" s="761"/>
      <c r="I181" s="761"/>
      <c r="J181" s="761"/>
      <c r="K181" s="761"/>
      <c r="L181" s="761"/>
      <c r="M181" s="761"/>
      <c r="N181" s="761"/>
      <c r="O181" s="761"/>
      <c r="P181" s="761"/>
      <c r="Q181" s="759"/>
      <c r="R181" s="753"/>
      <c r="S181" s="760"/>
    </row>
    <row r="182" spans="1:23" ht="12" customHeight="1">
      <c r="A182" s="762"/>
      <c r="B182" s="762"/>
      <c r="C182" s="763"/>
      <c r="D182" s="762"/>
      <c r="E182" s="762"/>
      <c r="F182" s="762"/>
      <c r="G182" s="762"/>
      <c r="H182" s="762"/>
      <c r="I182" s="762"/>
      <c r="J182" s="762"/>
      <c r="K182" s="762"/>
      <c r="L182" s="761"/>
      <c r="M182" s="762"/>
      <c r="N182" s="762"/>
      <c r="O182" s="764"/>
      <c r="P182" s="762"/>
      <c r="Q182" s="759"/>
      <c r="R182" s="753"/>
      <c r="S182" s="760"/>
    </row>
    <row r="183" spans="1:23" ht="12" customHeight="1">
      <c r="A183" s="765"/>
      <c r="B183" s="765"/>
      <c r="C183" s="766"/>
      <c r="D183" s="765"/>
      <c r="E183" s="765"/>
      <c r="F183" s="765"/>
      <c r="G183" s="765"/>
      <c r="H183" s="765"/>
      <c r="I183" s="765"/>
      <c r="J183" s="765"/>
      <c r="K183" s="765"/>
      <c r="L183" s="765"/>
      <c r="M183" s="765"/>
      <c r="N183" s="765"/>
      <c r="O183" s="767"/>
      <c r="P183" s="765"/>
      <c r="Q183" s="759"/>
      <c r="R183" s="753"/>
      <c r="S183" s="760"/>
    </row>
    <row r="184" spans="1:23" ht="36.75" customHeight="1">
      <c r="A184" s="770" t="s">
        <v>37</v>
      </c>
      <c r="B184" s="770" t="s">
        <v>535</v>
      </c>
      <c r="C184" s="771" t="s">
        <v>536</v>
      </c>
      <c r="D184" s="772" t="s">
        <v>537</v>
      </c>
      <c r="E184" s="772" t="s">
        <v>538</v>
      </c>
      <c r="F184" s="772" t="s">
        <v>539</v>
      </c>
      <c r="G184" s="772" t="s">
        <v>540</v>
      </c>
      <c r="H184" s="772" t="s">
        <v>541</v>
      </c>
      <c r="I184" s="772" t="s">
        <v>542</v>
      </c>
      <c r="J184" s="772" t="s">
        <v>543</v>
      </c>
      <c r="K184" s="773" t="s">
        <v>544</v>
      </c>
      <c r="L184" s="772" t="s">
        <v>545</v>
      </c>
      <c r="M184" s="773" t="s">
        <v>546</v>
      </c>
      <c r="N184" s="772" t="s">
        <v>547</v>
      </c>
      <c r="O184" s="774" t="s">
        <v>538</v>
      </c>
      <c r="P184" s="772" t="s">
        <v>548</v>
      </c>
      <c r="Q184" s="759"/>
      <c r="R184" s="770" t="s">
        <v>535</v>
      </c>
      <c r="S184" s="772" t="s">
        <v>502</v>
      </c>
      <c r="T184" s="772" t="s">
        <v>338</v>
      </c>
      <c r="U184" s="772" t="s">
        <v>539</v>
      </c>
      <c r="V184" s="772" t="s">
        <v>549</v>
      </c>
      <c r="W184" s="770" t="s">
        <v>549</v>
      </c>
    </row>
    <row r="185" spans="1:23" s="776" customFormat="1" ht="13.5" customHeight="1">
      <c r="A185" s="777" t="str">
        <f>IF(B185&lt;&gt;"",ROW()-(ROW()-1),"")</f>
        <v/>
      </c>
      <c r="B185" s="789"/>
      <c r="C185" s="778">
        <f>IF(ISNA(VLOOKUP(B185,NXT!$Q$61:$S$81,2,0)),0,VLOOKUP(B185,NXT!$Q$61:$S$81,2,0))</f>
        <v>0</v>
      </c>
      <c r="D185" s="630">
        <f>ROUND(C185*O185,0)</f>
        <v>0</v>
      </c>
      <c r="E185" s="630"/>
      <c r="F185" s="630"/>
      <c r="G185" s="779">
        <f>(D185+E185)*F185</f>
        <v>0</v>
      </c>
      <c r="H185" s="630">
        <f>IF($E$191&lt;&gt;0,H$191/($D$191+$E$191/5)*($D185+$E185/5),0)</f>
        <v>0</v>
      </c>
      <c r="I185" s="630">
        <f t="shared" ref="I185:K189" si="46">IF($D$191&lt;&gt;0,I$191/$D$191*$D185,0)</f>
        <v>0</v>
      </c>
      <c r="J185" s="630">
        <f t="shared" si="46"/>
        <v>0</v>
      </c>
      <c r="K185" s="630">
        <f t="shared" si="46"/>
        <v>0</v>
      </c>
      <c r="L185" s="779"/>
      <c r="M185" s="630" t="e">
        <f>34560000/($O$68+#REF!+#REF!)*O185</f>
        <v>#REF!</v>
      </c>
      <c r="N185" s="779">
        <f>ROUND(SUM(G185:L185),0)</f>
        <v>0</v>
      </c>
      <c r="O185" s="630"/>
      <c r="P185" s="630">
        <f>IF(N185&lt;&gt;0,N185/O185,0)</f>
        <v>0</v>
      </c>
      <c r="Q185" s="775"/>
      <c r="R185" s="781"/>
      <c r="S185" s="845"/>
      <c r="T185" s="236"/>
      <c r="U185" s="236"/>
      <c r="V185" s="779">
        <f t="shared" ref="V185:V194" si="47">ROUND(T185*U185,0)</f>
        <v>0</v>
      </c>
      <c r="W185" s="779"/>
    </row>
    <row r="186" spans="1:23" ht="13.5" customHeight="1">
      <c r="A186" s="777" t="str">
        <f>IF(B186&lt;&gt;"",A185+1,"")</f>
        <v/>
      </c>
      <c r="B186" s="789"/>
      <c r="C186" s="778">
        <f>IF(ISNA(VLOOKUP(B186,NXT!$Q$61:$S$81,2,0)),0,VLOOKUP(B186,NXT!$Q$61:$S$81,2,0))</f>
        <v>0</v>
      </c>
      <c r="D186" s="630">
        <f>ROUND(C186*O186,0)</f>
        <v>0</v>
      </c>
      <c r="E186" s="630"/>
      <c r="F186" s="630"/>
      <c r="G186" s="779">
        <f>(D186+E186)*F186</f>
        <v>0</v>
      </c>
      <c r="H186" s="630">
        <f>IF($E$191&lt;&gt;0,H$191/($D$191+$E$191/5)*($D186+$E186/5),0)</f>
        <v>0</v>
      </c>
      <c r="I186" s="630">
        <f t="shared" si="46"/>
        <v>0</v>
      </c>
      <c r="J186" s="630">
        <f t="shared" si="46"/>
        <v>0</v>
      </c>
      <c r="K186" s="630">
        <f t="shared" si="46"/>
        <v>0</v>
      </c>
      <c r="L186" s="779"/>
      <c r="M186" s="630"/>
      <c r="N186" s="779">
        <f>ROUND(SUM(G186:L186),0)</f>
        <v>0</v>
      </c>
      <c r="O186" s="630"/>
      <c r="P186" s="630">
        <f>IF(N186&lt;&gt;0,N186/O186,0)</f>
        <v>0</v>
      </c>
      <c r="Q186" s="798"/>
      <c r="R186" s="786"/>
      <c r="S186" s="845"/>
      <c r="T186" s="236"/>
      <c r="U186" s="236"/>
      <c r="V186" s="779">
        <f t="shared" si="47"/>
        <v>0</v>
      </c>
      <c r="W186" s="795"/>
    </row>
    <row r="187" spans="1:23" ht="13.5" customHeight="1">
      <c r="A187" s="777" t="str">
        <f>IF(B187&lt;&gt;"",A186+1,"")</f>
        <v/>
      </c>
      <c r="B187" s="789"/>
      <c r="C187" s="778">
        <f>IF(ISNA(VLOOKUP(B187,NXT!$Q$61:$S$81,2,0)),0,VLOOKUP(B187,NXT!$Q$61:$S$81,2,0))</f>
        <v>0</v>
      </c>
      <c r="D187" s="630">
        <f>ROUND(C187*O187,0)</f>
        <v>0</v>
      </c>
      <c r="E187" s="630"/>
      <c r="F187" s="630"/>
      <c r="G187" s="779">
        <f>(D187+E187)*F187</f>
        <v>0</v>
      </c>
      <c r="H187" s="630">
        <f>IF($E$191&lt;&gt;0,H$191/($D$191+$E$191/5)*($D187+$E187/5),0)</f>
        <v>0</v>
      </c>
      <c r="I187" s="630">
        <f t="shared" si="46"/>
        <v>0</v>
      </c>
      <c r="J187" s="630">
        <f t="shared" si="46"/>
        <v>0</v>
      </c>
      <c r="K187" s="630">
        <f t="shared" si="46"/>
        <v>0</v>
      </c>
      <c r="L187" s="779"/>
      <c r="M187" s="630"/>
      <c r="N187" s="779">
        <f>ROUND(SUM(G187:L187),0)</f>
        <v>0</v>
      </c>
      <c r="O187" s="785"/>
      <c r="P187" s="630">
        <f>IF(N187&lt;&gt;0,N187/O187,0)</f>
        <v>0</v>
      </c>
      <c r="Q187" s="798"/>
      <c r="R187" s="786"/>
      <c r="S187" s="845"/>
      <c r="T187" s="236"/>
      <c r="U187" s="236"/>
      <c r="V187" s="779">
        <f t="shared" si="47"/>
        <v>0</v>
      </c>
      <c r="W187" s="795"/>
    </row>
    <row r="188" spans="1:23">
      <c r="A188" s="777" t="str">
        <f>IF(B188&lt;&gt;"",A187+1,"")</f>
        <v/>
      </c>
      <c r="B188" s="789"/>
      <c r="C188" s="778">
        <f>IF(ISNA(VLOOKUP(B188,NXT!$Q$61:$S$81,2,0)),0,VLOOKUP(B188,NXT!$Q$61:$S$81,2,0))</f>
        <v>0</v>
      </c>
      <c r="D188" s="630">
        <f>ROUND(C188*O188,0)</f>
        <v>0</v>
      </c>
      <c r="E188" s="630"/>
      <c r="F188" s="630"/>
      <c r="G188" s="779">
        <f>(D188+E188)*F188</f>
        <v>0</v>
      </c>
      <c r="H188" s="630">
        <f>IF($E$191&lt;&gt;0,H$191/($D$191+$E$191/5)*($D188+$E188/5),0)</f>
        <v>0</v>
      </c>
      <c r="I188" s="630">
        <f t="shared" si="46"/>
        <v>0</v>
      </c>
      <c r="J188" s="630">
        <f t="shared" si="46"/>
        <v>0</v>
      </c>
      <c r="K188" s="630">
        <f t="shared" si="46"/>
        <v>0</v>
      </c>
      <c r="L188" s="779"/>
      <c r="M188" s="630"/>
      <c r="N188" s="779">
        <f>ROUND(SUM(G188:L188),0)</f>
        <v>0</v>
      </c>
      <c r="O188" s="785"/>
      <c r="P188" s="630">
        <f>IF(N188&lt;&gt;0,N188/O188,0)</f>
        <v>0</v>
      </c>
      <c r="Q188" s="798"/>
      <c r="R188" s="786"/>
      <c r="S188" s="845"/>
      <c r="T188" s="236"/>
      <c r="U188" s="236"/>
      <c r="V188" s="779">
        <f t="shared" si="47"/>
        <v>0</v>
      </c>
      <c r="W188" s="795"/>
    </row>
    <row r="189" spans="1:23">
      <c r="A189" s="777" t="str">
        <f>IF(B189&lt;&gt;"",A188+1,"")</f>
        <v/>
      </c>
      <c r="B189" s="789"/>
      <c r="C189" s="778">
        <f>IF(ISNA(VLOOKUP(B189,NXT!$Q$61:$S$81,2,0)),0,VLOOKUP(B189,NXT!$Q$61:$S$81,2,0))</f>
        <v>0</v>
      </c>
      <c r="D189" s="630">
        <f>ROUND(C189*O189,0)</f>
        <v>0</v>
      </c>
      <c r="E189" s="630"/>
      <c r="F189" s="630"/>
      <c r="G189" s="779">
        <f>(D189+E189)*F189</f>
        <v>0</v>
      </c>
      <c r="H189" s="630">
        <f>IF($E$191&lt;&gt;0,H$191/($D$191+$E$191/5)*($D189+$E189/5),0)</f>
        <v>0</v>
      </c>
      <c r="I189" s="630">
        <f t="shared" si="46"/>
        <v>0</v>
      </c>
      <c r="J189" s="630">
        <f t="shared" si="46"/>
        <v>0</v>
      </c>
      <c r="K189" s="630">
        <f t="shared" si="46"/>
        <v>0</v>
      </c>
      <c r="L189" s="630"/>
      <c r="M189" s="630"/>
      <c r="N189" s="779">
        <f>ROUND(SUM(G189:L189),0)</f>
        <v>0</v>
      </c>
      <c r="O189" s="785"/>
      <c r="P189" s="630">
        <f>IF(N189&lt;&gt;0,N189/O189,0)</f>
        <v>0</v>
      </c>
      <c r="Q189" s="798"/>
      <c r="R189" s="786"/>
      <c r="S189" s="845"/>
      <c r="T189" s="236"/>
      <c r="U189" s="236"/>
      <c r="V189" s="779">
        <f t="shared" si="47"/>
        <v>0</v>
      </c>
      <c r="W189" s="795"/>
    </row>
    <row r="190" spans="1:23">
      <c r="A190" s="777" t="str">
        <f>IF(B190&lt;&gt;"",#REF!+1,"")</f>
        <v/>
      </c>
      <c r="B190" s="790"/>
      <c r="C190" s="791"/>
      <c r="D190" s="793"/>
      <c r="E190" s="793"/>
      <c r="F190" s="793"/>
      <c r="G190" s="794"/>
      <c r="H190" s="839"/>
      <c r="I190" s="793"/>
      <c r="J190" s="795"/>
      <c r="K190" s="793"/>
      <c r="L190" s="796"/>
      <c r="M190" s="793"/>
      <c r="N190" s="827"/>
      <c r="O190" s="797"/>
      <c r="P190" s="793"/>
      <c r="Q190" s="798"/>
      <c r="R190" s="786"/>
      <c r="S190" s="845"/>
      <c r="T190" s="236"/>
      <c r="U190" s="236"/>
      <c r="V190" s="779">
        <f t="shared" si="47"/>
        <v>0</v>
      </c>
      <c r="W190" s="795"/>
    </row>
    <row r="191" spans="1:23">
      <c r="A191" s="800"/>
      <c r="B191" s="801" t="s">
        <v>550</v>
      </c>
      <c r="C191" s="802"/>
      <c r="D191" s="803">
        <f>SUM(D185:D189)</f>
        <v>0</v>
      </c>
      <c r="E191" s="803">
        <f>SUM(E185:E189)</f>
        <v>0</v>
      </c>
      <c r="F191" s="803"/>
      <c r="G191" s="803">
        <f>SUM(G185:G189)</f>
        <v>0</v>
      </c>
      <c r="H191" s="804"/>
      <c r="I191" s="804">
        <f>V196</f>
        <v>0</v>
      </c>
      <c r="J191" s="804"/>
      <c r="K191" s="804">
        <v>57138842</v>
      </c>
      <c r="L191" s="803">
        <f>ROUND(SUM(L185:L190),0)</f>
        <v>0</v>
      </c>
      <c r="M191" s="803" t="e">
        <f>ROUND(SUM(M185:M190),0)</f>
        <v>#REF!</v>
      </c>
      <c r="N191" s="803">
        <f>ROUND(SUM(N185:N190),0)</f>
        <v>0</v>
      </c>
      <c r="O191" s="803">
        <f>ROUND(SUM(O185:O190),0)</f>
        <v>0</v>
      </c>
      <c r="P191" s="803"/>
      <c r="Q191" s="798"/>
      <c r="R191" s="786"/>
      <c r="S191" s="845"/>
      <c r="T191" s="236"/>
      <c r="U191" s="236"/>
      <c r="V191" s="779">
        <f t="shared" si="47"/>
        <v>0</v>
      </c>
      <c r="W191" s="795"/>
    </row>
    <row r="192" spans="1:23">
      <c r="Q192" s="798"/>
      <c r="R192" s="786"/>
      <c r="S192" s="845"/>
      <c r="T192" s="809"/>
      <c r="U192" s="787"/>
      <c r="V192" s="779">
        <f t="shared" si="47"/>
        <v>0</v>
      </c>
      <c r="W192" s="795"/>
    </row>
    <row r="193" spans="1:23">
      <c r="Q193" s="798"/>
      <c r="R193" s="848"/>
      <c r="S193" s="845"/>
      <c r="T193" s="809"/>
      <c r="U193" s="787"/>
      <c r="V193" s="779">
        <f t="shared" si="47"/>
        <v>0</v>
      </c>
      <c r="W193" s="795"/>
    </row>
    <row r="194" spans="1:23">
      <c r="Q194" s="798"/>
      <c r="R194" s="520"/>
      <c r="S194" s="845"/>
      <c r="T194" s="236"/>
      <c r="U194" s="236"/>
      <c r="V194" s="779">
        <f t="shared" si="47"/>
        <v>0</v>
      </c>
      <c r="W194" s="795"/>
    </row>
    <row r="195" spans="1:23" s="799" customFormat="1">
      <c r="A195" s="750"/>
      <c r="B195" s="750"/>
      <c r="C195" s="750"/>
      <c r="D195" s="750"/>
      <c r="E195" s="750"/>
      <c r="F195" s="750"/>
      <c r="G195" s="750"/>
      <c r="H195" s="750"/>
      <c r="I195" s="750"/>
      <c r="J195" s="750"/>
      <c r="K195" s="750"/>
      <c r="L195" s="750"/>
      <c r="M195" s="750"/>
      <c r="N195" s="750"/>
      <c r="O195" s="750"/>
      <c r="P195" s="750"/>
      <c r="Q195" s="798"/>
      <c r="R195" s="786"/>
      <c r="S195" s="782"/>
      <c r="T195" s="236"/>
      <c r="U195" s="236"/>
      <c r="V195" s="779"/>
      <c r="W195" s="795"/>
    </row>
    <row r="196" spans="1:23" s="754" customFormat="1">
      <c r="A196" s="750"/>
      <c r="B196" s="750"/>
      <c r="C196" s="750"/>
      <c r="D196" s="750"/>
      <c r="E196" s="750"/>
      <c r="F196" s="750"/>
      <c r="G196" s="750"/>
      <c r="H196" s="750"/>
      <c r="I196" s="750"/>
      <c r="J196" s="750"/>
      <c r="K196" s="750"/>
      <c r="L196" s="750"/>
      <c r="M196" s="750"/>
      <c r="N196" s="750"/>
      <c r="O196" s="750"/>
      <c r="P196" s="750"/>
      <c r="Q196" s="798"/>
      <c r="R196" s="832"/>
      <c r="S196" s="833"/>
      <c r="T196" s="834"/>
      <c r="U196" s="850"/>
      <c r="V196" s="813">
        <f>SUM(V185:V195)</f>
        <v>0</v>
      </c>
      <c r="W196" s="813">
        <f>SUM(W185:W195)</f>
        <v>0</v>
      </c>
    </row>
    <row r="197" spans="1:23">
      <c r="R197" s="835"/>
      <c r="S197" s="845"/>
      <c r="T197" s="236"/>
      <c r="U197" s="236"/>
      <c r="V197" s="779">
        <f t="shared" ref="V197:V204" si="48">ROUND(T197*U197,0)</f>
        <v>0</v>
      </c>
      <c r="W197" s="779"/>
    </row>
    <row r="198" spans="1:23">
      <c r="R198" s="835"/>
      <c r="S198" s="845"/>
      <c r="T198" s="787"/>
      <c r="U198" s="787"/>
      <c r="V198" s="779">
        <f t="shared" si="48"/>
        <v>0</v>
      </c>
      <c r="W198" s="795"/>
    </row>
    <row r="199" spans="1:23">
      <c r="R199" s="786"/>
      <c r="S199" s="845"/>
      <c r="T199" s="787"/>
      <c r="U199" s="787"/>
      <c r="V199" s="779">
        <f t="shared" si="48"/>
        <v>0</v>
      </c>
      <c r="W199" s="795"/>
    </row>
    <row r="200" spans="1:23">
      <c r="R200" s="809"/>
      <c r="S200" s="845"/>
      <c r="T200" s="787"/>
      <c r="U200" s="787"/>
      <c r="V200" s="779">
        <f t="shared" si="48"/>
        <v>0</v>
      </c>
      <c r="W200" s="795"/>
    </row>
    <row r="201" spans="1:23">
      <c r="R201" s="786"/>
      <c r="S201" s="782"/>
      <c r="T201" s="787"/>
      <c r="U201" s="787"/>
      <c r="V201" s="779">
        <f t="shared" si="48"/>
        <v>0</v>
      </c>
      <c r="W201" s="795"/>
    </row>
    <row r="202" spans="1:23">
      <c r="R202" s="786"/>
      <c r="S202" s="782"/>
      <c r="T202" s="787"/>
      <c r="U202" s="787"/>
      <c r="V202" s="779">
        <f t="shared" si="48"/>
        <v>0</v>
      </c>
      <c r="W202" s="795"/>
    </row>
    <row r="203" spans="1:23">
      <c r="R203" s="809"/>
      <c r="S203" s="782"/>
      <c r="T203" s="787"/>
      <c r="U203" s="787"/>
      <c r="V203" s="779">
        <f t="shared" si="48"/>
        <v>0</v>
      </c>
      <c r="W203" s="795"/>
    </row>
    <row r="204" spans="1:23">
      <c r="R204" s="809"/>
      <c r="S204" s="782"/>
      <c r="T204" s="787"/>
      <c r="U204" s="787"/>
      <c r="V204" s="779">
        <f t="shared" si="48"/>
        <v>0</v>
      </c>
      <c r="W204" s="795"/>
    </row>
    <row r="205" spans="1:23">
      <c r="A205" s="762"/>
      <c r="B205" s="762"/>
      <c r="C205" s="763"/>
      <c r="D205" s="762"/>
      <c r="E205" s="762"/>
      <c r="F205" s="762"/>
      <c r="G205" s="762"/>
      <c r="H205" s="762"/>
      <c r="I205" s="762"/>
      <c r="J205" s="762"/>
      <c r="K205" s="762"/>
      <c r="L205" s="761"/>
      <c r="M205" s="762"/>
      <c r="N205" s="762"/>
      <c r="O205" s="764"/>
      <c r="P205" s="762"/>
      <c r="R205" s="753"/>
      <c r="S205" s="760"/>
    </row>
    <row r="206" spans="1:23" ht="18.75" customHeight="1">
      <c r="A206" s="769"/>
      <c r="B206" s="769"/>
      <c r="C206" s="853"/>
      <c r="D206" s="769"/>
      <c r="E206" s="769"/>
      <c r="F206" s="769"/>
      <c r="G206" s="769"/>
      <c r="H206" s="769"/>
      <c r="I206" s="769"/>
      <c r="J206" s="769"/>
      <c r="K206" s="769"/>
      <c r="L206" s="769"/>
      <c r="M206" s="769"/>
      <c r="N206" s="769"/>
      <c r="O206" s="821"/>
      <c r="P206" s="769"/>
      <c r="Q206" s="759"/>
      <c r="R206" s="753"/>
      <c r="S206" s="760"/>
    </row>
    <row r="207" spans="1:23" ht="20.25" customHeight="1">
      <c r="A207" s="754" t="s">
        <v>533</v>
      </c>
      <c r="B207" s="754"/>
      <c r="C207" s="755"/>
      <c r="D207" s="756"/>
      <c r="E207" s="756"/>
      <c r="F207" s="756"/>
      <c r="G207" s="753"/>
      <c r="H207" s="753"/>
      <c r="I207" s="753"/>
      <c r="J207" s="753"/>
      <c r="K207" s="753"/>
      <c r="L207" s="757"/>
      <c r="M207" s="753"/>
      <c r="N207" s="753"/>
      <c r="O207" s="758"/>
      <c r="P207" s="753"/>
      <c r="Q207" s="759"/>
      <c r="R207" s="753"/>
      <c r="S207" s="760"/>
    </row>
    <row r="208" spans="1:23" ht="20.25" customHeight="1">
      <c r="A208" s="761" t="s">
        <v>559</v>
      </c>
      <c r="B208" s="761"/>
      <c r="C208" s="761"/>
      <c r="D208" s="761"/>
      <c r="E208" s="761"/>
      <c r="F208" s="761"/>
      <c r="G208" s="761"/>
      <c r="H208" s="761"/>
      <c r="I208" s="761"/>
      <c r="J208" s="761"/>
      <c r="K208" s="761"/>
      <c r="L208" s="761"/>
      <c r="M208" s="761"/>
      <c r="N208" s="761"/>
      <c r="O208" s="761"/>
      <c r="P208" s="761"/>
      <c r="Q208" s="759"/>
      <c r="R208" s="753"/>
      <c r="S208" s="760"/>
    </row>
    <row r="209" spans="1:23" ht="12" customHeight="1">
      <c r="A209" s="762"/>
      <c r="B209" s="762"/>
      <c r="C209" s="763"/>
      <c r="D209" s="762"/>
      <c r="E209" s="762"/>
      <c r="F209" s="762"/>
      <c r="G209" s="762"/>
      <c r="H209" s="762"/>
      <c r="I209" s="762"/>
      <c r="J209" s="762"/>
      <c r="K209" s="762"/>
      <c r="L209" s="761"/>
      <c r="M209" s="762"/>
      <c r="N209" s="762"/>
      <c r="O209" s="764"/>
      <c r="P209" s="762"/>
      <c r="Q209" s="759"/>
      <c r="R209" s="753"/>
      <c r="S209" s="760"/>
    </row>
    <row r="210" spans="1:23" ht="12" customHeight="1">
      <c r="A210" s="765"/>
      <c r="B210" s="765"/>
      <c r="C210" s="766"/>
      <c r="D210" s="765"/>
      <c r="E210" s="765"/>
      <c r="F210" s="765"/>
      <c r="G210" s="765"/>
      <c r="H210" s="765"/>
      <c r="I210" s="765"/>
      <c r="J210" s="765"/>
      <c r="K210" s="765"/>
      <c r="L210" s="765"/>
      <c r="M210" s="765"/>
      <c r="N210" s="765"/>
      <c r="O210" s="767"/>
      <c r="P210" s="765"/>
      <c r="Q210" s="759"/>
      <c r="R210" s="753"/>
      <c r="S210" s="760"/>
    </row>
    <row r="211" spans="1:23" ht="36.75" customHeight="1">
      <c r="A211" s="770" t="s">
        <v>37</v>
      </c>
      <c r="B211" s="770" t="s">
        <v>535</v>
      </c>
      <c r="C211" s="771" t="s">
        <v>536</v>
      </c>
      <c r="D211" s="772" t="s">
        <v>537</v>
      </c>
      <c r="E211" s="772" t="s">
        <v>538</v>
      </c>
      <c r="F211" s="772" t="s">
        <v>539</v>
      </c>
      <c r="G211" s="772" t="s">
        <v>540</v>
      </c>
      <c r="H211" s="772" t="s">
        <v>541</v>
      </c>
      <c r="I211" s="772" t="s">
        <v>542</v>
      </c>
      <c r="J211" s="772" t="s">
        <v>543</v>
      </c>
      <c r="K211" s="773" t="s">
        <v>544</v>
      </c>
      <c r="L211" s="772" t="s">
        <v>545</v>
      </c>
      <c r="M211" s="773" t="s">
        <v>546</v>
      </c>
      <c r="N211" s="772" t="s">
        <v>547</v>
      </c>
      <c r="O211" s="774" t="s">
        <v>538</v>
      </c>
      <c r="P211" s="772" t="s">
        <v>548</v>
      </c>
      <c r="Q211" s="759"/>
      <c r="R211" s="770" t="s">
        <v>535</v>
      </c>
      <c r="S211" s="772" t="s">
        <v>502</v>
      </c>
      <c r="T211" s="772" t="s">
        <v>338</v>
      </c>
      <c r="U211" s="772" t="s">
        <v>539</v>
      </c>
      <c r="V211" s="772" t="s">
        <v>549</v>
      </c>
      <c r="W211" s="770" t="s">
        <v>549</v>
      </c>
    </row>
    <row r="212" spans="1:23" s="776" customFormat="1" ht="13.5" customHeight="1">
      <c r="A212" s="777" t="str">
        <f>IF(B212&lt;&gt;"",ROW()-(ROW()-1),"")</f>
        <v/>
      </c>
      <c r="B212" s="789"/>
      <c r="C212" s="778">
        <f>IF(ISNA(VLOOKUP(B212,NXT!$Q$61:$S$81,2,0)),0,VLOOKUP(B212,NXT!$Q$61:$S$81,2,0))</f>
        <v>0</v>
      </c>
      <c r="D212" s="630">
        <f t="shared" ref="D212:D217" si="49">ROUND(C212*O212,0)</f>
        <v>0</v>
      </c>
      <c r="E212" s="630"/>
      <c r="F212" s="630"/>
      <c r="G212" s="779">
        <f t="shared" ref="G212:G217" si="50">(D212+E212)*F212</f>
        <v>0</v>
      </c>
      <c r="H212" s="630">
        <f t="shared" ref="H212:H217" si="51">IF($D$219&lt;&gt;0,H$219/($D$219+$E$219/4)*($D212+$E212/4),0)</f>
        <v>0</v>
      </c>
      <c r="I212" s="630">
        <f t="shared" ref="I212:K217" si="52">IF($D$219&lt;&gt;0,I$219/$D$219*$D212,0)</f>
        <v>0</v>
      </c>
      <c r="J212" s="630">
        <f t="shared" si="52"/>
        <v>0</v>
      </c>
      <c r="K212" s="630">
        <f t="shared" si="52"/>
        <v>0</v>
      </c>
      <c r="L212" s="630"/>
      <c r="M212" s="630"/>
      <c r="N212" s="779">
        <f t="shared" ref="N212:N217" si="53">ROUND(SUM(G212:L212),0)</f>
        <v>0</v>
      </c>
      <c r="O212" s="785"/>
      <c r="P212" s="630">
        <f t="shared" ref="P212:P217" si="54">IF(N212&lt;&gt;0,N212/O212,0)</f>
        <v>0</v>
      </c>
      <c r="Q212" s="775"/>
      <c r="R212" s="781"/>
      <c r="S212" s="845"/>
      <c r="T212" s="236"/>
      <c r="U212" s="236"/>
      <c r="V212" s="779">
        <f t="shared" ref="V212:V221" si="55">ROUND(T212*U212,0)</f>
        <v>0</v>
      </c>
      <c r="W212" s="779"/>
    </row>
    <row r="213" spans="1:23" ht="13.5" customHeight="1">
      <c r="A213" s="777" t="str">
        <f t="shared" ref="A213:A218" si="56">IF(B213&lt;&gt;"",A212+1,"")</f>
        <v/>
      </c>
      <c r="B213" s="789"/>
      <c r="C213" s="778">
        <f>IF(ISNA(VLOOKUP(B213,NXT!$Q$61:$S$81,2,0)),0,VLOOKUP(B213,NXT!$Q$61:$S$81,2,0))</f>
        <v>0</v>
      </c>
      <c r="D213" s="630">
        <f t="shared" si="49"/>
        <v>0</v>
      </c>
      <c r="E213" s="630"/>
      <c r="F213" s="630"/>
      <c r="G213" s="779">
        <f t="shared" si="50"/>
        <v>0</v>
      </c>
      <c r="H213" s="630">
        <f t="shared" si="51"/>
        <v>0</v>
      </c>
      <c r="I213" s="630">
        <f t="shared" si="52"/>
        <v>0</v>
      </c>
      <c r="J213" s="630">
        <f t="shared" si="52"/>
        <v>0</v>
      </c>
      <c r="K213" s="630">
        <f t="shared" si="52"/>
        <v>0</v>
      </c>
      <c r="L213" s="779"/>
      <c r="M213" s="630" t="e">
        <f>34560000/($O$68+#REF!+#REF!)*O213</f>
        <v>#REF!</v>
      </c>
      <c r="N213" s="779">
        <f t="shared" si="53"/>
        <v>0</v>
      </c>
      <c r="O213" s="630"/>
      <c r="P213" s="630">
        <f t="shared" si="54"/>
        <v>0</v>
      </c>
      <c r="Q213" s="798"/>
      <c r="R213" s="786"/>
      <c r="S213" s="845"/>
      <c r="T213" s="236"/>
      <c r="U213" s="236"/>
      <c r="V213" s="779">
        <f t="shared" si="55"/>
        <v>0</v>
      </c>
      <c r="W213" s="795"/>
    </row>
    <row r="214" spans="1:23" ht="13.5" customHeight="1">
      <c r="A214" s="777" t="str">
        <f t="shared" si="56"/>
        <v/>
      </c>
      <c r="B214" s="515"/>
      <c r="C214" s="778">
        <f>IF(ISNA(VLOOKUP(B214,NXT!$Q$61:$S$81,2,0)),0,VLOOKUP(B214,NXT!$Q$61:$S$81,2,0))</f>
        <v>0</v>
      </c>
      <c r="D214" s="630">
        <f t="shared" si="49"/>
        <v>0</v>
      </c>
      <c r="E214" s="630"/>
      <c r="F214" s="630"/>
      <c r="G214" s="779">
        <f t="shared" si="50"/>
        <v>0</v>
      </c>
      <c r="H214" s="630">
        <f t="shared" si="51"/>
        <v>0</v>
      </c>
      <c r="I214" s="630">
        <f t="shared" si="52"/>
        <v>0</v>
      </c>
      <c r="J214" s="630">
        <f t="shared" si="52"/>
        <v>0</v>
      </c>
      <c r="K214" s="630">
        <f t="shared" si="52"/>
        <v>0</v>
      </c>
      <c r="L214" s="630"/>
      <c r="M214" s="630"/>
      <c r="N214" s="779">
        <f t="shared" si="53"/>
        <v>0</v>
      </c>
      <c r="O214" s="785"/>
      <c r="P214" s="630">
        <f t="shared" si="54"/>
        <v>0</v>
      </c>
      <c r="Q214" s="798"/>
      <c r="R214" s="786"/>
      <c r="S214" s="845"/>
      <c r="T214" s="236"/>
      <c r="U214" s="236"/>
      <c r="V214" s="779">
        <f t="shared" si="55"/>
        <v>0</v>
      </c>
      <c r="W214" s="795"/>
    </row>
    <row r="215" spans="1:23" ht="13.5" customHeight="1">
      <c r="A215" s="777" t="str">
        <f t="shared" si="56"/>
        <v/>
      </c>
      <c r="B215" s="789"/>
      <c r="C215" s="778">
        <f>IF(ISNA(VLOOKUP(B215,NXT!$Q$61:$S$81,2,0)),0,VLOOKUP(B215,NXT!$Q$61:$S$81,2,0))</f>
        <v>0</v>
      </c>
      <c r="D215" s="630">
        <f t="shared" si="49"/>
        <v>0</v>
      </c>
      <c r="E215" s="630"/>
      <c r="F215" s="630"/>
      <c r="G215" s="779">
        <f t="shared" si="50"/>
        <v>0</v>
      </c>
      <c r="H215" s="630">
        <f t="shared" si="51"/>
        <v>0</v>
      </c>
      <c r="I215" s="630">
        <f t="shared" si="52"/>
        <v>0</v>
      </c>
      <c r="J215" s="630">
        <f t="shared" si="52"/>
        <v>0</v>
      </c>
      <c r="K215" s="630">
        <f t="shared" si="52"/>
        <v>0</v>
      </c>
      <c r="L215" s="630"/>
      <c r="M215" s="630"/>
      <c r="N215" s="779">
        <f t="shared" si="53"/>
        <v>0</v>
      </c>
      <c r="O215" s="785"/>
      <c r="P215" s="630">
        <f t="shared" si="54"/>
        <v>0</v>
      </c>
      <c r="Q215" s="798"/>
      <c r="R215" s="786"/>
      <c r="S215" s="845"/>
      <c r="T215" s="236"/>
      <c r="U215" s="236"/>
      <c r="V215" s="779">
        <f t="shared" si="55"/>
        <v>0</v>
      </c>
      <c r="W215" s="795"/>
    </row>
    <row r="216" spans="1:23" ht="13.5" customHeight="1">
      <c r="A216" s="777" t="str">
        <f t="shared" si="56"/>
        <v/>
      </c>
      <c r="B216" s="789"/>
      <c r="C216" s="778">
        <f>IF(ISNA(VLOOKUP(B216,NXT!$Q$61:$S$81,2,0)),0,VLOOKUP(B216,NXT!$Q$61:$S$81,2,0))</f>
        <v>0</v>
      </c>
      <c r="D216" s="630">
        <f t="shared" si="49"/>
        <v>0</v>
      </c>
      <c r="E216" s="630"/>
      <c r="F216" s="630"/>
      <c r="G216" s="779">
        <f t="shared" si="50"/>
        <v>0</v>
      </c>
      <c r="H216" s="630">
        <f t="shared" si="51"/>
        <v>0</v>
      </c>
      <c r="I216" s="630">
        <f t="shared" si="52"/>
        <v>0</v>
      </c>
      <c r="J216" s="630">
        <f t="shared" si="52"/>
        <v>0</v>
      </c>
      <c r="K216" s="630">
        <f t="shared" si="52"/>
        <v>0</v>
      </c>
      <c r="L216" s="630"/>
      <c r="M216" s="630"/>
      <c r="N216" s="779">
        <f t="shared" si="53"/>
        <v>0</v>
      </c>
      <c r="O216" s="785"/>
      <c r="P216" s="630">
        <f t="shared" si="54"/>
        <v>0</v>
      </c>
      <c r="Q216" s="798"/>
      <c r="R216" s="786"/>
      <c r="S216" s="845"/>
      <c r="T216" s="236"/>
      <c r="U216" s="236"/>
      <c r="V216" s="779">
        <f t="shared" si="55"/>
        <v>0</v>
      </c>
      <c r="W216" s="795"/>
    </row>
    <row r="217" spans="1:23">
      <c r="A217" s="777" t="str">
        <f t="shared" si="56"/>
        <v/>
      </c>
      <c r="B217" s="789"/>
      <c r="C217" s="778">
        <f>IF(ISNA(VLOOKUP(B217,NXT!$Q$61:$S$81,2,0)),0,VLOOKUP(B217,NXT!$Q$61:$S$81,2,0))</f>
        <v>0</v>
      </c>
      <c r="D217" s="630">
        <f t="shared" si="49"/>
        <v>0</v>
      </c>
      <c r="E217" s="630"/>
      <c r="F217" s="630"/>
      <c r="G217" s="779">
        <f t="shared" si="50"/>
        <v>0</v>
      </c>
      <c r="H217" s="630">
        <f t="shared" si="51"/>
        <v>0</v>
      </c>
      <c r="I217" s="630">
        <f t="shared" si="52"/>
        <v>0</v>
      </c>
      <c r="J217" s="630">
        <f t="shared" si="52"/>
        <v>0</v>
      </c>
      <c r="K217" s="630">
        <f t="shared" si="52"/>
        <v>0</v>
      </c>
      <c r="L217" s="630"/>
      <c r="M217" s="630"/>
      <c r="N217" s="779">
        <f t="shared" si="53"/>
        <v>0</v>
      </c>
      <c r="O217" s="785"/>
      <c r="P217" s="630">
        <f t="shared" si="54"/>
        <v>0</v>
      </c>
      <c r="Q217" s="798"/>
      <c r="R217" s="786"/>
      <c r="S217" s="845"/>
      <c r="T217" s="236"/>
      <c r="U217" s="787"/>
      <c r="V217" s="779">
        <f t="shared" si="55"/>
        <v>0</v>
      </c>
      <c r="W217" s="795"/>
    </row>
    <row r="218" spans="1:23">
      <c r="A218" s="777" t="str">
        <f t="shared" si="56"/>
        <v/>
      </c>
      <c r="B218" s="790"/>
      <c r="C218" s="791"/>
      <c r="D218" s="793"/>
      <c r="E218" s="793"/>
      <c r="F218" s="793"/>
      <c r="G218" s="794"/>
      <c r="H218" s="839"/>
      <c r="I218" s="793"/>
      <c r="J218" s="795"/>
      <c r="K218" s="793"/>
      <c r="L218" s="796"/>
      <c r="M218" s="793"/>
      <c r="N218" s="827"/>
      <c r="O218" s="797"/>
      <c r="P218" s="793"/>
      <c r="Q218" s="798"/>
      <c r="R218" s="786"/>
      <c r="S218" s="847"/>
      <c r="T218" s="236"/>
      <c r="U218" s="236"/>
      <c r="V218" s="779">
        <f t="shared" si="55"/>
        <v>0</v>
      </c>
      <c r="W218" s="795"/>
    </row>
    <row r="219" spans="1:23" s="799" customFormat="1">
      <c r="A219" s="800"/>
      <c r="B219" s="801" t="s">
        <v>550</v>
      </c>
      <c r="C219" s="802"/>
      <c r="D219" s="803">
        <f>SUM(D212:D217)</f>
        <v>0</v>
      </c>
      <c r="E219" s="803">
        <f>SUM(E212:E217)</f>
        <v>0</v>
      </c>
      <c r="F219" s="803"/>
      <c r="G219" s="803">
        <f>SUM(G212:G218)</f>
        <v>0</v>
      </c>
      <c r="H219" s="804"/>
      <c r="I219" s="804">
        <f>V223</f>
        <v>0</v>
      </c>
      <c r="J219" s="804"/>
      <c r="K219" s="804">
        <v>57138842</v>
      </c>
      <c r="L219" s="803">
        <f>ROUND(SUM(L212:L218),0)</f>
        <v>0</v>
      </c>
      <c r="M219" s="803" t="e">
        <f>ROUND(SUM(M212:M218),0)</f>
        <v>#REF!</v>
      </c>
      <c r="N219" s="803">
        <f>ROUND(SUM(N212:N218),0)</f>
        <v>0</v>
      </c>
      <c r="O219" s="803">
        <f>ROUND(SUM(O212:O218),0)</f>
        <v>0</v>
      </c>
      <c r="P219" s="803"/>
      <c r="Q219" s="798"/>
      <c r="R219" s="786"/>
      <c r="S219" s="847"/>
      <c r="T219" s="809"/>
      <c r="U219" s="787"/>
      <c r="V219" s="779">
        <f t="shared" si="55"/>
        <v>0</v>
      </c>
      <c r="W219" s="795"/>
    </row>
    <row r="220" spans="1:23" s="754" customFormat="1">
      <c r="A220" s="750"/>
      <c r="B220" s="750"/>
      <c r="C220" s="750"/>
      <c r="D220" s="750"/>
      <c r="E220" s="750"/>
      <c r="F220" s="750"/>
      <c r="G220" s="750"/>
      <c r="H220" s="750"/>
      <c r="I220" s="750"/>
      <c r="J220" s="750"/>
      <c r="K220" s="750"/>
      <c r="L220" s="750"/>
      <c r="M220" s="750"/>
      <c r="N220" s="750"/>
      <c r="O220" s="750"/>
      <c r="P220" s="750"/>
      <c r="Q220" s="798"/>
      <c r="R220" s="848"/>
      <c r="S220" s="847"/>
      <c r="T220" s="809"/>
      <c r="U220" s="787"/>
      <c r="V220" s="779">
        <f t="shared" si="55"/>
        <v>0</v>
      </c>
      <c r="W220" s="795"/>
    </row>
    <row r="221" spans="1:23">
      <c r="Q221" s="798"/>
      <c r="R221" s="520"/>
      <c r="S221" s="847"/>
      <c r="T221" s="236"/>
      <c r="U221" s="236"/>
      <c r="V221" s="779">
        <f t="shared" si="55"/>
        <v>0</v>
      </c>
      <c r="W221" s="795"/>
    </row>
    <row r="222" spans="1:23">
      <c r="Q222" s="798"/>
      <c r="R222" s="849"/>
      <c r="S222" s="782"/>
      <c r="T222" s="236"/>
      <c r="U222" s="236"/>
      <c r="V222" s="795"/>
      <c r="W222" s="795"/>
    </row>
    <row r="223" spans="1:23">
      <c r="Q223" s="798"/>
      <c r="R223" s="832"/>
      <c r="S223" s="833"/>
      <c r="T223" s="834"/>
      <c r="U223" s="850"/>
      <c r="V223" s="813">
        <f>SUM(V212:V222)</f>
        <v>0</v>
      </c>
      <c r="W223" s="813">
        <f>SUM(W212:W222)</f>
        <v>0</v>
      </c>
    </row>
    <row r="224" spans="1:23">
      <c r="R224" s="786"/>
      <c r="S224" s="845"/>
      <c r="T224" s="236"/>
      <c r="U224" s="787"/>
      <c r="V224" s="779">
        <f t="shared" ref="V224:V231" si="57">ROUND(T224*U224,0)</f>
        <v>0</v>
      </c>
      <c r="W224" s="779"/>
    </row>
    <row r="225" spans="1:23">
      <c r="R225" s="786"/>
      <c r="S225" s="845"/>
      <c r="T225" s="787"/>
      <c r="U225" s="787"/>
      <c r="V225" s="779">
        <f t="shared" si="57"/>
        <v>0</v>
      </c>
      <c r="W225" s="795"/>
    </row>
    <row r="226" spans="1:23">
      <c r="R226" s="527"/>
      <c r="S226" s="845"/>
      <c r="T226" s="787"/>
      <c r="U226" s="787"/>
      <c r="V226" s="779">
        <f t="shared" si="57"/>
        <v>0</v>
      </c>
      <c r="W226" s="795"/>
    </row>
    <row r="227" spans="1:23">
      <c r="R227" s="809"/>
      <c r="S227" s="845"/>
      <c r="T227" s="787"/>
      <c r="U227" s="787"/>
      <c r="V227" s="779">
        <f t="shared" si="57"/>
        <v>0</v>
      </c>
      <c r="W227" s="795"/>
    </row>
    <row r="228" spans="1:23">
      <c r="R228" s="786"/>
      <c r="S228" s="845"/>
      <c r="T228" s="787"/>
      <c r="U228" s="787"/>
      <c r="V228" s="779">
        <f t="shared" si="57"/>
        <v>0</v>
      </c>
      <c r="W228" s="795"/>
    </row>
    <row r="229" spans="1:23">
      <c r="R229" s="786"/>
      <c r="S229" s="782"/>
      <c r="T229" s="787"/>
      <c r="U229" s="787"/>
      <c r="V229" s="779">
        <f t="shared" si="57"/>
        <v>0</v>
      </c>
      <c r="W229" s="795"/>
    </row>
    <row r="230" spans="1:23">
      <c r="R230" s="809"/>
      <c r="S230" s="782"/>
      <c r="T230" s="787"/>
      <c r="U230" s="787"/>
      <c r="V230" s="779">
        <f t="shared" si="57"/>
        <v>0</v>
      </c>
      <c r="W230" s="795"/>
    </row>
    <row r="231" spans="1:23">
      <c r="R231" s="809"/>
      <c r="S231" s="782"/>
      <c r="T231" s="787"/>
      <c r="U231" s="787"/>
      <c r="V231" s="779">
        <f t="shared" si="57"/>
        <v>0</v>
      </c>
      <c r="W231" s="795"/>
    </row>
    <row r="232" spans="1:23">
      <c r="R232" s="759"/>
      <c r="S232" s="836"/>
      <c r="T232" s="769"/>
      <c r="U232" s="769"/>
      <c r="V232" s="807"/>
      <c r="W232" s="837"/>
    </row>
    <row r="233" spans="1:23" ht="20.25" customHeight="1">
      <c r="A233" s="754" t="s">
        <v>533</v>
      </c>
      <c r="B233" s="754"/>
      <c r="C233" s="755"/>
      <c r="D233" s="756"/>
      <c r="E233" s="756"/>
      <c r="F233" s="756"/>
      <c r="G233" s="753"/>
      <c r="H233" s="753"/>
      <c r="I233" s="753"/>
      <c r="J233" s="753"/>
      <c r="K233" s="753"/>
      <c r="L233" s="757"/>
      <c r="M233" s="753"/>
      <c r="N233" s="753"/>
      <c r="O233" s="758"/>
      <c r="P233" s="753"/>
      <c r="R233" s="753"/>
      <c r="S233" s="760"/>
    </row>
    <row r="234" spans="1:23" ht="20.25" customHeight="1">
      <c r="A234" s="761" t="s">
        <v>560</v>
      </c>
      <c r="B234" s="761"/>
      <c r="C234" s="761"/>
      <c r="D234" s="761"/>
      <c r="E234" s="761"/>
      <c r="F234" s="761"/>
      <c r="G234" s="761"/>
      <c r="H234" s="761"/>
      <c r="I234" s="761"/>
      <c r="J234" s="761"/>
      <c r="K234" s="761"/>
      <c r="L234" s="761"/>
      <c r="M234" s="761"/>
      <c r="N234" s="761"/>
      <c r="O234" s="761"/>
      <c r="P234" s="761"/>
      <c r="Q234" s="759"/>
      <c r="R234" s="753"/>
      <c r="S234" s="760"/>
    </row>
    <row r="235" spans="1:23" ht="12" customHeight="1">
      <c r="A235" s="762"/>
      <c r="B235" s="762"/>
      <c r="C235" s="763"/>
      <c r="D235" s="762"/>
      <c r="E235" s="762"/>
      <c r="F235" s="762"/>
      <c r="G235" s="762"/>
      <c r="H235" s="762"/>
      <c r="I235" s="762"/>
      <c r="J235" s="762"/>
      <c r="K235" s="762"/>
      <c r="L235" s="761"/>
      <c r="M235" s="762"/>
      <c r="N235" s="762"/>
      <c r="O235" s="764"/>
      <c r="P235" s="762"/>
      <c r="Q235" s="759"/>
      <c r="R235" s="753"/>
      <c r="S235" s="760"/>
    </row>
    <row r="236" spans="1:23" ht="12" customHeight="1">
      <c r="A236" s="765"/>
      <c r="B236" s="765"/>
      <c r="C236" s="766"/>
      <c r="D236" s="765"/>
      <c r="E236" s="765"/>
      <c r="F236" s="765"/>
      <c r="G236" s="765"/>
      <c r="H236" s="765"/>
      <c r="I236" s="765"/>
      <c r="J236" s="765"/>
      <c r="K236" s="765"/>
      <c r="L236" s="765"/>
      <c r="M236" s="765"/>
      <c r="N236" s="765"/>
      <c r="O236" s="767"/>
      <c r="P236" s="765"/>
      <c r="Q236" s="759"/>
      <c r="R236" s="753"/>
      <c r="S236" s="760"/>
    </row>
    <row r="237" spans="1:23" ht="36.75" customHeight="1">
      <c r="A237" s="770" t="s">
        <v>37</v>
      </c>
      <c r="B237" s="770" t="s">
        <v>535</v>
      </c>
      <c r="C237" s="771" t="s">
        <v>536</v>
      </c>
      <c r="D237" s="772" t="s">
        <v>537</v>
      </c>
      <c r="E237" s="772" t="s">
        <v>538</v>
      </c>
      <c r="F237" s="772" t="s">
        <v>539</v>
      </c>
      <c r="G237" s="772" t="s">
        <v>540</v>
      </c>
      <c r="H237" s="772" t="s">
        <v>541</v>
      </c>
      <c r="I237" s="772" t="s">
        <v>542</v>
      </c>
      <c r="J237" s="772" t="s">
        <v>543</v>
      </c>
      <c r="K237" s="773" t="s">
        <v>544</v>
      </c>
      <c r="L237" s="772" t="s">
        <v>545</v>
      </c>
      <c r="M237" s="773" t="s">
        <v>546</v>
      </c>
      <c r="N237" s="772" t="s">
        <v>547</v>
      </c>
      <c r="O237" s="774" t="s">
        <v>538</v>
      </c>
      <c r="P237" s="772" t="s">
        <v>548</v>
      </c>
      <c r="Q237" s="759"/>
      <c r="R237" s="770" t="s">
        <v>535</v>
      </c>
      <c r="S237" s="772" t="s">
        <v>502</v>
      </c>
      <c r="T237" s="772" t="s">
        <v>338</v>
      </c>
      <c r="U237" s="772" t="s">
        <v>539</v>
      </c>
      <c r="V237" s="772" t="s">
        <v>549</v>
      </c>
      <c r="W237" s="770" t="s">
        <v>549</v>
      </c>
    </row>
    <row r="238" spans="1:23" s="776" customFormat="1" ht="13.5" customHeight="1">
      <c r="A238" s="777" t="str">
        <f>IF(B238&lt;&gt;"",ROW()-(ROW()-1),"")</f>
        <v/>
      </c>
      <c r="B238" s="789"/>
      <c r="C238" s="778">
        <f>IF(ISNA(VLOOKUP(B238,NXT!$Q$61:$S$81,2,0)),0,VLOOKUP(B238,NXT!$Q$61:$S$81,2,0))</f>
        <v>0</v>
      </c>
      <c r="D238" s="630">
        <f t="shared" ref="D238:D243" si="58">ROUND(C238*O238,0)</f>
        <v>0</v>
      </c>
      <c r="E238" s="630"/>
      <c r="F238" s="630"/>
      <c r="G238" s="779">
        <f t="shared" ref="G238:G243" si="59">(D238+E238)*F238</f>
        <v>0</v>
      </c>
      <c r="H238" s="630">
        <f t="shared" ref="H238:H243" si="60">IF($D$245&lt;&gt;0,H$245/($D$245+$E$245/4)*($D238+$E238/4),0)</f>
        <v>0</v>
      </c>
      <c r="I238" s="630">
        <f t="shared" ref="I238:K243" si="61">IF($D$245&lt;&gt;0,I$245/$D$245*$D238,0)</f>
        <v>0</v>
      </c>
      <c r="J238" s="630">
        <f t="shared" si="61"/>
        <v>0</v>
      </c>
      <c r="K238" s="630">
        <f t="shared" si="61"/>
        <v>0</v>
      </c>
      <c r="L238" s="779">
        <f t="shared" ref="L238:L243" si="62">V250</f>
        <v>0</v>
      </c>
      <c r="M238" s="630" t="e">
        <f>34560000/($O$68+#REF!+#REF!)*O238</f>
        <v>#REF!</v>
      </c>
      <c r="N238" s="779"/>
      <c r="O238" s="785"/>
      <c r="P238" s="630">
        <f t="shared" ref="P238:P243" si="63">IF(N238&lt;&gt;0,N238/O238,0)</f>
        <v>0</v>
      </c>
      <c r="Q238" s="775"/>
      <c r="R238" s="781"/>
      <c r="S238" s="845"/>
      <c r="T238" s="236"/>
      <c r="U238" s="236"/>
      <c r="V238" s="779">
        <f t="shared" ref="V238:V247" si="64">ROUND(T238*U238,0)</f>
        <v>0</v>
      </c>
      <c r="W238" s="779"/>
    </row>
    <row r="239" spans="1:23" ht="13.5" customHeight="1">
      <c r="A239" s="777" t="str">
        <f t="shared" ref="A239:A244" si="65">IF(B239&lt;&gt;"",A238+1,"")</f>
        <v/>
      </c>
      <c r="B239" s="789"/>
      <c r="C239" s="778">
        <f>IF(ISNA(VLOOKUP(B239,NXT!$Q$61:$S$81,2,0)),0,VLOOKUP(B239,NXT!$Q$61:$S$81,2,0))</f>
        <v>0</v>
      </c>
      <c r="D239" s="630">
        <f t="shared" si="58"/>
        <v>0</v>
      </c>
      <c r="E239" s="630"/>
      <c r="F239" s="630"/>
      <c r="G239" s="779">
        <f t="shared" si="59"/>
        <v>0</v>
      </c>
      <c r="H239" s="630">
        <f t="shared" si="60"/>
        <v>0</v>
      </c>
      <c r="I239" s="630">
        <f t="shared" si="61"/>
        <v>0</v>
      </c>
      <c r="J239" s="630">
        <f t="shared" si="61"/>
        <v>0</v>
      </c>
      <c r="K239" s="630">
        <f t="shared" si="61"/>
        <v>0</v>
      </c>
      <c r="L239" s="630">
        <f t="shared" si="62"/>
        <v>0</v>
      </c>
      <c r="M239" s="630"/>
      <c r="N239" s="779"/>
      <c r="O239" s="785"/>
      <c r="P239" s="630">
        <f t="shared" si="63"/>
        <v>0</v>
      </c>
      <c r="Q239" s="798"/>
      <c r="R239" s="786"/>
      <c r="S239" s="845"/>
      <c r="T239" s="236"/>
      <c r="U239" s="236"/>
      <c r="V239" s="779">
        <f t="shared" si="64"/>
        <v>0</v>
      </c>
      <c r="W239" s="795"/>
    </row>
    <row r="240" spans="1:23" ht="13.5" customHeight="1">
      <c r="A240" s="777" t="str">
        <f t="shared" si="65"/>
        <v/>
      </c>
      <c r="B240" s="789"/>
      <c r="C240" s="778">
        <f>IF(ISNA(VLOOKUP(B240,NXT!$Q$61:$S$81,2,0)),0,VLOOKUP(B240,NXT!$Q$61:$S$81,2,0))</f>
        <v>0</v>
      </c>
      <c r="D240" s="630">
        <f t="shared" si="58"/>
        <v>0</v>
      </c>
      <c r="E240" s="630"/>
      <c r="F240" s="630"/>
      <c r="G240" s="779">
        <f t="shared" si="59"/>
        <v>0</v>
      </c>
      <c r="H240" s="630">
        <f t="shared" si="60"/>
        <v>0</v>
      </c>
      <c r="I240" s="630">
        <f t="shared" si="61"/>
        <v>0</v>
      </c>
      <c r="J240" s="630">
        <f t="shared" si="61"/>
        <v>0</v>
      </c>
      <c r="K240" s="630">
        <f t="shared" si="61"/>
        <v>0</v>
      </c>
      <c r="L240" s="630">
        <f t="shared" si="62"/>
        <v>0</v>
      </c>
      <c r="M240" s="630">
        <v>25840000</v>
      </c>
      <c r="N240" s="779"/>
      <c r="O240" s="785"/>
      <c r="P240" s="630">
        <f t="shared" si="63"/>
        <v>0</v>
      </c>
      <c r="Q240" s="798"/>
      <c r="R240" s="786"/>
      <c r="S240" s="845"/>
      <c r="T240" s="236"/>
      <c r="U240" s="236"/>
      <c r="V240" s="779">
        <f t="shared" si="64"/>
        <v>0</v>
      </c>
      <c r="W240" s="795"/>
    </row>
    <row r="241" spans="1:23" ht="13.5" customHeight="1">
      <c r="A241" s="777" t="str">
        <f t="shared" si="65"/>
        <v/>
      </c>
      <c r="B241" s="789"/>
      <c r="C241" s="778">
        <f>IF(ISNA(VLOOKUP(B241,NXT!$Q$61:$S$81,2,0)),0,VLOOKUP(B241,NXT!$Q$61:$S$81,2,0))</f>
        <v>0</v>
      </c>
      <c r="D241" s="630">
        <f t="shared" si="58"/>
        <v>0</v>
      </c>
      <c r="E241" s="630"/>
      <c r="F241" s="630"/>
      <c r="G241" s="779">
        <f t="shared" si="59"/>
        <v>0</v>
      </c>
      <c r="H241" s="630">
        <f t="shared" si="60"/>
        <v>0</v>
      </c>
      <c r="I241" s="630">
        <f t="shared" si="61"/>
        <v>0</v>
      </c>
      <c r="J241" s="630">
        <f t="shared" si="61"/>
        <v>0</v>
      </c>
      <c r="K241" s="630">
        <f t="shared" si="61"/>
        <v>0</v>
      </c>
      <c r="L241" s="630">
        <f t="shared" si="62"/>
        <v>0</v>
      </c>
      <c r="M241" s="630" t="e">
        <f>34560000/($O$68+#REF!+#REF!)*O241</f>
        <v>#REF!</v>
      </c>
      <c r="N241" s="779"/>
      <c r="O241" s="785"/>
      <c r="P241" s="630">
        <f t="shared" si="63"/>
        <v>0</v>
      </c>
      <c r="Q241" s="798"/>
      <c r="R241" s="786"/>
      <c r="S241" s="845"/>
      <c r="T241" s="236"/>
      <c r="U241" s="236"/>
      <c r="V241" s="779">
        <f t="shared" si="64"/>
        <v>0</v>
      </c>
      <c r="W241" s="795"/>
    </row>
    <row r="242" spans="1:23" ht="13.5" customHeight="1">
      <c r="A242" s="777" t="str">
        <f t="shared" si="65"/>
        <v/>
      </c>
      <c r="B242" s="789"/>
      <c r="C242" s="778">
        <f>IF(ISNA(VLOOKUP(B242,NXT!$Q$61:$S$81,2,0)),0,VLOOKUP(B242,NXT!$Q$61:$S$81,2,0))</f>
        <v>0</v>
      </c>
      <c r="D242" s="630">
        <f t="shared" si="58"/>
        <v>0</v>
      </c>
      <c r="E242" s="630"/>
      <c r="F242" s="630"/>
      <c r="G242" s="779">
        <f t="shared" si="59"/>
        <v>0</v>
      </c>
      <c r="H242" s="630">
        <f t="shared" si="60"/>
        <v>0</v>
      </c>
      <c r="I242" s="630">
        <f t="shared" si="61"/>
        <v>0</v>
      </c>
      <c r="J242" s="630">
        <f t="shared" si="61"/>
        <v>0</v>
      </c>
      <c r="K242" s="630">
        <f t="shared" si="61"/>
        <v>0</v>
      </c>
      <c r="L242" s="630">
        <f t="shared" si="62"/>
        <v>0</v>
      </c>
      <c r="M242" s="630"/>
      <c r="N242" s="779"/>
      <c r="O242" s="785"/>
      <c r="P242" s="630">
        <f t="shared" si="63"/>
        <v>0</v>
      </c>
      <c r="Q242" s="798"/>
      <c r="R242" s="786"/>
      <c r="S242" s="845"/>
      <c r="T242" s="236"/>
      <c r="U242" s="236"/>
      <c r="V242" s="779">
        <f t="shared" si="64"/>
        <v>0</v>
      </c>
      <c r="W242" s="795"/>
    </row>
    <row r="243" spans="1:23">
      <c r="A243" s="777" t="str">
        <f t="shared" si="65"/>
        <v/>
      </c>
      <c r="B243" s="789"/>
      <c r="C243" s="778"/>
      <c r="D243" s="630">
        <f t="shared" si="58"/>
        <v>0</v>
      </c>
      <c r="E243" s="630"/>
      <c r="F243" s="630"/>
      <c r="G243" s="779">
        <f t="shared" si="59"/>
        <v>0</v>
      </c>
      <c r="H243" s="630">
        <f t="shared" si="60"/>
        <v>0</v>
      </c>
      <c r="I243" s="630">
        <f t="shared" si="61"/>
        <v>0</v>
      </c>
      <c r="J243" s="630">
        <f t="shared" si="61"/>
        <v>0</v>
      </c>
      <c r="K243" s="630">
        <f t="shared" si="61"/>
        <v>0</v>
      </c>
      <c r="L243" s="630">
        <f t="shared" si="62"/>
        <v>0</v>
      </c>
      <c r="M243" s="630" t="e">
        <f>34560000/($O$68+#REF!+#REF!)*O243</f>
        <v>#REF!</v>
      </c>
      <c r="N243" s="779"/>
      <c r="O243" s="785"/>
      <c r="P243" s="630">
        <f t="shared" si="63"/>
        <v>0</v>
      </c>
      <c r="Q243" s="798"/>
      <c r="R243" s="786"/>
      <c r="S243" s="845"/>
      <c r="T243" s="236"/>
      <c r="U243" s="787"/>
      <c r="V243" s="779">
        <f t="shared" si="64"/>
        <v>0</v>
      </c>
      <c r="W243" s="795"/>
    </row>
    <row r="244" spans="1:23">
      <c r="A244" s="777" t="str">
        <f t="shared" si="65"/>
        <v/>
      </c>
      <c r="B244" s="790"/>
      <c r="C244" s="791"/>
      <c r="D244" s="793"/>
      <c r="E244" s="793"/>
      <c r="F244" s="793"/>
      <c r="G244" s="794"/>
      <c r="H244" s="839"/>
      <c r="I244" s="793"/>
      <c r="J244" s="795"/>
      <c r="K244" s="793"/>
      <c r="L244" s="796"/>
      <c r="M244" s="793"/>
      <c r="N244" s="827"/>
      <c r="O244" s="797"/>
      <c r="P244" s="793"/>
      <c r="Q244" s="798"/>
      <c r="R244" s="786"/>
      <c r="S244" s="847"/>
      <c r="T244" s="236"/>
      <c r="U244" s="236"/>
      <c r="V244" s="779">
        <f t="shared" si="64"/>
        <v>0</v>
      </c>
      <c r="W244" s="795"/>
    </row>
    <row r="245" spans="1:23" s="799" customFormat="1">
      <c r="A245" s="800"/>
      <c r="B245" s="801" t="s">
        <v>550</v>
      </c>
      <c r="C245" s="802"/>
      <c r="D245" s="803">
        <f>SUM(D238:D243)</f>
        <v>0</v>
      </c>
      <c r="E245" s="803">
        <f>SUM(E238:E243)</f>
        <v>0</v>
      </c>
      <c r="F245" s="803"/>
      <c r="G245" s="803">
        <f>SUM(G238:G243)</f>
        <v>0</v>
      </c>
      <c r="H245" s="804"/>
      <c r="I245" s="804">
        <f>V249</f>
        <v>0</v>
      </c>
      <c r="J245" s="804"/>
      <c r="K245" s="804">
        <v>57138842</v>
      </c>
      <c r="L245" s="803">
        <f>ROUND(SUM(L238:L244),0)</f>
        <v>0</v>
      </c>
      <c r="M245" s="803" t="e">
        <f>ROUND(SUM(M238:M244),0)</f>
        <v>#REF!</v>
      </c>
      <c r="N245" s="803">
        <f>ROUND(SUM(N238:N244),0)</f>
        <v>0</v>
      </c>
      <c r="O245" s="803">
        <f>ROUND(SUM(O238:O244),0)</f>
        <v>0</v>
      </c>
      <c r="P245" s="803"/>
      <c r="Q245" s="798"/>
      <c r="R245" s="786"/>
      <c r="S245" s="847"/>
      <c r="T245" s="809"/>
      <c r="U245" s="787"/>
      <c r="V245" s="779">
        <f t="shared" si="64"/>
        <v>0</v>
      </c>
      <c r="W245" s="795"/>
    </row>
    <row r="246" spans="1:23" s="754" customFormat="1">
      <c r="A246" s="750"/>
      <c r="B246" s="750"/>
      <c r="C246" s="750"/>
      <c r="D246" s="750"/>
      <c r="E246" s="750"/>
      <c r="F246" s="750"/>
      <c r="G246" s="750"/>
      <c r="H246" s="750"/>
      <c r="I246" s="750"/>
      <c r="J246" s="750"/>
      <c r="K246" s="750"/>
      <c r="L246" s="750"/>
      <c r="M246" s="750"/>
      <c r="N246" s="750"/>
      <c r="O246" s="750"/>
      <c r="P246" s="750"/>
      <c r="Q246" s="798"/>
      <c r="R246" s="848"/>
      <c r="S246" s="847"/>
      <c r="T246" s="809"/>
      <c r="U246" s="787"/>
      <c r="V246" s="779">
        <f t="shared" si="64"/>
        <v>0</v>
      </c>
      <c r="W246" s="795"/>
    </row>
    <row r="247" spans="1:23">
      <c r="Q247" s="798"/>
      <c r="R247" s="520"/>
      <c r="S247" s="847"/>
      <c r="T247" s="236"/>
      <c r="U247" s="236"/>
      <c r="V247" s="779">
        <f t="shared" si="64"/>
        <v>0</v>
      </c>
      <c r="W247" s="795"/>
    </row>
    <row r="248" spans="1:23">
      <c r="Q248" s="798"/>
      <c r="R248" s="849"/>
      <c r="S248" s="782"/>
      <c r="T248" s="236"/>
      <c r="U248" s="236"/>
      <c r="V248" s="795"/>
      <c r="W248" s="795"/>
    </row>
    <row r="249" spans="1:23">
      <c r="Q249" s="798"/>
      <c r="R249" s="832"/>
      <c r="S249" s="833"/>
      <c r="T249" s="834"/>
      <c r="U249" s="850"/>
      <c r="V249" s="813">
        <f>SUM(V238:V248)</f>
        <v>0</v>
      </c>
      <c r="W249" s="813">
        <f>SUM(W238:W248)</f>
        <v>0</v>
      </c>
    </row>
    <row r="250" spans="1:23">
      <c r="R250" s="809"/>
      <c r="S250" s="845"/>
      <c r="T250" s="236"/>
      <c r="U250" s="236"/>
      <c r="V250" s="779">
        <f t="shared" ref="V250:V255" si="66">ROUND(T250*U250,0)</f>
        <v>0</v>
      </c>
      <c r="W250" s="779"/>
    </row>
    <row r="251" spans="1:23">
      <c r="R251" s="786"/>
      <c r="S251" s="845"/>
      <c r="T251" s="787"/>
      <c r="U251" s="787"/>
      <c r="V251" s="779">
        <f t="shared" si="66"/>
        <v>0</v>
      </c>
      <c r="W251" s="795"/>
    </row>
    <row r="252" spans="1:23">
      <c r="R252" s="809"/>
      <c r="S252" s="845"/>
      <c r="T252" s="787"/>
      <c r="U252" s="787"/>
      <c r="V252" s="779">
        <f t="shared" si="66"/>
        <v>0</v>
      </c>
      <c r="W252" s="795"/>
    </row>
    <row r="253" spans="1:23">
      <c r="R253" s="786"/>
      <c r="S253" s="782"/>
      <c r="T253" s="787"/>
      <c r="U253" s="787"/>
      <c r="V253" s="779">
        <f t="shared" si="66"/>
        <v>0</v>
      </c>
      <c r="W253" s="795"/>
    </row>
    <row r="254" spans="1:23">
      <c r="R254" s="786"/>
      <c r="S254" s="782"/>
      <c r="T254" s="787"/>
      <c r="U254" s="787"/>
      <c r="V254" s="779">
        <f t="shared" si="66"/>
        <v>0</v>
      </c>
      <c r="W254" s="795"/>
    </row>
    <row r="255" spans="1:23">
      <c r="R255" s="809"/>
      <c r="S255" s="782"/>
      <c r="T255" s="787"/>
      <c r="U255" s="787"/>
      <c r="V255" s="779">
        <f t="shared" si="66"/>
        <v>0</v>
      </c>
      <c r="W255" s="795"/>
    </row>
    <row r="256" spans="1:23">
      <c r="R256" s="809"/>
      <c r="S256" s="782"/>
      <c r="T256" s="787"/>
      <c r="U256" s="787"/>
      <c r="V256" s="855">
        <f>SUM(V250:V255)</f>
        <v>0</v>
      </c>
      <c r="W256" s="795"/>
    </row>
    <row r="257" spans="1:23">
      <c r="A257" s="761"/>
      <c r="B257" s="761"/>
      <c r="C257" s="761"/>
      <c r="D257" s="761"/>
      <c r="E257" s="761"/>
      <c r="F257" s="761"/>
      <c r="G257" s="761"/>
      <c r="H257" s="761"/>
      <c r="I257" s="761"/>
      <c r="J257" s="761"/>
      <c r="K257" s="761"/>
      <c r="L257" s="761"/>
      <c r="M257" s="761"/>
      <c r="N257" s="761"/>
      <c r="O257" s="761"/>
      <c r="P257" s="761"/>
      <c r="R257" s="753"/>
      <c r="S257" s="760"/>
    </row>
    <row r="258" spans="1:23" ht="20.25" customHeight="1">
      <c r="A258" s="754" t="s">
        <v>533</v>
      </c>
      <c r="B258" s="754"/>
      <c r="C258" s="755"/>
      <c r="D258" s="756"/>
      <c r="E258" s="756"/>
      <c r="F258" s="756"/>
      <c r="G258" s="753"/>
      <c r="H258" s="753"/>
      <c r="I258" s="753"/>
      <c r="J258" s="753"/>
      <c r="K258" s="753"/>
      <c r="L258" s="757"/>
      <c r="M258" s="753"/>
      <c r="N258" s="753"/>
      <c r="O258" s="758"/>
      <c r="P258" s="753"/>
      <c r="Q258" s="759"/>
      <c r="R258" s="753"/>
      <c r="S258" s="760"/>
    </row>
    <row r="259" spans="1:23" ht="20.25" customHeight="1">
      <c r="A259" s="761" t="s">
        <v>561</v>
      </c>
      <c r="B259" s="761"/>
      <c r="C259" s="761"/>
      <c r="D259" s="761"/>
      <c r="E259" s="761"/>
      <c r="F259" s="761"/>
      <c r="G259" s="761"/>
      <c r="H259" s="761"/>
      <c r="I259" s="761"/>
      <c r="J259" s="761"/>
      <c r="K259" s="761"/>
      <c r="L259" s="761"/>
      <c r="M259" s="761"/>
      <c r="N259" s="761"/>
      <c r="O259" s="761"/>
      <c r="P259" s="761"/>
      <c r="Q259" s="759"/>
      <c r="R259" s="753"/>
      <c r="S259" s="760"/>
    </row>
    <row r="260" spans="1:23" ht="12" customHeight="1">
      <c r="A260" s="762"/>
      <c r="B260" s="762"/>
      <c r="C260" s="763"/>
      <c r="D260" s="762"/>
      <c r="E260" s="762"/>
      <c r="F260" s="762"/>
      <c r="G260" s="762"/>
      <c r="H260" s="762"/>
      <c r="I260" s="762"/>
      <c r="J260" s="762"/>
      <c r="K260" s="762"/>
      <c r="L260" s="761"/>
      <c r="M260" s="762"/>
      <c r="N260" s="762"/>
      <c r="O260" s="764"/>
      <c r="P260" s="762"/>
      <c r="Q260" s="759"/>
      <c r="R260" s="753"/>
      <c r="S260" s="760"/>
    </row>
    <row r="261" spans="1:23" ht="12" customHeight="1">
      <c r="A261" s="765"/>
      <c r="B261" s="765"/>
      <c r="C261" s="766"/>
      <c r="D261" s="765"/>
      <c r="E261" s="765"/>
      <c r="F261" s="765"/>
      <c r="G261" s="765"/>
      <c r="H261" s="765"/>
      <c r="I261" s="765"/>
      <c r="J261" s="765"/>
      <c r="K261" s="765"/>
      <c r="L261" s="765"/>
      <c r="M261" s="765"/>
      <c r="N261" s="765"/>
      <c r="O261" s="767"/>
      <c r="P261" s="765"/>
      <c r="Q261" s="759"/>
      <c r="R261" s="753"/>
      <c r="S261" s="760"/>
    </row>
    <row r="262" spans="1:23" ht="36.75" customHeight="1">
      <c r="A262" s="770" t="s">
        <v>37</v>
      </c>
      <c r="B262" s="770" t="s">
        <v>535</v>
      </c>
      <c r="C262" s="771" t="s">
        <v>536</v>
      </c>
      <c r="D262" s="772" t="s">
        <v>537</v>
      </c>
      <c r="E262" s="772" t="s">
        <v>538</v>
      </c>
      <c r="F262" s="772" t="s">
        <v>539</v>
      </c>
      <c r="G262" s="772" t="s">
        <v>540</v>
      </c>
      <c r="H262" s="772" t="s">
        <v>541</v>
      </c>
      <c r="I262" s="772" t="s">
        <v>542</v>
      </c>
      <c r="J262" s="772" t="s">
        <v>543</v>
      </c>
      <c r="K262" s="773" t="s">
        <v>544</v>
      </c>
      <c r="L262" s="772" t="s">
        <v>545</v>
      </c>
      <c r="M262" s="773" t="s">
        <v>546</v>
      </c>
      <c r="N262" s="772" t="s">
        <v>547</v>
      </c>
      <c r="O262" s="774" t="s">
        <v>538</v>
      </c>
      <c r="P262" s="772" t="s">
        <v>548</v>
      </c>
      <c r="Q262" s="759"/>
      <c r="R262" s="770" t="s">
        <v>535</v>
      </c>
      <c r="S262" s="772" t="s">
        <v>502</v>
      </c>
      <c r="T262" s="772" t="s">
        <v>338</v>
      </c>
      <c r="U262" s="772" t="s">
        <v>539</v>
      </c>
      <c r="V262" s="772" t="s">
        <v>549</v>
      </c>
      <c r="W262" s="770" t="s">
        <v>549</v>
      </c>
    </row>
    <row r="263" spans="1:23" s="776" customFormat="1" ht="13.5" customHeight="1">
      <c r="A263" s="777" t="str">
        <f>IF(B263&lt;&gt;"",ROW()-(ROW()-1),"")</f>
        <v/>
      </c>
      <c r="B263" s="852"/>
      <c r="C263" s="778">
        <f>IF(ISNA(VLOOKUP(B263,NXT!$Q$61:$S$81,2,0)),0,VLOOKUP(B263,NXT!$Q$61:$S$81,2,0))</f>
        <v>0</v>
      </c>
      <c r="D263" s="630">
        <f t="shared" ref="D263:D268" si="67">ROUND(C263*O263,0)</f>
        <v>0</v>
      </c>
      <c r="E263" s="630"/>
      <c r="F263" s="630"/>
      <c r="G263" s="779">
        <f t="shared" ref="G263:G268" si="68">(D263+E263)*F263</f>
        <v>0</v>
      </c>
      <c r="H263" s="630">
        <f t="shared" ref="H263:H268" si="69">IF($D$270&lt;&gt;0,H$270/($D$270+$E$270/4)*($D263+$E263/4),0)</f>
        <v>0</v>
      </c>
      <c r="I263" s="630">
        <f t="shared" ref="I263:K268" si="70">IF($D$270&lt;&gt;0,I$270/$D$270*$D263,0)</f>
        <v>0</v>
      </c>
      <c r="J263" s="630">
        <f t="shared" si="70"/>
        <v>0</v>
      </c>
      <c r="K263" s="630">
        <f t="shared" si="70"/>
        <v>0</v>
      </c>
      <c r="L263" s="856"/>
      <c r="M263" s="630" t="e">
        <f>34560000/($O$68+#REF!+#REF!)*O263</f>
        <v>#REF!</v>
      </c>
      <c r="N263" s="779">
        <f t="shared" ref="N263:N268" si="71">ROUND(SUM(G263:L263),0)</f>
        <v>0</v>
      </c>
      <c r="O263" s="630"/>
      <c r="P263" s="630">
        <f t="shared" ref="P263:P268" si="72">IF(N263&lt;&gt;0,N263/O263,0)</f>
        <v>0</v>
      </c>
      <c r="Q263" s="775"/>
      <c r="R263" s="781"/>
      <c r="S263" s="845"/>
      <c r="T263" s="236"/>
      <c r="U263" s="236"/>
      <c r="V263" s="779">
        <f t="shared" ref="V263:V272" si="73">ROUND(T263*U263,0)</f>
        <v>0</v>
      </c>
      <c r="W263" s="779"/>
    </row>
    <row r="264" spans="1:23" ht="13.5" customHeight="1">
      <c r="A264" s="777" t="str">
        <f t="shared" ref="A264:A269" si="74">IF(B264&lt;&gt;"",A263+1,"")</f>
        <v/>
      </c>
      <c r="B264" s="789"/>
      <c r="C264" s="778">
        <f>IF(ISNA(VLOOKUP(B264,NXT!$Q$61:$S$81,2,0)),0,VLOOKUP(B264,NXT!$Q$61:$S$81,2,0))</f>
        <v>0</v>
      </c>
      <c r="D264" s="630">
        <f t="shared" si="67"/>
        <v>0</v>
      </c>
      <c r="E264" s="630"/>
      <c r="F264" s="630"/>
      <c r="G264" s="779">
        <f t="shared" si="68"/>
        <v>0</v>
      </c>
      <c r="H264" s="630">
        <f t="shared" si="69"/>
        <v>0</v>
      </c>
      <c r="I264" s="630">
        <f t="shared" si="70"/>
        <v>0</v>
      </c>
      <c r="J264" s="630">
        <f t="shared" si="70"/>
        <v>0</v>
      </c>
      <c r="K264" s="630">
        <f t="shared" si="70"/>
        <v>0</v>
      </c>
      <c r="L264" s="856"/>
      <c r="M264" s="630"/>
      <c r="N264" s="779">
        <f t="shared" si="71"/>
        <v>0</v>
      </c>
      <c r="O264" s="785"/>
      <c r="P264" s="630">
        <f t="shared" si="72"/>
        <v>0</v>
      </c>
      <c r="Q264" s="798"/>
      <c r="R264" s="786"/>
      <c r="S264" s="845"/>
      <c r="T264" s="236"/>
      <c r="U264" s="236"/>
      <c r="V264" s="779">
        <f t="shared" si="73"/>
        <v>0</v>
      </c>
      <c r="W264" s="795"/>
    </row>
    <row r="265" spans="1:23" ht="13.5" customHeight="1">
      <c r="A265" s="777" t="str">
        <f t="shared" si="74"/>
        <v/>
      </c>
      <c r="B265" s="789"/>
      <c r="C265" s="778">
        <f>IF(ISNA(VLOOKUP(B265,NXT!$Q$61:$S$81,2,0)),0,VLOOKUP(B265,NXT!$Q$61:$S$81,2,0))</f>
        <v>0</v>
      </c>
      <c r="D265" s="630">
        <f t="shared" si="67"/>
        <v>0</v>
      </c>
      <c r="E265" s="630"/>
      <c r="F265" s="630"/>
      <c r="G265" s="779">
        <f t="shared" si="68"/>
        <v>0</v>
      </c>
      <c r="H265" s="630">
        <f t="shared" si="69"/>
        <v>0</v>
      </c>
      <c r="I265" s="630">
        <f t="shared" si="70"/>
        <v>0</v>
      </c>
      <c r="J265" s="630">
        <f t="shared" si="70"/>
        <v>0</v>
      </c>
      <c r="K265" s="630">
        <f t="shared" si="70"/>
        <v>0</v>
      </c>
      <c r="L265" s="856"/>
      <c r="M265" s="630">
        <v>25840000</v>
      </c>
      <c r="N265" s="779">
        <f t="shared" si="71"/>
        <v>0</v>
      </c>
      <c r="O265" s="785"/>
      <c r="P265" s="630">
        <f t="shared" si="72"/>
        <v>0</v>
      </c>
      <c r="Q265" s="798"/>
      <c r="R265" s="786"/>
      <c r="S265" s="845"/>
      <c r="T265" s="236"/>
      <c r="U265" s="236"/>
      <c r="V265" s="779">
        <f t="shared" si="73"/>
        <v>0</v>
      </c>
      <c r="W265" s="795"/>
    </row>
    <row r="266" spans="1:23" ht="13.5" customHeight="1">
      <c r="A266" s="777" t="str">
        <f t="shared" si="74"/>
        <v/>
      </c>
      <c r="B266" s="789"/>
      <c r="C266" s="778">
        <f>IF(ISNA(VLOOKUP(B266,NXT!$Q$61:$S$81,2,0)),0,VLOOKUP(B266,NXT!$Q$61:$S$81,2,0))</f>
        <v>0</v>
      </c>
      <c r="D266" s="630">
        <f t="shared" si="67"/>
        <v>0</v>
      </c>
      <c r="E266" s="630"/>
      <c r="F266" s="630"/>
      <c r="G266" s="779">
        <f t="shared" si="68"/>
        <v>0</v>
      </c>
      <c r="H266" s="630">
        <f t="shared" si="69"/>
        <v>0</v>
      </c>
      <c r="I266" s="630">
        <f t="shared" si="70"/>
        <v>0</v>
      </c>
      <c r="J266" s="630">
        <f t="shared" si="70"/>
        <v>0</v>
      </c>
      <c r="K266" s="630">
        <f t="shared" si="70"/>
        <v>0</v>
      </c>
      <c r="L266" s="630"/>
      <c r="M266" s="630" t="e">
        <f>34560000/($O$68+#REF!+#REF!)*O266</f>
        <v>#REF!</v>
      </c>
      <c r="N266" s="779">
        <f t="shared" si="71"/>
        <v>0</v>
      </c>
      <c r="O266" s="785"/>
      <c r="P266" s="630">
        <f t="shared" si="72"/>
        <v>0</v>
      </c>
      <c r="Q266" s="798"/>
      <c r="R266" s="786"/>
      <c r="S266" s="845"/>
      <c r="T266" s="236"/>
      <c r="U266" s="236"/>
      <c r="V266" s="779">
        <f t="shared" si="73"/>
        <v>0</v>
      </c>
      <c r="W266" s="795"/>
    </row>
    <row r="267" spans="1:23" ht="13.5" customHeight="1">
      <c r="A267" s="777" t="str">
        <f t="shared" si="74"/>
        <v/>
      </c>
      <c r="B267" s="789"/>
      <c r="C267" s="778">
        <f>IF(ISNA(VLOOKUP(B267,NXT!$Q$61:$S$81,2,0)),0,VLOOKUP(B267,NXT!$Q$61:$S$81,2,0))</f>
        <v>0</v>
      </c>
      <c r="D267" s="630">
        <f t="shared" si="67"/>
        <v>0</v>
      </c>
      <c r="E267" s="630"/>
      <c r="F267" s="630"/>
      <c r="G267" s="779">
        <f t="shared" si="68"/>
        <v>0</v>
      </c>
      <c r="H267" s="630">
        <f t="shared" si="69"/>
        <v>0</v>
      </c>
      <c r="I267" s="630">
        <f t="shared" si="70"/>
        <v>0</v>
      </c>
      <c r="J267" s="630">
        <f t="shared" si="70"/>
        <v>0</v>
      </c>
      <c r="K267" s="630">
        <f t="shared" si="70"/>
        <v>0</v>
      </c>
      <c r="L267" s="630"/>
      <c r="M267" s="630"/>
      <c r="N267" s="779">
        <f t="shared" si="71"/>
        <v>0</v>
      </c>
      <c r="O267" s="785"/>
      <c r="P267" s="630">
        <f t="shared" si="72"/>
        <v>0</v>
      </c>
      <c r="Q267" s="798"/>
      <c r="R267" s="786"/>
      <c r="S267" s="845"/>
      <c r="T267" s="236"/>
      <c r="U267" s="236"/>
      <c r="V267" s="779">
        <f t="shared" si="73"/>
        <v>0</v>
      </c>
      <c r="W267" s="795"/>
    </row>
    <row r="268" spans="1:23">
      <c r="A268" s="777" t="str">
        <f t="shared" si="74"/>
        <v/>
      </c>
      <c r="B268" s="789"/>
      <c r="C268" s="778">
        <f>IF(ISNA(VLOOKUP(B268,NXT!$Q$61:$S$81,2,0)),0,VLOOKUP(B268,NXT!$Q$61:$S$81,2,0))</f>
        <v>0</v>
      </c>
      <c r="D268" s="630">
        <f t="shared" si="67"/>
        <v>0</v>
      </c>
      <c r="E268" s="630"/>
      <c r="F268" s="630"/>
      <c r="G268" s="779">
        <f t="shared" si="68"/>
        <v>0</v>
      </c>
      <c r="H268" s="630">
        <f t="shared" si="69"/>
        <v>0</v>
      </c>
      <c r="I268" s="630">
        <f t="shared" si="70"/>
        <v>0</v>
      </c>
      <c r="J268" s="630">
        <f t="shared" si="70"/>
        <v>0</v>
      </c>
      <c r="K268" s="630">
        <f t="shared" si="70"/>
        <v>0</v>
      </c>
      <c r="L268" s="630"/>
      <c r="M268" s="630" t="e">
        <f>34560000/($O$68+#REF!+#REF!)*O268</f>
        <v>#REF!</v>
      </c>
      <c r="N268" s="779">
        <f t="shared" si="71"/>
        <v>0</v>
      </c>
      <c r="O268" s="785"/>
      <c r="P268" s="630">
        <f t="shared" si="72"/>
        <v>0</v>
      </c>
      <c r="Q268" s="798"/>
      <c r="R268" s="786"/>
      <c r="S268" s="845"/>
      <c r="T268" s="236"/>
      <c r="U268" s="787"/>
      <c r="V268" s="779">
        <f t="shared" si="73"/>
        <v>0</v>
      </c>
      <c r="W268" s="795"/>
    </row>
    <row r="269" spans="1:23">
      <c r="A269" s="777" t="str">
        <f t="shared" si="74"/>
        <v/>
      </c>
      <c r="B269" s="790"/>
      <c r="C269" s="791"/>
      <c r="D269" s="793"/>
      <c r="E269" s="793"/>
      <c r="F269" s="793"/>
      <c r="G269" s="794"/>
      <c r="H269" s="839"/>
      <c r="I269" s="793"/>
      <c r="J269" s="795"/>
      <c r="K269" s="793"/>
      <c r="L269" s="796"/>
      <c r="M269" s="793"/>
      <c r="N269" s="827"/>
      <c r="O269" s="797"/>
      <c r="P269" s="793"/>
      <c r="Q269" s="798"/>
      <c r="R269" s="786"/>
      <c r="S269" s="845"/>
      <c r="T269" s="236"/>
      <c r="U269" s="236"/>
      <c r="V269" s="779">
        <f t="shared" si="73"/>
        <v>0</v>
      </c>
      <c r="W269" s="795"/>
    </row>
    <row r="270" spans="1:23" s="799" customFormat="1">
      <c r="A270" s="800"/>
      <c r="B270" s="801" t="s">
        <v>550</v>
      </c>
      <c r="C270" s="802"/>
      <c r="D270" s="803">
        <f>SUM(D263:D268)</f>
        <v>0</v>
      </c>
      <c r="E270" s="803">
        <f>SUM(E263:E268)</f>
        <v>0</v>
      </c>
      <c r="F270" s="803"/>
      <c r="G270" s="803">
        <f>SUM(G263:G268)</f>
        <v>0</v>
      </c>
      <c r="H270" s="804"/>
      <c r="I270" s="804">
        <f>V274</f>
        <v>0</v>
      </c>
      <c r="J270" s="804"/>
      <c r="K270" s="804"/>
      <c r="L270" s="803">
        <f>ROUND(SUM(L263:L269),0)</f>
        <v>0</v>
      </c>
      <c r="M270" s="803" t="e">
        <f>ROUND(SUM(M263:M269),0)</f>
        <v>#REF!</v>
      </c>
      <c r="N270" s="803">
        <f>ROUND(SUM(N263:N269),0)</f>
        <v>0</v>
      </c>
      <c r="O270" s="803">
        <f>ROUND(SUM(O263:O269),0)</f>
        <v>0</v>
      </c>
      <c r="P270" s="803"/>
      <c r="Q270" s="798"/>
      <c r="R270" s="786"/>
      <c r="S270" s="782"/>
      <c r="T270" s="809"/>
      <c r="U270" s="787"/>
      <c r="V270" s="779">
        <f t="shared" si="73"/>
        <v>0</v>
      </c>
      <c r="W270" s="795"/>
    </row>
    <row r="271" spans="1:23" s="754" customFormat="1">
      <c r="A271" s="750"/>
      <c r="B271" s="750"/>
      <c r="C271" s="750"/>
      <c r="D271" s="750"/>
      <c r="E271" s="750"/>
      <c r="F271" s="750"/>
      <c r="G271" s="750"/>
      <c r="H271" s="750"/>
      <c r="I271" s="750"/>
      <c r="J271" s="750"/>
      <c r="K271" s="750"/>
      <c r="L271" s="750"/>
      <c r="M271" s="750"/>
      <c r="N271" s="750"/>
      <c r="O271" s="750"/>
      <c r="P271" s="750"/>
      <c r="Q271" s="798"/>
      <c r="R271" s="848"/>
      <c r="S271" s="782"/>
      <c r="T271" s="809"/>
      <c r="U271" s="787"/>
      <c r="V271" s="779">
        <f t="shared" si="73"/>
        <v>0</v>
      </c>
      <c r="W271" s="795"/>
    </row>
    <row r="272" spans="1:23">
      <c r="L272" s="758">
        <f>L270-V282</f>
        <v>0</v>
      </c>
      <c r="Q272" s="798"/>
      <c r="R272" s="520"/>
      <c r="S272" s="782"/>
      <c r="T272" s="236"/>
      <c r="U272" s="236"/>
      <c r="V272" s="779">
        <f t="shared" si="73"/>
        <v>0</v>
      </c>
      <c r="W272" s="795"/>
    </row>
    <row r="273" spans="7:23">
      <c r="Q273" s="798"/>
      <c r="R273" s="849"/>
      <c r="S273" s="782"/>
      <c r="T273" s="236"/>
      <c r="U273" s="236"/>
      <c r="V273" s="795"/>
      <c r="W273" s="795"/>
    </row>
    <row r="274" spans="7:23">
      <c r="Q274" s="798"/>
      <c r="R274" s="832"/>
      <c r="S274" s="833"/>
      <c r="T274" s="834"/>
      <c r="U274" s="850"/>
      <c r="V274" s="813">
        <f>SUM(V263:V273)</f>
        <v>0</v>
      </c>
      <c r="W274" s="813">
        <f>SUM(W263:W273)</f>
        <v>0</v>
      </c>
    </row>
    <row r="275" spans="7:23">
      <c r="R275" s="835"/>
      <c r="S275" s="845"/>
      <c r="T275" s="236"/>
      <c r="U275" s="236"/>
      <c r="V275" s="779">
        <f t="shared" ref="V275:V281" si="75">ROUND(T275*U275,0)</f>
        <v>0</v>
      </c>
      <c r="W275" s="779"/>
    </row>
    <row r="276" spans="7:23">
      <c r="R276" s="786"/>
      <c r="S276" s="845"/>
      <c r="T276" s="787"/>
      <c r="U276" s="236"/>
      <c r="V276" s="779">
        <f t="shared" si="75"/>
        <v>0</v>
      </c>
      <c r="W276" s="795"/>
    </row>
    <row r="277" spans="7:23">
      <c r="R277" s="786"/>
      <c r="S277" s="845"/>
      <c r="T277" s="787"/>
      <c r="U277" s="236"/>
      <c r="V277" s="779">
        <f t="shared" si="75"/>
        <v>0</v>
      </c>
      <c r="W277" s="795"/>
    </row>
    <row r="278" spans="7:23">
      <c r="R278" s="786"/>
      <c r="S278" s="845"/>
      <c r="T278" s="787"/>
      <c r="U278" s="787"/>
      <c r="V278" s="779">
        <f t="shared" si="75"/>
        <v>0</v>
      </c>
      <c r="W278" s="795"/>
    </row>
    <row r="279" spans="7:23">
      <c r="R279" s="786"/>
      <c r="S279" s="782"/>
      <c r="T279" s="787"/>
      <c r="U279" s="787"/>
      <c r="V279" s="779">
        <f t="shared" si="75"/>
        <v>0</v>
      </c>
      <c r="W279" s="795"/>
    </row>
    <row r="280" spans="7:23">
      <c r="R280" s="786"/>
      <c r="S280" s="782"/>
      <c r="T280" s="787"/>
      <c r="U280" s="787"/>
      <c r="V280" s="779">
        <f t="shared" si="75"/>
        <v>0</v>
      </c>
      <c r="W280" s="795"/>
    </row>
    <row r="281" spans="7:23">
      <c r="R281" s="809"/>
      <c r="S281" s="782"/>
      <c r="T281" s="787"/>
      <c r="U281" s="787"/>
      <c r="V281" s="779">
        <f t="shared" si="75"/>
        <v>0</v>
      </c>
      <c r="W281" s="795"/>
    </row>
    <row r="282" spans="7:23">
      <c r="R282" s="809"/>
      <c r="S282" s="782"/>
      <c r="T282" s="787"/>
      <c r="U282" s="787"/>
      <c r="V282" s="855">
        <f>SUM(V275:V281)</f>
        <v>0</v>
      </c>
      <c r="W282" s="795"/>
    </row>
    <row r="284" spans="7:23">
      <c r="G284" s="753"/>
      <c r="N284" s="753"/>
    </row>
    <row r="285" spans="7:23">
      <c r="G285" s="753"/>
      <c r="H285" s="753"/>
      <c r="I285" s="753"/>
      <c r="J285" s="753"/>
      <c r="K285" s="753"/>
      <c r="L285" s="753"/>
      <c r="M285" s="753"/>
      <c r="N285" s="753"/>
    </row>
    <row r="286" spans="7:23">
      <c r="G286" s="815"/>
      <c r="N286" s="815"/>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138" customWidth="1"/>
    <col min="2" max="2" width="15.7109375" style="1138" customWidth="1"/>
    <col min="3" max="3" width="16.85546875" style="1138" customWidth="1"/>
    <col min="4" max="8" width="15.28515625" style="1138" customWidth="1"/>
    <col min="9" max="9" width="10.140625" style="1138" customWidth="1"/>
    <col min="10" max="10" width="5.85546875" style="1138" customWidth="1"/>
    <col min="11" max="16384" width="10.28515625" style="1138"/>
  </cols>
  <sheetData>
    <row r="1" spans="1:10" s="857" customFormat="1" ht="15" customHeight="1">
      <c r="A1" s="1125" t="s">
        <v>317</v>
      </c>
      <c r="B1" s="1125"/>
      <c r="D1" s="858"/>
      <c r="E1" s="858"/>
      <c r="F1" s="1387" t="s">
        <v>562</v>
      </c>
      <c r="G1" s="1387"/>
      <c r="H1" s="1387"/>
      <c r="I1" s="859"/>
      <c r="J1" s="860"/>
    </row>
    <row r="2" spans="1:10" s="857" customFormat="1" ht="29.25" customHeight="1">
      <c r="A2" s="1125" t="s">
        <v>563</v>
      </c>
      <c r="B2" s="1125"/>
      <c r="D2" s="861"/>
      <c r="E2" s="861"/>
      <c r="F2" s="1388" t="s">
        <v>144</v>
      </c>
      <c r="G2" s="1388"/>
      <c r="H2" s="1388"/>
      <c r="I2" s="859"/>
      <c r="J2" s="720">
        <v>1</v>
      </c>
    </row>
    <row r="3" spans="1:10" s="857" customFormat="1" ht="15">
      <c r="A3" s="1126"/>
      <c r="B3" s="1127"/>
      <c r="C3" s="861"/>
      <c r="D3" s="861"/>
      <c r="E3" s="861"/>
      <c r="F3" s="1388"/>
      <c r="G3" s="1388"/>
      <c r="H3" s="1388"/>
      <c r="I3" s="859"/>
    </row>
    <row r="4" spans="1:10" s="1129" customFormat="1" ht="17.25" customHeight="1">
      <c r="A4" s="1389" t="s">
        <v>564</v>
      </c>
      <c r="B4" s="1389"/>
      <c r="C4" s="1389"/>
      <c r="D4" s="1389"/>
      <c r="E4" s="1389"/>
      <c r="F4" s="1389"/>
      <c r="G4" s="1389"/>
      <c r="H4" s="1389"/>
      <c r="I4" s="1128"/>
    </row>
    <row r="5" spans="1:10" s="1130" customFormat="1" ht="17.25" customHeight="1">
      <c r="B5" s="1131"/>
      <c r="C5" s="1132" t="s">
        <v>468</v>
      </c>
      <c r="D5" s="1131" t="str">
        <f>IF($J$2&lt;10,"0"&amp;$J$2&amp;"  năm 2016",$J$2&amp;"  năm 2016")</f>
        <v>01  năm 2016</v>
      </c>
      <c r="E5" s="1131"/>
      <c r="F5" s="1131"/>
      <c r="G5" s="1131"/>
      <c r="H5" s="1131"/>
      <c r="I5" s="1131"/>
    </row>
    <row r="6" spans="1:10" s="1130" customFormat="1" ht="17.25" customHeight="1">
      <c r="B6" s="1133"/>
      <c r="C6" s="1390" t="s">
        <v>565</v>
      </c>
      <c r="D6" s="1390"/>
      <c r="E6" s="1391" t="s">
        <v>453</v>
      </c>
      <c r="F6" s="1391"/>
      <c r="H6" s="1133"/>
      <c r="I6" s="1131"/>
    </row>
    <row r="7" spans="1:10" s="1135" customFormat="1" ht="9.75" customHeight="1">
      <c r="A7" s="1134"/>
      <c r="B7" s="1134"/>
      <c r="C7" s="1134"/>
      <c r="D7" s="1134"/>
      <c r="E7" s="1134"/>
      <c r="F7" s="1134"/>
      <c r="G7" s="1134"/>
      <c r="H7" s="1134"/>
      <c r="I7" s="1133"/>
    </row>
    <row r="8" spans="1:10" s="863" customFormat="1" ht="17.25" customHeight="1">
      <c r="A8" s="1392" t="s">
        <v>566</v>
      </c>
      <c r="B8" s="1393" t="s">
        <v>567</v>
      </c>
      <c r="C8" s="1393" t="s">
        <v>568</v>
      </c>
      <c r="D8" s="1393"/>
      <c r="E8" s="1393"/>
      <c r="F8" s="1393"/>
      <c r="G8" s="1393"/>
      <c r="H8" s="1393"/>
      <c r="I8" s="862"/>
    </row>
    <row r="9" spans="1:10" s="866" customFormat="1" ht="28.5">
      <c r="A9" s="1392"/>
      <c r="B9" s="1393"/>
      <c r="C9" s="864" t="s">
        <v>569</v>
      </c>
      <c r="D9" s="864" t="s">
        <v>570</v>
      </c>
      <c r="E9" s="864" t="s">
        <v>571</v>
      </c>
      <c r="F9" s="864" t="s">
        <v>572</v>
      </c>
      <c r="G9" s="864" t="s">
        <v>573</v>
      </c>
      <c r="H9" s="864" t="s">
        <v>574</v>
      </c>
      <c r="I9" s="865"/>
    </row>
    <row r="10" spans="1:10" s="869" customFormat="1" ht="15">
      <c r="A10" s="867" t="s">
        <v>2</v>
      </c>
      <c r="B10" s="868">
        <v>1</v>
      </c>
      <c r="C10" s="868">
        <v>2</v>
      </c>
      <c r="D10" s="868">
        <v>3</v>
      </c>
      <c r="E10" s="868">
        <v>4</v>
      </c>
      <c r="F10" s="868">
        <v>5</v>
      </c>
      <c r="G10" s="868">
        <v>6</v>
      </c>
      <c r="H10" s="868">
        <v>7</v>
      </c>
      <c r="I10" s="859"/>
    </row>
    <row r="11" spans="1:10" s="1130" customFormat="1" ht="24.75" customHeight="1">
      <c r="A11" s="1136" t="s">
        <v>575</v>
      </c>
      <c r="B11" s="1137">
        <f>ROUND(SUM(C11:H11),0)</f>
        <v>0</v>
      </c>
      <c r="C11" s="1137">
        <v>0</v>
      </c>
      <c r="D11" s="1137">
        <v>0</v>
      </c>
      <c r="E11" s="1137">
        <v>0</v>
      </c>
      <c r="F11" s="1137">
        <v>0</v>
      </c>
      <c r="G11" s="1137">
        <v>0</v>
      </c>
      <c r="H11" s="1137">
        <v>0</v>
      </c>
      <c r="I11" s="1131"/>
    </row>
    <row r="12" spans="1:10" s="1130" customFormat="1" ht="24.75" customHeight="1">
      <c r="A12" s="1136" t="s">
        <v>576</v>
      </c>
      <c r="B12" s="1137">
        <f ca="1">ROUND(SUM(C12:H12),0)</f>
        <v>2108273740</v>
      </c>
      <c r="C12" s="1137">
        <f ca="1">IF(ISNA(VLOOKUP($E6,INDIRECT("DSSP"&amp;$J$2),6,0)),0,VLOOKUP($E6,INDIRECT("DSSP"&amp;$J$2),6,0))</f>
        <v>1914000000</v>
      </c>
      <c r="D12" s="1137">
        <f ca="1">IF(ISNA(VLOOKUP($E6,INDIRECT("DSSP"&amp;$J$2),7,0)),0,VLOOKUP($E6,INDIRECT("DSSP"&amp;$J$2),7,0))</f>
        <v>76689004.104627773</v>
      </c>
      <c r="E12" s="1137">
        <f ca="1">IF(ISNA(VLOOKUP($E6,INDIRECT("DSSP"&amp;$J$2),8,0)),0,VLOOKUP($E6,INDIRECT("DSSP"&amp;$J$2),8,0))</f>
        <v>27934714.334004026</v>
      </c>
      <c r="F12" s="1137">
        <f ca="1">IF(ISNA(VLOOKUP($E6,INDIRECT("DSSP"&amp;$J$2),9,0)),0,VLOOKUP($E6,INDIRECT("DSSP"&amp;$J$2),9,0))</f>
        <v>44073604.828973837</v>
      </c>
      <c r="G12" s="1137">
        <f ca="1">IF(ISNA(VLOOKUP($E6,INDIRECT("DSSP"&amp;$J$2),10,0)),0,VLOOKUP($E6,INDIRECT("DSSP"&amp;$J$2),10,0))</f>
        <v>30351417.078470826</v>
      </c>
      <c r="H12" s="1137">
        <f ca="1">IF(ISNA(VLOOKUP($E6,INDIRECT("DSSP"&amp;$J$2),11,0)),0,VLOOKUP($E6,INDIRECT("DSSP"&amp;$J$2),11,0))</f>
        <v>15225000</v>
      </c>
      <c r="I12" s="1131"/>
    </row>
    <row r="13" spans="1:10" s="1130" customFormat="1" ht="24.75" customHeight="1">
      <c r="A13" s="1136" t="s">
        <v>577</v>
      </c>
      <c r="B13" s="1137">
        <f ca="1">ROUND(IF(ISNA(VLOOKUP($E6,INDIRECT("DSSP"&amp;$J$2),13,0)),0,VLOOKUP($E6,INDIRECT("DSSP"&amp;$J$2),13,0)),0)</f>
        <v>2108273740</v>
      </c>
      <c r="C13" s="1137">
        <f t="shared" ref="C13:H13" ca="1" si="0">C12</f>
        <v>1914000000</v>
      </c>
      <c r="D13" s="1137">
        <f t="shared" ca="1" si="0"/>
        <v>76689004.104627773</v>
      </c>
      <c r="E13" s="1137">
        <f t="shared" ca="1" si="0"/>
        <v>27934714.334004026</v>
      </c>
      <c r="F13" s="1137">
        <f t="shared" ca="1" si="0"/>
        <v>44073604.828973837</v>
      </c>
      <c r="G13" s="1137">
        <f t="shared" ca="1" si="0"/>
        <v>30351417.078470826</v>
      </c>
      <c r="H13" s="1137">
        <f t="shared" ca="1" si="0"/>
        <v>15225000</v>
      </c>
      <c r="I13" s="1131"/>
    </row>
    <row r="14" spans="1:10" s="1130" customFormat="1" ht="24.75" customHeight="1">
      <c r="A14" s="1136" t="s">
        <v>578</v>
      </c>
      <c r="B14" s="1137">
        <f ca="1">B12-B13</f>
        <v>0</v>
      </c>
      <c r="C14" s="1137">
        <f t="shared" ref="C14:H14" ca="1" si="1">C12-C13</f>
        <v>0</v>
      </c>
      <c r="D14" s="1137">
        <f t="shared" ca="1" si="1"/>
        <v>0</v>
      </c>
      <c r="E14" s="1137">
        <f t="shared" ca="1" si="1"/>
        <v>0</v>
      </c>
      <c r="F14" s="1137">
        <f t="shared" ca="1" si="1"/>
        <v>0</v>
      </c>
      <c r="G14" s="1137">
        <f t="shared" ca="1" si="1"/>
        <v>0</v>
      </c>
      <c r="H14" s="1137">
        <f t="shared" ca="1" si="1"/>
        <v>0</v>
      </c>
      <c r="I14" s="1131"/>
    </row>
    <row r="15" spans="1:10" s="1130" customFormat="1" ht="15">
      <c r="B15" s="1131"/>
      <c r="C15" s="1131"/>
      <c r="D15" s="1131"/>
      <c r="E15" s="1131"/>
      <c r="F15" s="1131"/>
      <c r="G15" s="1131"/>
      <c r="H15" s="1131"/>
      <c r="I15" s="1131"/>
    </row>
    <row r="16" spans="1:10" s="1130" customFormat="1" ht="15">
      <c r="B16" s="1131"/>
      <c r="C16" s="1131"/>
      <c r="D16" s="1131"/>
      <c r="E16" s="1386" t="str">
        <f xml:space="preserve"> IF(OR($J$2=1,$J$2=4,$J$2=6,$J$2=9,$J$2=11),"Ngày  30  tháng  "&amp;$J$2&amp;"  năm 2016",IF(OR($J$2=3,$J$2=5,$J$2=7,$J$2=8,$J$2=10,$J$2=12),"Ngày  31  tháng  "&amp;$J$2&amp;"  năm 2016","Ngày  29  tháng  "&amp;$J$2&amp;"  năm 2016"))</f>
        <v>Ngày  30  tháng  1  năm 2016</v>
      </c>
      <c r="F16" s="1386"/>
      <c r="G16" s="1386"/>
      <c r="H16" s="1386"/>
      <c r="I16" s="1131"/>
    </row>
    <row r="17" spans="2:9" s="1130" customFormat="1" ht="15">
      <c r="B17" s="869" t="s">
        <v>579</v>
      </c>
      <c r="C17" s="1131"/>
      <c r="D17" s="1131"/>
      <c r="E17" s="1386" t="s">
        <v>12</v>
      </c>
      <c r="F17" s="1386"/>
      <c r="G17" s="1386"/>
      <c r="H17" s="1386"/>
      <c r="I17" s="1131"/>
    </row>
    <row r="19" spans="2:9" ht="15">
      <c r="E19" s="1139"/>
    </row>
    <row r="26" spans="2:9">
      <c r="B26" s="1109" t="s">
        <v>230</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78"/>
  <sheetViews>
    <sheetView topLeftCell="A10" workbookViewId="0">
      <pane ySplit="3" topLeftCell="A19" activePane="bottomLeft" state="frozen"/>
      <selection activeCell="A10" sqref="A10"/>
      <selection pane="bottomLeft" activeCell="D46" sqref="D46"/>
    </sheetView>
  </sheetViews>
  <sheetFormatPr defaultRowHeight="12.75"/>
  <cols>
    <col min="1" max="1" width="4.140625" style="1029" customWidth="1"/>
    <col min="2" max="2" width="9.140625" style="1029" customWidth="1"/>
    <col min="3" max="3" width="9" style="1030" customWidth="1"/>
    <col min="4" max="4" width="28.140625" style="1029" customWidth="1"/>
    <col min="5" max="5" width="9.140625" style="1029" customWidth="1"/>
    <col min="6" max="6" width="9.28515625" style="1030" customWidth="1"/>
    <col min="7" max="7" width="9" style="1029" customWidth="1"/>
    <col min="8" max="8" width="14.5703125" style="1029" customWidth="1"/>
    <col min="9" max="9" width="6" style="1029" customWidth="1"/>
    <col min="10" max="10" width="14.140625" style="1029" customWidth="1"/>
    <col min="11" max="11" width="14.85546875" style="1031" customWidth="1"/>
    <col min="12" max="12" width="14.42578125" style="1029" customWidth="1"/>
    <col min="13" max="13" width="5.85546875" style="1029" customWidth="1"/>
    <col min="14" max="14" width="7.42578125" style="1029" customWidth="1"/>
    <col min="15" max="15" width="11.7109375" style="1029" customWidth="1"/>
    <col min="16" max="16" width="4.5703125" style="1110" customWidth="1"/>
    <col min="17" max="17" width="12.85546875" style="1029" bestFit="1" customWidth="1"/>
    <col min="18" max="16384" width="9.140625" style="1029"/>
  </cols>
  <sheetData>
    <row r="1" spans="1:17" ht="15" customHeight="1">
      <c r="A1" s="1028" t="s">
        <v>1242</v>
      </c>
      <c r="M1" s="1032"/>
      <c r="N1" s="1033" t="s">
        <v>1243</v>
      </c>
      <c r="O1" s="1032"/>
    </row>
    <row r="2" spans="1:17" ht="15" customHeight="1">
      <c r="A2" s="1028" t="s">
        <v>1244</v>
      </c>
      <c r="L2" s="1031"/>
      <c r="M2" s="1031"/>
      <c r="N2" s="1034" t="s">
        <v>320</v>
      </c>
      <c r="O2" s="1031"/>
    </row>
    <row r="3" spans="1:17" ht="15" customHeight="1">
      <c r="L3" s="1031"/>
      <c r="M3" s="1031"/>
      <c r="N3" s="1034" t="s">
        <v>238</v>
      </c>
      <c r="O3" s="1031"/>
    </row>
    <row r="5" spans="1:17" s="1035" customFormat="1" ht="24" customHeight="1">
      <c r="A5" s="1403" t="s">
        <v>1245</v>
      </c>
      <c r="B5" s="1403"/>
      <c r="C5" s="1403"/>
      <c r="D5" s="1403"/>
      <c r="E5" s="1403"/>
      <c r="F5" s="1403"/>
      <c r="G5" s="1403"/>
      <c r="H5" s="1403"/>
      <c r="I5" s="1403"/>
      <c r="J5" s="1403"/>
      <c r="K5" s="1403"/>
      <c r="L5" s="1403"/>
      <c r="M5" s="1403"/>
      <c r="N5" s="1403"/>
      <c r="O5" s="1403"/>
      <c r="P5" s="1111"/>
    </row>
    <row r="6" spans="1:17" s="1035" customFormat="1" ht="21" customHeight="1">
      <c r="A6" s="1404" t="s">
        <v>1302</v>
      </c>
      <c r="B6" s="1404"/>
      <c r="C6" s="1404"/>
      <c r="D6" s="1404"/>
      <c r="E6" s="1404"/>
      <c r="F6" s="1404"/>
      <c r="G6" s="1404"/>
      <c r="H6" s="1404"/>
      <c r="I6" s="1404"/>
      <c r="J6" s="1404"/>
      <c r="K6" s="1404"/>
      <c r="L6" s="1404"/>
      <c r="M6" s="1404"/>
      <c r="N6" s="1404"/>
      <c r="O6" s="1404"/>
      <c r="P6" s="1111"/>
    </row>
    <row r="7" spans="1:17" s="1035" customFormat="1" ht="21" customHeight="1">
      <c r="A7" s="1405" t="s">
        <v>1310</v>
      </c>
      <c r="B7" s="1405"/>
      <c r="C7" s="1405"/>
      <c r="D7" s="1405"/>
      <c r="E7" s="1405"/>
      <c r="F7" s="1405"/>
      <c r="G7" s="1405"/>
      <c r="H7" s="1405"/>
      <c r="I7" s="1405"/>
      <c r="J7" s="1405"/>
      <c r="K7" s="1405"/>
      <c r="L7" s="1405"/>
      <c r="M7" s="1405"/>
      <c r="N7" s="1405"/>
      <c r="O7" s="1405"/>
      <c r="P7" s="1111"/>
    </row>
    <row r="8" spans="1:17">
      <c r="D8" s="1030"/>
    </row>
    <row r="9" spans="1:17" s="1036" customFormat="1" ht="24" customHeight="1">
      <c r="A9" s="1394" t="s">
        <v>501</v>
      </c>
      <c r="B9" s="1397" t="s">
        <v>1246</v>
      </c>
      <c r="C9" s="1398"/>
      <c r="D9" s="1398"/>
      <c r="E9" s="1398"/>
      <c r="F9" s="1398"/>
      <c r="G9" s="1398"/>
      <c r="H9" s="1399"/>
      <c r="I9" s="1397" t="s">
        <v>1247</v>
      </c>
      <c r="J9" s="1398"/>
      <c r="K9" s="1398"/>
      <c r="L9" s="1399"/>
      <c r="M9" s="1400" t="s">
        <v>1248</v>
      </c>
      <c r="N9" s="1400"/>
      <c r="O9" s="1400"/>
      <c r="P9" s="1112"/>
    </row>
    <row r="10" spans="1:17" s="1036" customFormat="1" ht="24" customHeight="1">
      <c r="A10" s="1395"/>
      <c r="B10" s="1397" t="s">
        <v>1249</v>
      </c>
      <c r="C10" s="1399"/>
      <c r="D10" s="1394" t="s">
        <v>1250</v>
      </c>
      <c r="E10" s="1394" t="s">
        <v>1251</v>
      </c>
      <c r="F10" s="1394" t="s">
        <v>1252</v>
      </c>
      <c r="G10" s="1394" t="s">
        <v>1253</v>
      </c>
      <c r="H10" s="1394" t="s">
        <v>1254</v>
      </c>
      <c r="I10" s="1397" t="s">
        <v>1255</v>
      </c>
      <c r="J10" s="1399"/>
      <c r="K10" s="1401" t="s">
        <v>1256</v>
      </c>
      <c r="L10" s="1394" t="s">
        <v>1257</v>
      </c>
      <c r="M10" s="1400" t="s">
        <v>1249</v>
      </c>
      <c r="N10" s="1400"/>
      <c r="O10" s="1400" t="s">
        <v>1258</v>
      </c>
      <c r="P10" s="1112"/>
    </row>
    <row r="11" spans="1:17" s="1036" customFormat="1" ht="55.5" customHeight="1">
      <c r="A11" s="1396"/>
      <c r="B11" s="1037" t="s">
        <v>1259</v>
      </c>
      <c r="C11" s="1037" t="s">
        <v>502</v>
      </c>
      <c r="D11" s="1396"/>
      <c r="E11" s="1396"/>
      <c r="F11" s="1396"/>
      <c r="G11" s="1396"/>
      <c r="H11" s="1396"/>
      <c r="I11" s="1037" t="s">
        <v>1260</v>
      </c>
      <c r="J11" s="1037" t="s">
        <v>1261</v>
      </c>
      <c r="K11" s="1402"/>
      <c r="L11" s="1396"/>
      <c r="M11" s="1037" t="s">
        <v>17</v>
      </c>
      <c r="N11" s="1037" t="s">
        <v>502</v>
      </c>
      <c r="O11" s="1400"/>
      <c r="P11" s="1112"/>
    </row>
    <row r="12" spans="1:17" s="1040" customFormat="1" ht="13.5">
      <c r="A12" s="1038" t="s">
        <v>2</v>
      </c>
      <c r="B12" s="1038" t="s">
        <v>3</v>
      </c>
      <c r="C12" s="1038" t="s">
        <v>4</v>
      </c>
      <c r="D12" s="1038" t="s">
        <v>5</v>
      </c>
      <c r="E12" s="1038" t="s">
        <v>6</v>
      </c>
      <c r="F12" s="1038" t="s">
        <v>156</v>
      </c>
      <c r="G12" s="1038" t="s">
        <v>1262</v>
      </c>
      <c r="H12" s="1038">
        <v>1</v>
      </c>
      <c r="I12" s="1038">
        <v>2</v>
      </c>
      <c r="J12" s="1038">
        <v>3</v>
      </c>
      <c r="K12" s="1039"/>
      <c r="L12" s="1038">
        <v>4</v>
      </c>
      <c r="M12" s="1038" t="s">
        <v>1263</v>
      </c>
      <c r="N12" s="1038" t="s">
        <v>1264</v>
      </c>
      <c r="O12" s="1038" t="s">
        <v>1265</v>
      </c>
      <c r="P12" s="1113"/>
    </row>
    <row r="13" spans="1:17" s="1040" customFormat="1" ht="21.75" customHeight="1">
      <c r="A13" s="1068" t="s">
        <v>1263</v>
      </c>
      <c r="B13" s="1069" t="s">
        <v>1305</v>
      </c>
      <c r="C13" s="1068"/>
      <c r="D13" s="1068"/>
      <c r="E13" s="1068"/>
      <c r="F13" s="1068"/>
      <c r="G13" s="1068"/>
      <c r="H13" s="1075"/>
      <c r="I13" s="1075"/>
      <c r="J13" s="1075"/>
      <c r="K13" s="1075"/>
      <c r="L13" s="1075"/>
      <c r="M13" s="1068"/>
      <c r="N13" s="1068"/>
      <c r="O13" s="1068"/>
      <c r="P13" s="1113" t="str">
        <f>IF(D13='THE-TS'!$D$11,"x","")</f>
        <v/>
      </c>
    </row>
    <row r="14" spans="1:17" ht="21.75" customHeight="1">
      <c r="A14" s="1067">
        <v>1</v>
      </c>
      <c r="B14" s="1080" t="s">
        <v>1312</v>
      </c>
      <c r="C14" s="1042">
        <v>40543</v>
      </c>
      <c r="D14" s="351" t="s">
        <v>1266</v>
      </c>
      <c r="E14" s="786" t="s">
        <v>1267</v>
      </c>
      <c r="F14" s="1082" t="s">
        <v>1342</v>
      </c>
      <c r="G14" s="1115" t="str">
        <f>RIGHT(B14,5)</f>
        <v>03/10</v>
      </c>
      <c r="H14" s="449">
        <v>1101349856</v>
      </c>
      <c r="I14" s="449">
        <v>25</v>
      </c>
      <c r="J14" s="8">
        <f>ROUND(H14/I14,0)+10</f>
        <v>44054004</v>
      </c>
      <c r="K14" s="8">
        <v>220269960</v>
      </c>
      <c r="L14" s="8">
        <f>K14+J14</f>
        <v>264323964</v>
      </c>
      <c r="M14" s="786"/>
      <c r="N14" s="786"/>
      <c r="O14" s="234"/>
      <c r="P14" s="1113" t="str">
        <f>IF(D14='THE-TS'!$D$11,"x","")</f>
        <v/>
      </c>
      <c r="Q14" s="1105">
        <f>J14/12</f>
        <v>3671167</v>
      </c>
    </row>
    <row r="15" spans="1:17" ht="21.75" customHeight="1">
      <c r="A15" s="1067">
        <v>2</v>
      </c>
      <c r="B15" s="1080" t="s">
        <v>1313</v>
      </c>
      <c r="C15" s="1042">
        <v>40543</v>
      </c>
      <c r="D15" s="351" t="s">
        <v>1268</v>
      </c>
      <c r="E15" s="786" t="s">
        <v>1267</v>
      </c>
      <c r="F15" s="1082" t="s">
        <v>1342</v>
      </c>
      <c r="G15" s="1115" t="str">
        <f t="shared" ref="G15:G32" si="0">RIGHT(B15,5)</f>
        <v>04/10</v>
      </c>
      <c r="H15" s="449">
        <v>1712810212</v>
      </c>
      <c r="I15" s="449">
        <v>5</v>
      </c>
      <c r="J15" s="8"/>
      <c r="K15" s="8">
        <v>1712810212</v>
      </c>
      <c r="L15" s="8">
        <f t="shared" ref="L15:L32" si="1">K15+J15</f>
        <v>1712810212</v>
      </c>
      <c r="M15" s="1063"/>
      <c r="N15" s="786"/>
      <c r="O15" s="234"/>
      <c r="P15" s="1113" t="str">
        <f>IF(D15='THE-TS'!$D$11,"x","")</f>
        <v/>
      </c>
      <c r="Q15" s="1105">
        <f>SUM(J15:J33)/12</f>
        <v>47128135.75</v>
      </c>
    </row>
    <row r="16" spans="1:17" ht="21.75" customHeight="1">
      <c r="A16" s="1067">
        <v>3</v>
      </c>
      <c r="B16" s="1080" t="s">
        <v>1314</v>
      </c>
      <c r="C16" s="1042">
        <v>40543</v>
      </c>
      <c r="D16" s="351" t="s">
        <v>1269</v>
      </c>
      <c r="E16" s="786" t="s">
        <v>1267</v>
      </c>
      <c r="F16" s="1082" t="s">
        <v>1342</v>
      </c>
      <c r="G16" s="1115" t="str">
        <f t="shared" si="0"/>
        <v>05/10</v>
      </c>
      <c r="H16" s="449">
        <v>4567613580</v>
      </c>
      <c r="I16" s="449">
        <v>25</v>
      </c>
      <c r="J16" s="8">
        <f>ROUND(H16/I16,0)-25</f>
        <v>182704518</v>
      </c>
      <c r="K16" s="8">
        <v>913522740</v>
      </c>
      <c r="L16" s="8">
        <f t="shared" si="1"/>
        <v>1096227258</v>
      </c>
      <c r="M16" s="786"/>
      <c r="N16" s="786"/>
      <c r="O16" s="234"/>
      <c r="P16" s="1113" t="str">
        <f>IF(D16='THE-TS'!$D$11,"x","")</f>
        <v/>
      </c>
      <c r="Q16" s="1105"/>
    </row>
    <row r="17" spans="1:17" ht="21.75" customHeight="1">
      <c r="A17" s="1067">
        <v>4</v>
      </c>
      <c r="B17" s="1081" t="s">
        <v>1315</v>
      </c>
      <c r="C17" s="1042">
        <v>41425</v>
      </c>
      <c r="D17" s="351" t="s">
        <v>1270</v>
      </c>
      <c r="E17" s="786" t="s">
        <v>1267</v>
      </c>
      <c r="F17" s="1082" t="s">
        <v>1330</v>
      </c>
      <c r="G17" s="1115" t="str">
        <f t="shared" si="0"/>
        <v>01/13</v>
      </c>
      <c r="H17" s="449">
        <v>108970000</v>
      </c>
      <c r="I17" s="1076">
        <v>5</v>
      </c>
      <c r="J17" s="8">
        <f>ROUND(H17/I17,0)-10</f>
        <v>21793990</v>
      </c>
      <c r="K17" s="8">
        <v>56301177</v>
      </c>
      <c r="L17" s="8">
        <f t="shared" si="1"/>
        <v>78095167</v>
      </c>
      <c r="M17" s="786"/>
      <c r="N17" s="786"/>
      <c r="O17" s="234"/>
      <c r="P17" s="1113" t="str">
        <f>IF(D17='THE-TS'!$D$11,"x","")</f>
        <v/>
      </c>
      <c r="Q17" s="1105"/>
    </row>
    <row r="18" spans="1:17" s="1040" customFormat="1" ht="21.75" customHeight="1">
      <c r="A18" s="1066" t="s">
        <v>1306</v>
      </c>
      <c r="B18" s="1070" t="s">
        <v>1307</v>
      </c>
      <c r="C18" s="1066"/>
      <c r="D18" s="1066"/>
      <c r="E18" s="1066"/>
      <c r="F18" s="1066"/>
      <c r="G18" s="1115"/>
      <c r="H18" s="1077"/>
      <c r="I18" s="1077"/>
      <c r="J18" s="1077"/>
      <c r="K18" s="1077"/>
      <c r="L18" s="8"/>
      <c r="M18" s="1066"/>
      <c r="N18" s="1066"/>
      <c r="O18" s="234"/>
      <c r="P18" s="1113" t="str">
        <f>IF(D18='THE-TS'!$D$11,"x","")</f>
        <v/>
      </c>
      <c r="Q18" s="1105"/>
    </row>
    <row r="19" spans="1:17" ht="21.75" customHeight="1">
      <c r="A19" s="1067">
        <v>1</v>
      </c>
      <c r="B19" s="1082" t="s">
        <v>1319</v>
      </c>
      <c r="C19" s="1042">
        <v>40543</v>
      </c>
      <c r="D19" s="351" t="s">
        <v>1274</v>
      </c>
      <c r="E19" s="786"/>
      <c r="F19" s="1082" t="s">
        <v>1342</v>
      </c>
      <c r="G19" s="1115" t="str">
        <f t="shared" si="0"/>
        <v>02/10</v>
      </c>
      <c r="H19" s="449">
        <v>210000000</v>
      </c>
      <c r="I19" s="449">
        <v>5</v>
      </c>
      <c r="J19" s="8"/>
      <c r="K19" s="8">
        <v>210000000</v>
      </c>
      <c r="L19" s="8">
        <f t="shared" si="1"/>
        <v>210000000</v>
      </c>
      <c r="M19" s="1063"/>
      <c r="N19" s="786"/>
      <c r="O19" s="234"/>
      <c r="P19" s="1113" t="str">
        <f>IF(D19='THE-TS'!$D$11,"x","")</f>
        <v/>
      </c>
      <c r="Q19" s="1105"/>
    </row>
    <row r="20" spans="1:17" ht="21.75" customHeight="1">
      <c r="A20" s="1067">
        <v>2</v>
      </c>
      <c r="B20" s="1080" t="s">
        <v>1320</v>
      </c>
      <c r="C20" s="1042">
        <v>40543</v>
      </c>
      <c r="D20" s="351" t="s">
        <v>1275</v>
      </c>
      <c r="E20" s="786" t="s">
        <v>1267</v>
      </c>
      <c r="F20" s="1082" t="s">
        <v>1342</v>
      </c>
      <c r="G20" s="1115" t="str">
        <f t="shared" si="0"/>
        <v>06/10</v>
      </c>
      <c r="H20" s="449">
        <v>2787898863</v>
      </c>
      <c r="I20" s="449">
        <v>5</v>
      </c>
      <c r="J20" s="8"/>
      <c r="K20" s="8">
        <v>2787898863</v>
      </c>
      <c r="L20" s="8">
        <f t="shared" si="1"/>
        <v>2787898863</v>
      </c>
      <c r="M20" s="1063"/>
      <c r="N20" s="786"/>
      <c r="O20" s="234"/>
      <c r="P20" s="1113" t="str">
        <f>IF(D20='THE-TS'!$D$11,"x","")</f>
        <v/>
      </c>
      <c r="Q20" s="1105"/>
    </row>
    <row r="21" spans="1:17" ht="21.75" customHeight="1">
      <c r="A21" s="1067">
        <v>3</v>
      </c>
      <c r="B21" s="1080" t="s">
        <v>1321</v>
      </c>
      <c r="C21" s="1042">
        <v>41883</v>
      </c>
      <c r="D21" s="351" t="s">
        <v>1276</v>
      </c>
      <c r="E21" s="786"/>
      <c r="F21" s="1082" t="s">
        <v>1331</v>
      </c>
      <c r="G21" s="1115" t="str">
        <f t="shared" si="0"/>
        <v>12/14</v>
      </c>
      <c r="H21" s="449">
        <v>150000000</v>
      </c>
      <c r="I21" s="1076">
        <v>3</v>
      </c>
      <c r="J21" s="8">
        <f>ROUND(H21/I21,0)-5</f>
        <v>49999995</v>
      </c>
      <c r="K21" s="8">
        <v>62500005</v>
      </c>
      <c r="L21" s="8">
        <f t="shared" si="1"/>
        <v>112500000</v>
      </c>
      <c r="M21" s="1063"/>
      <c r="N21" s="234"/>
      <c r="O21" s="234"/>
      <c r="P21" s="1113" t="str">
        <f>IF(D21='THE-TS'!$D$11,"x","")</f>
        <v/>
      </c>
      <c r="Q21" s="1105"/>
    </row>
    <row r="22" spans="1:17" ht="21.75" customHeight="1">
      <c r="A22" s="1067">
        <v>4</v>
      </c>
      <c r="B22" s="1080" t="s">
        <v>1322</v>
      </c>
      <c r="C22" s="1042">
        <v>41883</v>
      </c>
      <c r="D22" s="351" t="s">
        <v>1277</v>
      </c>
      <c r="E22" s="786"/>
      <c r="F22" s="1082" t="s">
        <v>1331</v>
      </c>
      <c r="G22" s="1115" t="str">
        <f t="shared" si="0"/>
        <v>13/14</v>
      </c>
      <c r="H22" s="449">
        <v>80000000</v>
      </c>
      <c r="I22" s="1076">
        <v>3</v>
      </c>
      <c r="J22" s="8">
        <f>ROUND(H22/I22,0)+4</f>
        <v>26666671</v>
      </c>
      <c r="K22" s="8">
        <v>33333330</v>
      </c>
      <c r="L22" s="8">
        <f t="shared" si="1"/>
        <v>60000001</v>
      </c>
      <c r="M22" s="1063"/>
      <c r="N22" s="786"/>
      <c r="O22" s="234"/>
      <c r="P22" s="1113" t="str">
        <f>IF(D22='THE-TS'!$D$11,"x","")</f>
        <v/>
      </c>
      <c r="Q22" s="1105"/>
    </row>
    <row r="23" spans="1:17" ht="21.75" customHeight="1">
      <c r="A23" s="1067">
        <v>5</v>
      </c>
      <c r="B23" s="1080" t="s">
        <v>1323</v>
      </c>
      <c r="C23" s="1042">
        <v>41890</v>
      </c>
      <c r="D23" s="351" t="s">
        <v>1278</v>
      </c>
      <c r="E23" s="786"/>
      <c r="F23" s="1082" t="s">
        <v>1331</v>
      </c>
      <c r="G23" s="1115" t="str">
        <f t="shared" si="0"/>
        <v>14/14</v>
      </c>
      <c r="H23" s="449">
        <v>50000000</v>
      </c>
      <c r="I23" s="1076">
        <v>3</v>
      </c>
      <c r="J23" s="8">
        <f>ROUND(H23/I23,0)-1</f>
        <v>16666666</v>
      </c>
      <c r="K23" s="8">
        <v>20833335</v>
      </c>
      <c r="L23" s="8">
        <f t="shared" si="1"/>
        <v>37500001</v>
      </c>
      <c r="M23" s="1063"/>
      <c r="N23" s="786"/>
      <c r="O23" s="234"/>
      <c r="P23" s="1113" t="str">
        <f>IF(D23='THE-TS'!$D$11,"x","")</f>
        <v/>
      </c>
      <c r="Q23" s="1105"/>
    </row>
    <row r="24" spans="1:17" ht="21.75" customHeight="1">
      <c r="A24" s="1067">
        <v>6</v>
      </c>
      <c r="B24" s="1080" t="s">
        <v>1324</v>
      </c>
      <c r="C24" s="1042">
        <v>41890</v>
      </c>
      <c r="D24" s="351" t="s">
        <v>1279</v>
      </c>
      <c r="E24" s="786"/>
      <c r="F24" s="1082" t="s">
        <v>1331</v>
      </c>
      <c r="G24" s="1115" t="str">
        <f t="shared" si="0"/>
        <v>15/14</v>
      </c>
      <c r="H24" s="449">
        <v>100000000</v>
      </c>
      <c r="I24" s="1076">
        <v>5</v>
      </c>
      <c r="J24" s="8">
        <f>ROUND(H24/I24,0)-5</f>
        <v>19999995</v>
      </c>
      <c r="K24" s="8">
        <v>25000005</v>
      </c>
      <c r="L24" s="8">
        <f t="shared" si="1"/>
        <v>45000000</v>
      </c>
      <c r="M24" s="1063"/>
      <c r="N24" s="786"/>
      <c r="O24" s="234"/>
      <c r="P24" s="1113" t="str">
        <f>IF(D24='THE-TS'!$D$11,"x","")</f>
        <v/>
      </c>
      <c r="Q24" s="1105"/>
    </row>
    <row r="25" spans="1:17" ht="21.75" customHeight="1">
      <c r="A25" s="1067">
        <v>7</v>
      </c>
      <c r="B25" s="1080" t="s">
        <v>1325</v>
      </c>
      <c r="C25" s="1042">
        <v>41890</v>
      </c>
      <c r="D25" s="351" t="s">
        <v>1280</v>
      </c>
      <c r="E25" s="786"/>
      <c r="F25" s="1082" t="s">
        <v>1331</v>
      </c>
      <c r="G25" s="1115" t="str">
        <f t="shared" si="0"/>
        <v>16/14</v>
      </c>
      <c r="H25" s="449">
        <v>100000000</v>
      </c>
      <c r="I25" s="1076">
        <v>5</v>
      </c>
      <c r="J25" s="8">
        <f>ROUND(H25/I25,0)-5</f>
        <v>19999995</v>
      </c>
      <c r="K25" s="8">
        <v>25000005</v>
      </c>
      <c r="L25" s="8">
        <f t="shared" si="1"/>
        <v>45000000</v>
      </c>
      <c r="M25" s="1063"/>
      <c r="N25" s="786"/>
      <c r="O25" s="234"/>
      <c r="P25" s="1113" t="str">
        <f>IF(D25='THE-TS'!$D$11,"x","")</f>
        <v>x</v>
      </c>
      <c r="Q25" s="1105"/>
    </row>
    <row r="26" spans="1:17" ht="21.75" customHeight="1">
      <c r="A26" s="1067">
        <v>8</v>
      </c>
      <c r="B26" s="1080" t="s">
        <v>1326</v>
      </c>
      <c r="C26" s="1042">
        <v>41890</v>
      </c>
      <c r="D26" s="351" t="s">
        <v>1281</v>
      </c>
      <c r="E26" s="786"/>
      <c r="F26" s="1082" t="s">
        <v>1331</v>
      </c>
      <c r="G26" s="1115" t="str">
        <f t="shared" si="0"/>
        <v>17/14</v>
      </c>
      <c r="H26" s="449">
        <v>110000000</v>
      </c>
      <c r="I26" s="1076">
        <v>5</v>
      </c>
      <c r="J26" s="8">
        <f>ROUND(H26/I26,0)+5</f>
        <v>22000005</v>
      </c>
      <c r="K26" s="8">
        <f>27499995</f>
        <v>27499995</v>
      </c>
      <c r="L26" s="8">
        <f t="shared" si="1"/>
        <v>49500000</v>
      </c>
      <c r="M26" s="1063"/>
      <c r="N26" s="786"/>
      <c r="O26" s="234"/>
      <c r="P26" s="1113" t="str">
        <f>IF(D26='THE-TS'!$D$11,"x","")</f>
        <v/>
      </c>
      <c r="Q26" s="1105"/>
    </row>
    <row r="27" spans="1:17" ht="21.75" customHeight="1">
      <c r="A27" s="1067">
        <v>8</v>
      </c>
      <c r="B27" s="1080" t="s">
        <v>1326</v>
      </c>
      <c r="C27" s="1042">
        <v>41890</v>
      </c>
      <c r="D27" s="351" t="s">
        <v>1281</v>
      </c>
      <c r="E27" s="786"/>
      <c r="F27" s="1082" t="s">
        <v>1331</v>
      </c>
      <c r="G27" s="1115" t="str">
        <f t="shared" ref="G27" si="2">RIGHT(B27,5)</f>
        <v>17/14</v>
      </c>
      <c r="H27" s="449">
        <v>110000000</v>
      </c>
      <c r="I27" s="1076">
        <v>5</v>
      </c>
      <c r="J27" s="8">
        <f t="shared" ref="J27:J28" si="3">ROUND(H27/I27,0)+5</f>
        <v>22000005</v>
      </c>
      <c r="K27" s="8">
        <f t="shared" ref="K27:K28" si="4">27499995</f>
        <v>27499995</v>
      </c>
      <c r="L27" s="8">
        <f t="shared" ref="L27" si="5">K27+J27</f>
        <v>49500000</v>
      </c>
      <c r="M27" s="1063"/>
      <c r="N27" s="786"/>
      <c r="O27" s="234"/>
      <c r="P27" s="1113" t="str">
        <f>IF(D27='THE-TS'!$D$11,"x","")</f>
        <v/>
      </c>
      <c r="Q27" s="1105"/>
    </row>
    <row r="28" spans="1:17" ht="21.75" customHeight="1">
      <c r="A28" s="1067">
        <v>8</v>
      </c>
      <c r="B28" s="1080" t="s">
        <v>1326</v>
      </c>
      <c r="C28" s="1042">
        <v>41890</v>
      </c>
      <c r="D28" s="351" t="s">
        <v>1281</v>
      </c>
      <c r="E28" s="786"/>
      <c r="F28" s="1082" t="s">
        <v>1331</v>
      </c>
      <c r="G28" s="1115" t="str">
        <f t="shared" si="0"/>
        <v>17/14</v>
      </c>
      <c r="H28" s="449">
        <v>110000000</v>
      </c>
      <c r="I28" s="1076">
        <v>5</v>
      </c>
      <c r="J28" s="8">
        <f t="shared" si="3"/>
        <v>22000005</v>
      </c>
      <c r="K28" s="8">
        <f t="shared" si="4"/>
        <v>27499995</v>
      </c>
      <c r="L28" s="8">
        <f t="shared" si="1"/>
        <v>49500000</v>
      </c>
      <c r="M28" s="1063"/>
      <c r="N28" s="786"/>
      <c r="O28" s="234"/>
      <c r="P28" s="1113" t="str">
        <f>IF(D28='THE-TS'!$D$11,"x","")</f>
        <v/>
      </c>
      <c r="Q28" s="1105"/>
    </row>
    <row r="29" spans="1:17" s="1040" customFormat="1" ht="21.75" customHeight="1">
      <c r="A29" s="1066" t="s">
        <v>1308</v>
      </c>
      <c r="B29" s="1070" t="s">
        <v>1309</v>
      </c>
      <c r="C29" s="1066"/>
      <c r="D29" s="1066"/>
      <c r="E29" s="1066"/>
      <c r="F29" s="1066"/>
      <c r="G29" s="1115"/>
      <c r="H29" s="1077"/>
      <c r="I29" s="1077"/>
      <c r="J29" s="8"/>
      <c r="K29" s="1077"/>
      <c r="L29" s="8"/>
      <c r="M29" s="1066"/>
      <c r="N29" s="1066"/>
      <c r="O29" s="234"/>
      <c r="P29" s="1113" t="str">
        <f>IF(D29='THE-TS'!$D$11,"x","")</f>
        <v/>
      </c>
      <c r="Q29" s="1105"/>
    </row>
    <row r="30" spans="1:17" ht="21.75" customHeight="1">
      <c r="A30" s="1067">
        <v>1</v>
      </c>
      <c r="B30" s="1082" t="s">
        <v>1316</v>
      </c>
      <c r="C30" s="1042">
        <v>40543</v>
      </c>
      <c r="D30" s="351" t="s">
        <v>1282</v>
      </c>
      <c r="E30" s="786" t="s">
        <v>1267</v>
      </c>
      <c r="F30" s="1082" t="s">
        <v>1342</v>
      </c>
      <c r="G30" s="1115" t="str">
        <f t="shared" si="0"/>
        <v>07/10</v>
      </c>
      <c r="H30" s="449">
        <v>2173860839</v>
      </c>
      <c r="I30" s="449">
        <v>5</v>
      </c>
      <c r="J30" s="8"/>
      <c r="K30" s="8">
        <v>2173860839</v>
      </c>
      <c r="L30" s="8">
        <f t="shared" si="1"/>
        <v>2173860839</v>
      </c>
      <c r="M30" s="786"/>
      <c r="N30" s="786"/>
      <c r="O30" s="234"/>
      <c r="P30" s="1113" t="str">
        <f>IF(D30='THE-TS'!$D$11,"x","")</f>
        <v/>
      </c>
      <c r="Q30" s="1105"/>
    </row>
    <row r="31" spans="1:17" ht="21.75" customHeight="1">
      <c r="A31" s="1067">
        <v>2</v>
      </c>
      <c r="B31" s="1082" t="s">
        <v>1317</v>
      </c>
      <c r="C31" s="1042">
        <v>40543</v>
      </c>
      <c r="D31" s="351" t="s">
        <v>1283</v>
      </c>
      <c r="E31" s="786" t="s">
        <v>1267</v>
      </c>
      <c r="F31" s="1082" t="s">
        <v>1342</v>
      </c>
      <c r="G31" s="1115" t="str">
        <f t="shared" si="0"/>
        <v>08/10</v>
      </c>
      <c r="H31" s="449">
        <v>1303180703</v>
      </c>
      <c r="I31" s="449">
        <v>10</v>
      </c>
      <c r="J31" s="8">
        <f>ROUND(H31/I31,0)+10</f>
        <v>130318080</v>
      </c>
      <c r="K31" s="8">
        <v>651590340</v>
      </c>
      <c r="L31" s="8">
        <f t="shared" si="1"/>
        <v>781908420</v>
      </c>
      <c r="M31" s="786"/>
      <c r="N31" s="786"/>
      <c r="O31" s="234"/>
      <c r="P31" s="1113" t="str">
        <f>IF(D31='THE-TS'!$D$11,"x","")</f>
        <v/>
      </c>
      <c r="Q31" s="1105"/>
    </row>
    <row r="32" spans="1:17" ht="21.75" customHeight="1">
      <c r="A32" s="1067">
        <v>3</v>
      </c>
      <c r="B32" s="1082" t="s">
        <v>1318</v>
      </c>
      <c r="C32" s="1042">
        <v>40543</v>
      </c>
      <c r="D32" s="351" t="s">
        <v>1284</v>
      </c>
      <c r="E32" s="786" t="s">
        <v>1267</v>
      </c>
      <c r="F32" s="1082" t="s">
        <v>1342</v>
      </c>
      <c r="G32" s="1115" t="str">
        <f t="shared" si="0"/>
        <v>09/10</v>
      </c>
      <c r="H32" s="449">
        <v>313876943</v>
      </c>
      <c r="I32" s="449">
        <v>10</v>
      </c>
      <c r="J32" s="8">
        <f>ROUND(H32/I32,0)+10</f>
        <v>31387704</v>
      </c>
      <c r="K32" s="8">
        <v>156938460</v>
      </c>
      <c r="L32" s="8">
        <f t="shared" si="1"/>
        <v>188326164</v>
      </c>
      <c r="M32" s="786"/>
      <c r="N32" s="786"/>
      <c r="O32" s="234"/>
      <c r="P32" s="1113" t="str">
        <f>IF(D32='THE-TS'!$D$11,"x","")</f>
        <v/>
      </c>
      <c r="Q32" s="1105"/>
    </row>
    <row r="33" spans="1:16" ht="21.75" customHeight="1">
      <c r="A33" s="1045"/>
      <c r="B33" s="1071"/>
      <c r="C33" s="1072"/>
      <c r="D33" s="1073"/>
      <c r="E33" s="1046"/>
      <c r="F33" s="1072"/>
      <c r="G33" s="1071"/>
      <c r="H33" s="1078"/>
      <c r="I33" s="1078"/>
      <c r="J33" s="533"/>
      <c r="K33" s="533"/>
      <c r="L33" s="533"/>
      <c r="M33" s="1046"/>
      <c r="N33" s="1046"/>
      <c r="O33" s="1046"/>
      <c r="P33" s="1113" t="str">
        <f>IF(D33='THE-TS'!$D$11,"x","")</f>
        <v/>
      </c>
    </row>
    <row r="34" spans="1:16" s="1052" customFormat="1" ht="21.75" customHeight="1">
      <c r="A34" s="1049"/>
      <c r="B34" s="1050"/>
      <c r="C34" s="1049"/>
      <c r="D34" s="1049" t="s">
        <v>1271</v>
      </c>
      <c r="E34" s="1049" t="s">
        <v>21</v>
      </c>
      <c r="F34" s="1049" t="s">
        <v>21</v>
      </c>
      <c r="G34" s="1049" t="s">
        <v>21</v>
      </c>
      <c r="H34" s="1079">
        <f>SUM(H13:H33)</f>
        <v>15089560996</v>
      </c>
      <c r="I34" s="1079"/>
      <c r="J34" s="1079">
        <f>SUM(J13:J33)</f>
        <v>609591633</v>
      </c>
      <c r="K34" s="1079">
        <f>SUM(K13:K33)</f>
        <v>9132359256</v>
      </c>
      <c r="L34" s="1079">
        <f>SUM(L13:L33)</f>
        <v>9741950889</v>
      </c>
      <c r="M34" s="1049" t="s">
        <v>21</v>
      </c>
      <c r="N34" s="1049" t="s">
        <v>21</v>
      </c>
      <c r="O34" s="1049" t="s">
        <v>21</v>
      </c>
      <c r="P34" s="1113" t="str">
        <f>IF(D34='THE-TS'!$D$11,"x","")</f>
        <v/>
      </c>
    </row>
    <row r="35" spans="1:16" ht="6.75" customHeight="1">
      <c r="A35" s="820"/>
      <c r="B35" s="820"/>
      <c r="C35" s="1053"/>
      <c r="D35" s="820"/>
      <c r="E35" s="1053"/>
      <c r="F35" s="1053"/>
      <c r="G35" s="1053"/>
      <c r="H35" s="820"/>
      <c r="I35" s="820"/>
      <c r="J35" s="820"/>
      <c r="K35" s="1054"/>
      <c r="L35" s="820"/>
      <c r="M35" s="820"/>
      <c r="N35" s="820"/>
      <c r="O35" s="820"/>
      <c r="P35" s="1113" t="str">
        <f>IF(D35='THE-TS'!$D$11,"x","")</f>
        <v/>
      </c>
    </row>
    <row r="36" spans="1:16" ht="13.5" customHeight="1">
      <c r="A36" s="820"/>
      <c r="B36" s="820"/>
      <c r="C36" s="1053"/>
      <c r="D36" s="820" t="s">
        <v>1272</v>
      </c>
      <c r="E36" s="820"/>
      <c r="F36" s="1053"/>
      <c r="G36" s="820"/>
      <c r="H36" s="1031"/>
      <c r="I36" s="1031"/>
      <c r="J36" s="1122"/>
      <c r="L36" s="1031"/>
      <c r="M36" s="820"/>
      <c r="N36" s="820"/>
      <c r="O36" s="820"/>
      <c r="P36" s="1113" t="str">
        <f>IF(D36='THE-TS'!$D$11,"x","")</f>
        <v/>
      </c>
    </row>
    <row r="37" spans="1:16" ht="13.5" customHeight="1">
      <c r="A37" s="820"/>
      <c r="B37" s="820"/>
      <c r="C37" s="1053"/>
      <c r="D37" s="820" t="s">
        <v>1303</v>
      </c>
      <c r="E37" s="820"/>
      <c r="F37" s="1053"/>
      <c r="G37" s="820"/>
      <c r="H37" s="1064"/>
      <c r="I37" s="820"/>
      <c r="J37" s="1074"/>
      <c r="K37" s="1054"/>
      <c r="L37" s="820"/>
      <c r="M37" s="820"/>
      <c r="N37" s="820"/>
      <c r="O37" s="820"/>
      <c r="P37" s="1113" t="str">
        <f>IF(D37='THE-TS'!$D$11,"x","")</f>
        <v/>
      </c>
    </row>
    <row r="38" spans="1:16" ht="13.5" customHeight="1">
      <c r="K38" s="1055"/>
      <c r="L38" s="1034" t="s">
        <v>1304</v>
      </c>
      <c r="P38" s="1113" t="str">
        <f>IF(D38='THE-TS'!$D$11,"x","")</f>
        <v/>
      </c>
    </row>
    <row r="39" spans="1:16" ht="13.5" customHeight="1">
      <c r="B39" s="1030"/>
      <c r="D39" s="1030" t="s">
        <v>11</v>
      </c>
      <c r="F39" s="1030" t="s">
        <v>1273</v>
      </c>
      <c r="I39" s="1056"/>
      <c r="K39" s="1053"/>
      <c r="L39" s="1053" t="s">
        <v>131</v>
      </c>
      <c r="P39" s="1113" t="str">
        <f>IF(D39='THE-TS'!$D$11,"x","")</f>
        <v/>
      </c>
    </row>
    <row r="40" spans="1:16" ht="13.5" customHeight="1">
      <c r="B40" s="1030"/>
      <c r="D40" s="1030"/>
      <c r="P40" s="1113" t="str">
        <f>IF(D40='THE-TS'!$D$11,"x","")</f>
        <v/>
      </c>
    </row>
    <row r="41" spans="1:16" ht="13.5" customHeight="1">
      <c r="H41" s="1057"/>
      <c r="J41" s="1057"/>
      <c r="L41" s="1057"/>
      <c r="P41" s="1113" t="str">
        <f>IF(D41='THE-TS'!$D$11,"x","")</f>
        <v/>
      </c>
    </row>
    <row r="42" spans="1:16" ht="13.5" customHeight="1">
      <c r="H42" s="1058"/>
      <c r="P42" s="1113" t="str">
        <f>IF(D42='THE-TS'!$D$11,"x","")</f>
        <v/>
      </c>
    </row>
    <row r="43" spans="1:16" ht="13.5" customHeight="1">
      <c r="H43" s="1058"/>
      <c r="J43" s="1057"/>
      <c r="P43" s="1113" t="str">
        <f>IF(D43='THE-TS'!$D$11,"x","")</f>
        <v/>
      </c>
    </row>
    <row r="44" spans="1:16" ht="13.5" customHeight="1">
      <c r="H44" s="1058"/>
      <c r="P44" s="1113" t="str">
        <f>IF(D44='THE-TS'!$D$11,"x","")</f>
        <v/>
      </c>
    </row>
    <row r="45" spans="1:16" ht="13.5" customHeight="1">
      <c r="H45" s="1058"/>
      <c r="P45" s="1113" t="str">
        <f>IF(D45='THE-TS'!$D$11,"x","")</f>
        <v/>
      </c>
    </row>
    <row r="46" spans="1:16" s="1059" customFormat="1" ht="13.5" customHeight="1">
      <c r="C46" s="1060"/>
      <c r="D46" s="1060" t="s">
        <v>230</v>
      </c>
      <c r="F46" s="1060"/>
      <c r="H46" s="1061"/>
      <c r="K46" s="1062"/>
      <c r="L46" s="1059" t="s">
        <v>125</v>
      </c>
      <c r="P46" s="1113" t="str">
        <f>IF(D46='THE-TS'!$D$11,"x","")</f>
        <v/>
      </c>
    </row>
    <row r="47" spans="1:16" ht="13.5">
      <c r="P47" s="1113" t="str">
        <f>IF(D47='THE-TS'!$D$11,"x","")</f>
        <v/>
      </c>
    </row>
    <row r="48" spans="1:16" ht="13.5" customHeight="1">
      <c r="H48" s="1058"/>
      <c r="P48" s="1113" t="str">
        <f>IF(D48='THE-TS'!$D$11,"x","")</f>
        <v/>
      </c>
    </row>
    <row r="49" spans="1:17" ht="13.5">
      <c r="P49" s="1113" t="str">
        <f>IF(D49='THE-TS'!$D$11,"x","")</f>
        <v/>
      </c>
    </row>
    <row r="50" spans="1:17" ht="13.5">
      <c r="P50" s="1113" t="str">
        <f>IF(D50='THE-TS'!$D$11,"x","")</f>
        <v/>
      </c>
    </row>
    <row r="51" spans="1:17" ht="13.5">
      <c r="P51" s="1113" t="str">
        <f>IF(D51='THE-TS'!$D$11,"x","")</f>
        <v/>
      </c>
    </row>
    <row r="52" spans="1:17" ht="13.5">
      <c r="A52" s="1028" t="s">
        <v>1242</v>
      </c>
      <c r="L52" s="1032"/>
      <c r="M52" s="1032"/>
      <c r="N52" s="1033" t="s">
        <v>1243</v>
      </c>
      <c r="O52" s="1032"/>
      <c r="P52" s="1113" t="str">
        <f>IF(D52='THE-TS'!$D$11,"x","")</f>
        <v/>
      </c>
    </row>
    <row r="53" spans="1:17" ht="13.5">
      <c r="A53" s="1028" t="s">
        <v>1244</v>
      </c>
      <c r="L53" s="1031"/>
      <c r="M53" s="1031"/>
      <c r="N53" s="1034" t="s">
        <v>320</v>
      </c>
      <c r="O53" s="1031"/>
      <c r="P53" s="1113" t="str">
        <f>IF(D53='THE-TS'!$D$11,"x","")</f>
        <v/>
      </c>
    </row>
    <row r="54" spans="1:17" ht="13.5">
      <c r="L54" s="1031"/>
      <c r="M54" s="1031"/>
      <c r="N54" s="1034" t="s">
        <v>238</v>
      </c>
      <c r="O54" s="1031"/>
      <c r="P54" s="1113" t="str">
        <f>IF(D54='THE-TS'!$D$11,"x","")</f>
        <v/>
      </c>
    </row>
    <row r="55" spans="1:17" ht="13.5">
      <c r="P55" s="1113" t="str">
        <f>IF(D55='THE-TS'!$D$11,"x","")</f>
        <v/>
      </c>
    </row>
    <row r="56" spans="1:17" s="1124" customFormat="1" ht="28.5" customHeight="1">
      <c r="A56" s="1403" t="s">
        <v>1245</v>
      </c>
      <c r="B56" s="1403"/>
      <c r="C56" s="1403"/>
      <c r="D56" s="1403"/>
      <c r="E56" s="1403"/>
      <c r="F56" s="1403"/>
      <c r="G56" s="1403"/>
      <c r="H56" s="1403"/>
      <c r="I56" s="1403"/>
      <c r="J56" s="1403"/>
      <c r="K56" s="1403"/>
      <c r="L56" s="1403"/>
      <c r="M56" s="1403"/>
      <c r="N56" s="1403"/>
      <c r="O56" s="1403"/>
      <c r="P56" s="1123" t="str">
        <f>IF(D56='THE-TS'!$D$11,"x","")</f>
        <v/>
      </c>
    </row>
    <row r="57" spans="1:17" s="1035" customFormat="1" ht="19.5" customHeight="1">
      <c r="A57" s="1404" t="s">
        <v>1302</v>
      </c>
      <c r="B57" s="1404"/>
      <c r="C57" s="1404"/>
      <c r="D57" s="1404"/>
      <c r="E57" s="1404"/>
      <c r="F57" s="1404"/>
      <c r="G57" s="1404"/>
      <c r="H57" s="1404"/>
      <c r="I57" s="1404"/>
      <c r="J57" s="1404"/>
      <c r="K57" s="1404"/>
      <c r="L57" s="1404"/>
      <c r="M57" s="1404"/>
      <c r="N57" s="1404"/>
      <c r="O57" s="1404"/>
      <c r="P57" s="1113" t="str">
        <f>IF(D57='THE-TS'!$D$11,"x","")</f>
        <v/>
      </c>
    </row>
    <row r="58" spans="1:17" s="1035" customFormat="1" ht="19.5" customHeight="1">
      <c r="A58" s="1405" t="s">
        <v>1311</v>
      </c>
      <c r="B58" s="1405"/>
      <c r="C58" s="1405"/>
      <c r="D58" s="1405"/>
      <c r="E58" s="1405"/>
      <c r="F58" s="1405"/>
      <c r="G58" s="1405"/>
      <c r="H58" s="1405"/>
      <c r="I58" s="1405"/>
      <c r="J58" s="1405"/>
      <c r="K58" s="1405"/>
      <c r="L58" s="1405"/>
      <c r="M58" s="1405"/>
      <c r="N58" s="1405"/>
      <c r="O58" s="1405"/>
      <c r="P58" s="1113" t="str">
        <f>IF(D58='THE-TS'!$D$11,"x","")</f>
        <v/>
      </c>
    </row>
    <row r="59" spans="1:17" ht="13.5">
      <c r="D59" s="1030"/>
      <c r="P59" s="1113" t="str">
        <f>IF(D59='THE-TS'!$D$11,"x","")</f>
        <v/>
      </c>
    </row>
    <row r="60" spans="1:17" s="1036" customFormat="1" ht="17.25" customHeight="1">
      <c r="A60" s="1394" t="s">
        <v>501</v>
      </c>
      <c r="B60" s="1397" t="s">
        <v>1246</v>
      </c>
      <c r="C60" s="1398"/>
      <c r="D60" s="1398"/>
      <c r="E60" s="1398"/>
      <c r="F60" s="1398"/>
      <c r="G60" s="1398"/>
      <c r="H60" s="1399"/>
      <c r="I60" s="1397" t="s">
        <v>1247</v>
      </c>
      <c r="J60" s="1398"/>
      <c r="K60" s="1398"/>
      <c r="L60" s="1399"/>
      <c r="M60" s="1400" t="s">
        <v>1248</v>
      </c>
      <c r="N60" s="1400"/>
      <c r="O60" s="1400"/>
      <c r="P60" s="1113" t="str">
        <f>IF(D60='THE-TS'!$D$11,"x","")</f>
        <v/>
      </c>
    </row>
    <row r="61" spans="1:17" s="1036" customFormat="1" ht="17.25" customHeight="1">
      <c r="A61" s="1395"/>
      <c r="B61" s="1397" t="s">
        <v>1249</v>
      </c>
      <c r="C61" s="1399"/>
      <c r="D61" s="1394" t="s">
        <v>1250</v>
      </c>
      <c r="E61" s="1394" t="s">
        <v>1251</v>
      </c>
      <c r="F61" s="1394" t="s">
        <v>1252</v>
      </c>
      <c r="G61" s="1394" t="s">
        <v>1253</v>
      </c>
      <c r="H61" s="1394" t="s">
        <v>1254</v>
      </c>
      <c r="I61" s="1397" t="s">
        <v>1255</v>
      </c>
      <c r="J61" s="1399"/>
      <c r="K61" s="1401" t="s">
        <v>1256</v>
      </c>
      <c r="L61" s="1394" t="s">
        <v>1257</v>
      </c>
      <c r="M61" s="1400" t="s">
        <v>1249</v>
      </c>
      <c r="N61" s="1400"/>
      <c r="O61" s="1400" t="s">
        <v>1258</v>
      </c>
      <c r="P61" s="1113" t="str">
        <f>IF(D61='THE-TS'!$D$11,"x","")</f>
        <v/>
      </c>
    </row>
    <row r="62" spans="1:17" s="1036" customFormat="1" ht="55.5" customHeight="1">
      <c r="A62" s="1396"/>
      <c r="B62" s="1037" t="s">
        <v>1259</v>
      </c>
      <c r="C62" s="1037" t="s">
        <v>502</v>
      </c>
      <c r="D62" s="1396"/>
      <c r="E62" s="1396"/>
      <c r="F62" s="1396"/>
      <c r="G62" s="1396"/>
      <c r="H62" s="1396"/>
      <c r="I62" s="1037" t="s">
        <v>1260</v>
      </c>
      <c r="J62" s="1037" t="s">
        <v>1261</v>
      </c>
      <c r="K62" s="1402"/>
      <c r="L62" s="1396"/>
      <c r="M62" s="1037" t="s">
        <v>17</v>
      </c>
      <c r="N62" s="1037" t="s">
        <v>502</v>
      </c>
      <c r="O62" s="1400"/>
      <c r="P62" s="1113" t="str">
        <f>IF(D62='THE-TS'!$D$11,"x","")</f>
        <v/>
      </c>
    </row>
    <row r="63" spans="1:17" s="1040" customFormat="1" ht="13.5">
      <c r="A63" s="1038" t="s">
        <v>2</v>
      </c>
      <c r="B63" s="1038" t="s">
        <v>3</v>
      </c>
      <c r="C63" s="1038" t="s">
        <v>4</v>
      </c>
      <c r="D63" s="1038" t="s">
        <v>5</v>
      </c>
      <c r="E63" s="1038" t="s">
        <v>6</v>
      </c>
      <c r="F63" s="1038" t="s">
        <v>156</v>
      </c>
      <c r="G63" s="1038" t="s">
        <v>1262</v>
      </c>
      <c r="H63" s="1038">
        <v>1</v>
      </c>
      <c r="I63" s="1038">
        <v>2</v>
      </c>
      <c r="J63" s="1038">
        <v>3</v>
      </c>
      <c r="K63" s="1039"/>
      <c r="L63" s="1038">
        <v>4</v>
      </c>
      <c r="M63" s="1038" t="s">
        <v>1263</v>
      </c>
      <c r="N63" s="1038" t="s">
        <v>1264</v>
      </c>
      <c r="O63" s="1038" t="s">
        <v>1265</v>
      </c>
      <c r="P63" s="1113" t="str">
        <f>IF(D63='THE-TS'!$D$11,"x","")</f>
        <v/>
      </c>
    </row>
    <row r="64" spans="1:17" ht="15.75" customHeight="1">
      <c r="A64" s="1041">
        <v>1</v>
      </c>
      <c r="B64" s="1080" t="s">
        <v>1334</v>
      </c>
      <c r="C64" s="1042">
        <v>40543</v>
      </c>
      <c r="D64" s="351" t="s">
        <v>1285</v>
      </c>
      <c r="E64" s="781"/>
      <c r="F64" s="1082" t="s">
        <v>1342</v>
      </c>
      <c r="G64" s="1115" t="str">
        <f t="shared" ref="G64" si="6">RIGHT(B64,5)</f>
        <v>10/10</v>
      </c>
      <c r="H64" s="351">
        <v>5405781300</v>
      </c>
      <c r="I64" s="1044">
        <v>45</v>
      </c>
      <c r="J64" s="8">
        <f>ROUND(H64/I64,0)+5</f>
        <v>120128478</v>
      </c>
      <c r="K64" s="1043">
        <v>600642360</v>
      </c>
      <c r="L64" s="1043">
        <f>K64+J64</f>
        <v>720770838</v>
      </c>
      <c r="M64" s="781"/>
      <c r="N64" s="781"/>
      <c r="O64" s="234"/>
      <c r="P64" s="1113" t="str">
        <f>IF(D64='THE-TS'!$D$11,"x","")</f>
        <v/>
      </c>
      <c r="Q64" s="1105"/>
    </row>
    <row r="65" spans="1:16" ht="15.75" customHeight="1">
      <c r="A65" s="1045"/>
      <c r="B65" s="1046"/>
      <c r="C65" s="1045"/>
      <c r="D65" s="1046"/>
      <c r="E65" s="1046"/>
      <c r="F65" s="1045"/>
      <c r="G65" s="1046"/>
      <c r="H65" s="1046"/>
      <c r="I65" s="1047"/>
      <c r="J65" s="1046"/>
      <c r="K65" s="1048"/>
      <c r="L65" s="1046"/>
      <c r="M65" s="1046"/>
      <c r="N65" s="1046"/>
      <c r="O65" s="1046"/>
      <c r="P65" s="1113" t="str">
        <f>IF(D65='THE-TS'!$D$11,"x","")</f>
        <v/>
      </c>
    </row>
    <row r="66" spans="1:16" s="1052" customFormat="1" ht="15.75" customHeight="1">
      <c r="A66" s="1049"/>
      <c r="B66" s="1050"/>
      <c r="C66" s="1049"/>
      <c r="D66" s="1049" t="s">
        <v>1271</v>
      </c>
      <c r="E66" s="1050"/>
      <c r="F66" s="1049"/>
      <c r="G66" s="1050"/>
      <c r="H66" s="1051">
        <f>SUM(H64:H65)</f>
        <v>5405781300</v>
      </c>
      <c r="I66" s="1051"/>
      <c r="J66" s="1051">
        <f>SUM(J64:J65)</f>
        <v>120128478</v>
      </c>
      <c r="K66" s="1051">
        <f>SUM(K64:K65)</f>
        <v>600642360</v>
      </c>
      <c r="L66" s="1051">
        <f>SUM(L64:L65)</f>
        <v>720770838</v>
      </c>
      <c r="M66" s="1050"/>
      <c r="N66" s="1050"/>
      <c r="O66" s="1050"/>
      <c r="P66" s="1113" t="str">
        <f>IF(D66='THE-TS'!$D$11,"x","")</f>
        <v/>
      </c>
    </row>
    <row r="67" spans="1:16" ht="6.75" customHeight="1">
      <c r="A67" s="820"/>
      <c r="B67" s="820"/>
      <c r="C67" s="1053"/>
      <c r="D67" s="820"/>
      <c r="E67" s="820"/>
      <c r="F67" s="1053"/>
      <c r="G67" s="820"/>
      <c r="H67" s="820"/>
      <c r="I67" s="820"/>
      <c r="J67" s="820"/>
      <c r="K67" s="1054"/>
      <c r="L67" s="820"/>
      <c r="M67" s="820"/>
      <c r="N67" s="820"/>
      <c r="O67" s="820"/>
    </row>
    <row r="68" spans="1:16">
      <c r="A68" s="820"/>
      <c r="B68" s="820"/>
      <c r="C68" s="1053"/>
      <c r="D68" s="820" t="s">
        <v>1272</v>
      </c>
      <c r="E68" s="820"/>
      <c r="F68" s="1053"/>
      <c r="G68" s="820"/>
      <c r="H68" s="820"/>
      <c r="I68" s="820"/>
      <c r="J68" s="820"/>
      <c r="K68" s="1054"/>
      <c r="L68" s="820"/>
      <c r="M68" s="820"/>
      <c r="N68" s="820"/>
      <c r="O68" s="820"/>
    </row>
    <row r="69" spans="1:16">
      <c r="A69" s="820"/>
      <c r="B69" s="820"/>
      <c r="C69" s="1053"/>
      <c r="D69" s="820" t="s">
        <v>1303</v>
      </c>
      <c r="E69" s="820"/>
      <c r="F69" s="1053"/>
      <c r="G69" s="820"/>
      <c r="I69" s="820"/>
      <c r="J69" s="820"/>
      <c r="K69" s="1054"/>
      <c r="L69" s="820"/>
      <c r="M69" s="820"/>
      <c r="N69" s="820"/>
      <c r="O69" s="820"/>
    </row>
    <row r="70" spans="1:16">
      <c r="K70" s="1034"/>
      <c r="L70" s="1034" t="s">
        <v>1304</v>
      </c>
    </row>
    <row r="71" spans="1:16" ht="16.5" customHeight="1">
      <c r="B71" s="1030"/>
      <c r="D71" s="1030" t="s">
        <v>11</v>
      </c>
      <c r="F71" s="1030" t="s">
        <v>1273</v>
      </c>
      <c r="I71" s="1056"/>
      <c r="K71" s="1053"/>
      <c r="L71" s="1053" t="s">
        <v>131</v>
      </c>
    </row>
    <row r="74" spans="1:16">
      <c r="L74" s="1057"/>
    </row>
    <row r="75" spans="1:16">
      <c r="D75" s="1057"/>
    </row>
    <row r="76" spans="1:16">
      <c r="D76" s="1031"/>
      <c r="L76" s="1057"/>
    </row>
    <row r="77" spans="1:16">
      <c r="D77" s="1064"/>
      <c r="L77" s="1057"/>
    </row>
    <row r="78" spans="1:16" s="1059" customFormat="1" ht="13.5" customHeight="1">
      <c r="C78" s="1060"/>
      <c r="D78" s="1060" t="s">
        <v>230</v>
      </c>
      <c r="F78" s="1060"/>
      <c r="H78" s="1061"/>
      <c r="K78" s="1062"/>
      <c r="L78" s="1059" t="s">
        <v>125</v>
      </c>
      <c r="P78" s="1114"/>
    </row>
  </sheetData>
  <mergeCells count="36">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 ref="K10:K11"/>
    <mergeCell ref="L10:L11"/>
    <mergeCell ref="A56:O56"/>
    <mergeCell ref="A57:O57"/>
    <mergeCell ref="A58:O58"/>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s>
  <printOptions horizontalCentered="1"/>
  <pageMargins left="0.5" right="0.15" top="0.25" bottom="0.3" header="0" footer="0"/>
  <pageSetup paperSize="9" scale="85"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1084" customWidth="1"/>
    <col min="2" max="2" width="10.140625" style="1084" customWidth="1"/>
    <col min="3" max="3" width="11.5703125" style="1084" customWidth="1"/>
    <col min="4" max="4" width="28.7109375" style="1084" customWidth="1"/>
    <col min="5" max="5" width="13.28515625" style="1084" customWidth="1"/>
    <col min="6" max="6" width="9.140625" style="1084"/>
    <col min="7" max="7" width="14" style="1084" customWidth="1"/>
    <col min="8" max="8" width="14.7109375" style="1084" customWidth="1"/>
    <col min="9" max="10" width="9.140625" style="1084"/>
    <col min="11" max="11" width="13.85546875" style="1084" customWidth="1"/>
    <col min="12" max="16384" width="9.140625" style="1084"/>
  </cols>
  <sheetData>
    <row r="2" spans="1:11">
      <c r="A2" s="1101" t="s">
        <v>1242</v>
      </c>
      <c r="B2" s="1083"/>
      <c r="C2" s="1083"/>
      <c r="D2" s="1083"/>
      <c r="E2" s="1033"/>
      <c r="F2" s="1033"/>
      <c r="G2" s="1033" t="s">
        <v>1286</v>
      </c>
      <c r="H2" s="1033"/>
    </row>
    <row r="3" spans="1:11">
      <c r="A3" s="1101" t="s">
        <v>1244</v>
      </c>
      <c r="B3" s="1083"/>
      <c r="C3" s="1083"/>
      <c r="D3" s="1083"/>
      <c r="E3" s="1034"/>
      <c r="F3" s="1034"/>
      <c r="G3" s="1034" t="s">
        <v>320</v>
      </c>
      <c r="H3" s="1034"/>
    </row>
    <row r="4" spans="1:11">
      <c r="A4" s="1030"/>
      <c r="B4" s="1030"/>
      <c r="C4" s="1034"/>
      <c r="D4" s="1034"/>
      <c r="E4" s="1034"/>
      <c r="F4" s="1034"/>
      <c r="G4" s="1034" t="s">
        <v>238</v>
      </c>
      <c r="H4" s="1034"/>
    </row>
    <row r="5" spans="1:11">
      <c r="A5" s="1030"/>
      <c r="B5" s="1030"/>
      <c r="C5" s="1034"/>
      <c r="D5" s="1034"/>
      <c r="E5" s="1034"/>
      <c r="F5" s="1034"/>
      <c r="G5" s="1034"/>
      <c r="H5" s="1034"/>
    </row>
    <row r="6" spans="1:11" ht="23.25" customHeight="1" thickBot="1">
      <c r="A6" s="1420" t="s">
        <v>1287</v>
      </c>
      <c r="B6" s="1420"/>
      <c r="C6" s="1420"/>
      <c r="D6" s="1420"/>
      <c r="E6" s="1420"/>
      <c r="F6" s="1420"/>
      <c r="G6" s="1420"/>
      <c r="H6" s="1420"/>
    </row>
    <row r="7" spans="1:11" ht="17.25" customHeight="1" thickBot="1">
      <c r="A7" s="1406" t="str">
        <f ca="1" xml:space="preserve"> IF(ROWS($1:1)&gt;COUNT(Dong3),"","Số: "&amp;OFFSET('SO-TS'!$B$1,SMALL(Dong3,ROWS($1:1)),))</f>
        <v>Số: SX 16/14</v>
      </c>
      <c r="B7" s="1406"/>
      <c r="C7" s="1406"/>
      <c r="D7" s="1406"/>
      <c r="E7" s="1406"/>
      <c r="F7" s="1406"/>
      <c r="G7" s="1406"/>
      <c r="H7" s="1406"/>
      <c r="J7" s="1102" t="s">
        <v>1327</v>
      </c>
      <c r="K7" s="1103" t="s">
        <v>1372</v>
      </c>
    </row>
    <row r="8" spans="1:11" ht="17.25" customHeight="1">
      <c r="A8" s="1421" t="str">
        <f ca="1" xml:space="preserve"> IF(ROWS($1:1)&gt;COUNT(Dong3),"","Ngày   "&amp;DAY(OFFSET('SO-TS'!$C$1,SMALL(Dong3,ROWS($1:1)),))&amp;"   tháng   "&amp;MONTH(OFFSET('SO-TS'!$C$1,SMALL(Dong3,ROWS($1:1)),))&amp;"  năm   "&amp;YEAR(OFFSET('SO-TS'!$C$1,SMALL(Dong3,ROWS($1:1)),)))</f>
        <v>Ngày   8   tháng   9  năm   2014</v>
      </c>
      <c r="B8" s="1421"/>
      <c r="C8" s="1421"/>
      <c r="D8" s="1421"/>
      <c r="E8" s="1421"/>
      <c r="F8" s="1421"/>
      <c r="G8" s="1421"/>
      <c r="H8" s="1421"/>
    </row>
    <row r="9" spans="1:11" ht="12" customHeight="1">
      <c r="A9" s="1030"/>
      <c r="B9" s="1030"/>
      <c r="C9" s="1030"/>
      <c r="D9" s="1030"/>
      <c r="E9" s="1030"/>
      <c r="F9" s="1030"/>
      <c r="G9" s="1034"/>
      <c r="H9" s="1034"/>
    </row>
    <row r="10" spans="1:11" ht="15" customHeight="1">
      <c r="A10" s="1029" t="str">
        <f ca="1">"Căn cứ vào biên bản giao nhận TSCĐ "&amp;"  "&amp;A7&amp;"  "&amp;A8</f>
        <v>Căn cứ vào biên bản giao nhận TSCĐ   Số: SX 16/14  Ngày   8   tháng   9  năm   2014</v>
      </c>
      <c r="B10" s="1029"/>
      <c r="C10" s="1029"/>
      <c r="D10" s="1029"/>
      <c r="E10" s="1029"/>
      <c r="F10" s="1029"/>
      <c r="G10" s="1029"/>
      <c r="H10" s="1029"/>
    </row>
    <row r="11" spans="1:11" ht="15" customHeight="1">
      <c r="A11" s="1029" t="s">
        <v>1328</v>
      </c>
      <c r="B11" s="1029"/>
      <c r="C11" s="1029"/>
      <c r="D11" s="1029" t="s">
        <v>1280</v>
      </c>
      <c r="E11" s="1029" t="str">
        <f ca="1" xml:space="preserve"> IF(ROWS($1:1)&gt;COUNT(Dong3),"","Số hiệu TSCĐ:   "&amp;OFFSET('SO-TS'!$G$1,SMALL(Dong3,ROWS($1:1)),))</f>
        <v>Số hiệu TSCĐ:   16/14</v>
      </c>
      <c r="F11" s="1029"/>
      <c r="H11" s="1029"/>
    </row>
    <row r="12" spans="1:11" ht="15" customHeight="1">
      <c r="A12" s="1029" t="str">
        <f ca="1" xml:space="preserve"> IF(ROWS($1:1)&gt;COUNT(Dong3),"","Nước sản xuất:   "&amp;OFFSET('SO-TS'!$E$1,SMALL(Dong3,ROWS($1:1)),))</f>
        <v xml:space="preserve">Nước sản xuất:   </v>
      </c>
      <c r="B12" s="1029"/>
      <c r="C12" s="1029"/>
      <c r="D12" s="1029"/>
      <c r="E12" s="1029" t="s">
        <v>1329</v>
      </c>
      <c r="F12" s="1029"/>
      <c r="G12" s="1029"/>
      <c r="H12" s="1029"/>
    </row>
    <row r="13" spans="1:11" ht="15" customHeight="1">
      <c r="A13" s="1029" t="str">
        <f ca="1" xml:space="preserve"> IF(ROWS($1:1)&gt;COUNT(Dong3),"","Bộ phận quản lý sử dụng:  "&amp;IF(LEFT(OFFSET('SO-TS'!$B$1,SMALL(Dong3,ROWS($1:1)),),2)="VP","Văn Phòng","Sản Xuất"))</f>
        <v>Bộ phận quản lý sử dụng:  Sản Xuất</v>
      </c>
      <c r="B13" s="1029"/>
      <c r="C13" s="1029"/>
      <c r="D13" s="1029"/>
      <c r="E13" s="1029" t="str">
        <f ca="1" xml:space="preserve"> IF(ROWS($1:1)&gt;COUNT(Dong3),"","Tháng, năm đưa vào sử dụng:    "&amp;OFFSET('SO-TS'!$F$1,SMALL(Dong3,ROWS($1:1)),))</f>
        <v>Tháng, năm đưa vào sử dụng:    10/2014</v>
      </c>
      <c r="F13" s="1029"/>
      <c r="G13" s="1029"/>
      <c r="H13" s="1029"/>
    </row>
    <row r="14" spans="1:11" ht="15" customHeight="1">
      <c r="A14" s="1029" t="s">
        <v>1288</v>
      </c>
      <c r="B14" s="1029"/>
      <c r="C14" s="1029"/>
      <c r="D14" s="1029"/>
      <c r="E14" s="1029"/>
      <c r="F14" s="1029"/>
      <c r="G14" s="1029"/>
      <c r="H14" s="1029"/>
    </row>
    <row r="15" spans="1:11" ht="15" customHeight="1">
      <c r="A15" s="1029" t="s">
        <v>1344</v>
      </c>
      <c r="B15" s="1029"/>
      <c r="C15" s="1029"/>
      <c r="D15" s="1029"/>
      <c r="E15" s="1029"/>
      <c r="F15" s="1029"/>
      <c r="G15" s="1029"/>
      <c r="H15" s="1029"/>
    </row>
    <row r="16" spans="1:11" ht="15" customHeight="1">
      <c r="A16" s="1104" t="s">
        <v>1343</v>
      </c>
      <c r="B16" s="1104"/>
      <c r="C16" s="1104"/>
      <c r="D16" s="1104"/>
      <c r="E16" s="1104"/>
      <c r="F16" s="1104"/>
      <c r="G16" s="1104"/>
      <c r="H16" s="1104"/>
    </row>
    <row r="17" spans="1:8" s="1098" customFormat="1" ht="18" customHeight="1">
      <c r="A17" s="1410" t="s">
        <v>150</v>
      </c>
      <c r="B17" s="1411"/>
      <c r="C17" s="1414" t="s">
        <v>1289</v>
      </c>
      <c r="D17" s="1415"/>
      <c r="E17" s="1416"/>
      <c r="F17" s="1417" t="s">
        <v>1290</v>
      </c>
      <c r="G17" s="1418"/>
      <c r="H17" s="1419"/>
    </row>
    <row r="18" spans="1:8" s="1098" customFormat="1" ht="28.5" customHeight="1">
      <c r="A18" s="1412"/>
      <c r="B18" s="1413"/>
      <c r="C18" s="1065" t="s">
        <v>1291</v>
      </c>
      <c r="D18" s="1065" t="s">
        <v>0</v>
      </c>
      <c r="E18" s="1065" t="s">
        <v>1292</v>
      </c>
      <c r="F18" s="1065" t="s">
        <v>1293</v>
      </c>
      <c r="G18" s="1065" t="s">
        <v>1294</v>
      </c>
      <c r="H18" s="1065" t="s">
        <v>1295</v>
      </c>
    </row>
    <row r="19" spans="1:8" s="1100" customFormat="1">
      <c r="A19" s="1422" t="s">
        <v>2</v>
      </c>
      <c r="B19" s="1423"/>
      <c r="C19" s="1099" t="s">
        <v>3</v>
      </c>
      <c r="D19" s="1099" t="s">
        <v>4</v>
      </c>
      <c r="E19" s="1099">
        <v>1</v>
      </c>
      <c r="F19" s="1099">
        <v>2</v>
      </c>
      <c r="G19" s="1099">
        <v>3</v>
      </c>
      <c r="H19" s="1099">
        <v>4</v>
      </c>
    </row>
    <row r="20" spans="1:8" ht="17.25" customHeight="1">
      <c r="A20" s="902">
        <f ca="1">IF(B20&lt;&gt;"",ROW()-19,"")</f>
        <v>1</v>
      </c>
      <c r="B20" s="1085" t="str">
        <f ca="1" xml:space="preserve"> IF(ROWS($1:1)&gt;COUNT(Dong3),"",OFFSET('SO-TS'!B$1,SMALL(Dong3,ROWS($1:1)),))</f>
        <v>SX 16/14</v>
      </c>
      <c r="C20" s="1085" t="str">
        <f ca="1" xml:space="preserve"> IF(ROWS($1:1)&gt;COUNT(Dong3),"",OFFSET('SO-TS'!F$1,SMALL(Dong3,ROWS($1:1)),))</f>
        <v>10/2014</v>
      </c>
      <c r="D20" s="1116" t="str">
        <f ca="1" xml:space="preserve"> IF(ROWS($1:1)&gt;COUNT(Dong3),"",OFFSET('SO-TS'!D$1,SMALL(Dong3,ROWS($1:1)),))</f>
        <v>Máy cuốn mực</v>
      </c>
      <c r="E20" s="1117">
        <f ca="1" xml:space="preserve"> IF(ROWS($1:1)&gt;COUNT(Dong3),"",OFFSET('SO-TS'!H$1,SMALL(Dong3,ROWS($1:1)),))</f>
        <v>100000000</v>
      </c>
      <c r="F20" s="1118" t="str">
        <f ca="1" xml:space="preserve"> IF(ROWS($1:1)&gt;COUNT(Dong3),"",RIGHT(OFFSET('SO-TS'!F$1,SMALL(Dong3,ROWS($1:1)),),4))</f>
        <v>2014</v>
      </c>
      <c r="G20" s="91">
        <f ca="1">IF(F20="",0,ROUND(IF(OR(ROWS($1:$1)&gt;COUNT(Dong3),(ROW()-19)&gt;OFFSET('SO-TS'!I$1,SMALL(Dong3,ROWS($1:$1)),)),0,IF(VALUE(LEFT(C20,2))&gt;0,$E$30/(OFFSET('SO-TS'!I$1,SMALL(Dong3,ROWS($1:$1)),))/12*(13-VALUE(LEFT(C20,2))),$E$30/(OFFSET('SO-TS'!I$1,SMALL(Dong3,ROWS($1:$1)),)))),0))</f>
        <v>5000000</v>
      </c>
      <c r="H20" s="91">
        <f ca="1">G20</f>
        <v>5000000</v>
      </c>
    </row>
    <row r="21" spans="1:8" ht="17.25" customHeight="1">
      <c r="A21" s="902" t="str">
        <f t="shared" ref="A21:A29" ca="1" si="0">IF(B21&lt;&gt;"",ROW()-19,"")</f>
        <v/>
      </c>
      <c r="B21" s="1085" t="str">
        <f ca="1" xml:space="preserve"> IF(ROWS($1:2)&gt;COUNT(Dong3),"",OFFSET('SO-TS'!B$1,SMALL(Dong3,ROWS($1:2)),))</f>
        <v/>
      </c>
      <c r="C21" s="1085" t="str">
        <f ca="1" xml:space="preserve"> IF(ROWS($1:2)&gt;COUNT(Dong3),"",OFFSET('SO-TS'!F$1,SMALL(Dong3,ROWS($1:2)),))</f>
        <v/>
      </c>
      <c r="D21" s="1116" t="str">
        <f ca="1" xml:space="preserve"> IF(ROWS($1:2)&gt;COUNT(Dong3),"",OFFSET('SO-TS'!D$1,SMALL(Dong3,ROWS($1:2)),))</f>
        <v/>
      </c>
      <c r="E21" s="1117" t="str">
        <f ca="1" xml:space="preserve"> IF(ROWS($1:2)&gt;COUNT(Dong3),"",OFFSET('SO-TS'!H$1,SMALL(Dong3,ROWS($1:2)),))</f>
        <v/>
      </c>
      <c r="F21" s="1118">
        <f ca="1">IF(OR(F20="",(ROW()-19)&gt;OFFSET('SO-TS'!I$1,SMALL(Dong3,ROWS($1:$1)),)),"",IF(VALUE(F20)&gt;=VALUE(YEAR(NOW())),"",F20+1))</f>
        <v>2015</v>
      </c>
      <c r="G21" s="91">
        <f ca="1">IF(F21="",0,ROUND(IF(OR(ROWS($1:$1)&gt;COUNT(Dong3),(ROW()-19)&gt;OFFSET('SO-TS'!I$1,SMALL(Dong3,ROWS($1:$1)),)),0,IF($E$30-H20&lt;($E$30/(OFFSET('SO-TS'!I$1,SMALL(Dong3,ROWS($1:$1)),))+12),$E$30-H20,$E$30/(OFFSET('SO-TS'!I$1,SMALL(Dong3,ROWS($1:$1)),)))),0))</f>
        <v>20000000</v>
      </c>
      <c r="H21" s="1120">
        <f ca="1">IF(G21&lt;&gt;0,H20+G21,0)</f>
        <v>25000000</v>
      </c>
    </row>
    <row r="22" spans="1:8" ht="17.25" customHeight="1">
      <c r="A22" s="902" t="str">
        <f t="shared" ca="1" si="0"/>
        <v/>
      </c>
      <c r="B22" s="1085" t="str">
        <f ca="1" xml:space="preserve"> IF(ROWS($1:3)&gt;COUNT(Dong3),"",OFFSET('SO-TS'!B$1,SMALL(Dong3,ROWS($1:3)),))</f>
        <v/>
      </c>
      <c r="C22" s="1085" t="str">
        <f ca="1" xml:space="preserve"> IF(ROWS($1:3)&gt;COUNT(Dong3),"",OFFSET('SO-TS'!F$1,SMALL(Dong3,ROWS($1:3)),))</f>
        <v/>
      </c>
      <c r="D22" s="1116" t="str">
        <f ca="1" xml:space="preserve"> IF(ROWS($1:3)&gt;COUNT(Dong3),"",OFFSET('SO-TS'!D$1,SMALL(Dong3,ROWS($1:3)),))</f>
        <v/>
      </c>
      <c r="E22" s="1117" t="str">
        <f ca="1" xml:space="preserve"> IF(ROWS($1:3)&gt;COUNT(Dong3),"",OFFSET('SO-TS'!H$1,SMALL(Dong3,ROWS($1:3)),))</f>
        <v/>
      </c>
      <c r="F22" s="1118">
        <f ca="1">IF(OR(F21="",(ROW()-19)&gt;OFFSET('SO-TS'!I$1,SMALL(Dong3,ROWS($1:$1)),)),"",IF(VALUE(F21)&gt;=VALUE(YEAR(NOW())),"",F21+1))</f>
        <v>2016</v>
      </c>
      <c r="G22" s="91">
        <f ca="1">IF(F22="",0,ROUND(IF(OR(ROWS($1:$1)&gt;COUNT(Dong3),(ROW()-19)&gt;OFFSET('SO-TS'!I$1,SMALL(Dong3,ROWS($1:$1)),)),0,IF($E$30-H21&lt;($E$30/(OFFSET('SO-TS'!I$1,SMALL(Dong3,ROWS($1:$1)),))+12),$E$30-H21,$E$30/(OFFSET('SO-TS'!I$1,SMALL(Dong3,ROWS($1:$1)),)))),0))</f>
        <v>20000000</v>
      </c>
      <c r="H22" s="1120">
        <f t="shared" ref="H22:H28" ca="1" si="1">IF(G22&lt;&gt;0,H21+G22,0)</f>
        <v>45000000</v>
      </c>
    </row>
    <row r="23" spans="1:8" ht="17.25" customHeight="1">
      <c r="A23" s="902" t="str">
        <f t="shared" ca="1" si="0"/>
        <v/>
      </c>
      <c r="B23" s="1085" t="str">
        <f ca="1" xml:space="preserve"> IF(ROWS($1:4)&gt;COUNT(Dong3),"",OFFSET('SO-TS'!B$1,SMALL(Dong3,ROWS($1:4)),))</f>
        <v/>
      </c>
      <c r="C23" s="1085" t="str">
        <f ca="1" xml:space="preserve"> IF(ROWS($1:4)&gt;COUNT(Dong3),"",OFFSET('SO-TS'!F$1,SMALL(Dong3,ROWS($1:4)),))</f>
        <v/>
      </c>
      <c r="D23" s="1116" t="str">
        <f ca="1" xml:space="preserve"> IF(ROWS($1:4)&gt;COUNT(Dong3),"",OFFSET('SO-TS'!D$1,SMALL(Dong3,ROWS($1:4)),))</f>
        <v/>
      </c>
      <c r="E23" s="1117" t="str">
        <f ca="1" xml:space="preserve"> IF(ROWS($1:4)&gt;COUNT(Dong3),"",OFFSET('SO-TS'!H$1,SMALL(Dong3,ROWS($1:4)),))</f>
        <v/>
      </c>
      <c r="F23" s="1118" t="str">
        <f ca="1">IF(OR(F22="",(ROW()-19)&gt;OFFSET('SO-TS'!I$1,SMALL(Dong3,ROWS($1:$1)),)),"",IF(VALUE(F22)&gt;=VALUE(YEAR(NOW())),"",F22+1))</f>
        <v/>
      </c>
      <c r="G23" s="91">
        <f ca="1">IF(F23="",0,ROUND(IF(OR(ROWS($1:$1)&gt;COUNT(Dong3),(ROW()-19)&gt;OFFSET('SO-TS'!I$1,SMALL(Dong3,ROWS($1:$1)),)),0,IF($E$30-H22&lt;($E$30/(OFFSET('SO-TS'!I$1,SMALL(Dong3,ROWS($1:$1)),))+12),$E$30-H22,$E$30/(OFFSET('SO-TS'!I$1,SMALL(Dong3,ROWS($1:$1)),)))),0))</f>
        <v>0</v>
      </c>
      <c r="H23" s="1120">
        <f t="shared" ca="1" si="1"/>
        <v>0</v>
      </c>
    </row>
    <row r="24" spans="1:8" ht="17.25" customHeight="1">
      <c r="A24" s="902" t="str">
        <f t="shared" ca="1" si="0"/>
        <v/>
      </c>
      <c r="B24" s="1085" t="str">
        <f ca="1" xml:space="preserve"> IF(ROWS($1:5)&gt;COUNT(Dong3),"",OFFSET('SO-TS'!B$1,SMALL(Dong3,ROWS($1:5)),))</f>
        <v/>
      </c>
      <c r="C24" s="1085" t="str">
        <f ca="1" xml:space="preserve"> IF(ROWS($1:5)&gt;COUNT(Dong3),"",OFFSET('SO-TS'!F$1,SMALL(Dong3,ROWS($1:5)),))</f>
        <v/>
      </c>
      <c r="D24" s="1116" t="str">
        <f ca="1" xml:space="preserve"> IF(ROWS($1:5)&gt;COUNT(Dong3),"",OFFSET('SO-TS'!D$1,SMALL(Dong3,ROWS($1:5)),))</f>
        <v/>
      </c>
      <c r="E24" s="1117" t="str">
        <f ca="1" xml:space="preserve"> IF(ROWS($1:5)&gt;COUNT(Dong3),"",OFFSET('SO-TS'!H$1,SMALL(Dong3,ROWS($1:5)),))</f>
        <v/>
      </c>
      <c r="F24" s="1118" t="str">
        <f ca="1">IF(OR(F23="",(ROW()-19)&gt;OFFSET('SO-TS'!I$1,SMALL(Dong3,ROWS($1:$1)),)),"",IF(VALUE(F23)&gt;=VALUE(YEAR(NOW())),"",F23+1))</f>
        <v/>
      </c>
      <c r="G24" s="91">
        <f ca="1">IF(F24="",0,ROUND(IF(OR(ROWS($1:$1)&gt;COUNT(Dong3),(ROW()-19)&gt;OFFSET('SO-TS'!I$1,SMALL(Dong3,ROWS($1:$1)),)),0,IF($E$30-H23&lt;($E$30/(OFFSET('SO-TS'!I$1,SMALL(Dong3,ROWS($1:$1)),))+12),$E$30-H23,$E$30/(OFFSET('SO-TS'!I$1,SMALL(Dong3,ROWS($1:$1)),)))),0))</f>
        <v>0</v>
      </c>
      <c r="H24" s="1120">
        <f t="shared" ca="1" si="1"/>
        <v>0</v>
      </c>
    </row>
    <row r="25" spans="1:8" ht="17.25" customHeight="1">
      <c r="A25" s="902" t="str">
        <f t="shared" ca="1" si="0"/>
        <v/>
      </c>
      <c r="B25" s="1085" t="str">
        <f ca="1" xml:space="preserve"> IF(ROWS($1:6)&gt;COUNT(Dong3),"",OFFSET('SO-TS'!B$1,SMALL(Dong3,ROWS($1:6)),))</f>
        <v/>
      </c>
      <c r="C25" s="1085" t="str">
        <f ca="1" xml:space="preserve"> IF(ROWS($1:6)&gt;COUNT(Dong3),"",OFFSET('SO-TS'!F$1,SMALL(Dong3,ROWS($1:6)),))</f>
        <v/>
      </c>
      <c r="D25" s="1116" t="str">
        <f ca="1" xml:space="preserve"> IF(ROWS($1:6)&gt;COUNT(Dong3),"",OFFSET('SO-TS'!D$1,SMALL(Dong3,ROWS($1:6)),))</f>
        <v/>
      </c>
      <c r="E25" s="1117" t="str">
        <f ca="1" xml:space="preserve"> IF(ROWS($1:6)&gt;COUNT(Dong3),"",OFFSET('SO-TS'!H$1,SMALL(Dong3,ROWS($1:6)),))</f>
        <v/>
      </c>
      <c r="F25" s="1118" t="str">
        <f ca="1">IF(OR(F24="",(ROW()-19)&gt;OFFSET('SO-TS'!I$1,SMALL(Dong3,ROWS($1:$1)),)),"",IF(VALUE(F24)&gt;=VALUE(YEAR(NOW())),"",F24+1))</f>
        <v/>
      </c>
      <c r="G25" s="91">
        <f ca="1">IF(F25="",0,ROUND(IF(OR(ROWS($1:$1)&gt;COUNT(Dong3),(ROW()-19)&gt;OFFSET('SO-TS'!I$1,SMALL(Dong3,ROWS($1:$1)),)),0,IF($E$30-H24&lt;($E$30/(OFFSET('SO-TS'!I$1,SMALL(Dong3,ROWS($1:$1)),))+12),$E$30-H24,$E$30/(OFFSET('SO-TS'!I$1,SMALL(Dong3,ROWS($1:$1)),)))),0))</f>
        <v>0</v>
      </c>
      <c r="H25" s="1120">
        <f t="shared" ca="1" si="1"/>
        <v>0</v>
      </c>
    </row>
    <row r="26" spans="1:8" ht="17.25" customHeight="1">
      <c r="A26" s="902" t="str">
        <f t="shared" ca="1" si="0"/>
        <v/>
      </c>
      <c r="B26" s="1085" t="str">
        <f ca="1" xml:space="preserve"> IF(ROWS($1:7)&gt;COUNT(Dong3),"",OFFSET('SO-TS'!B$1,SMALL(Dong3,ROWS($1:7)),))</f>
        <v/>
      </c>
      <c r="C26" s="1085" t="str">
        <f ca="1" xml:space="preserve"> IF(ROWS($1:7)&gt;COUNT(Dong3),"",OFFSET('SO-TS'!F$1,SMALL(Dong3,ROWS($1:7)),))</f>
        <v/>
      </c>
      <c r="D26" s="1116" t="str">
        <f ca="1" xml:space="preserve"> IF(ROWS($1:7)&gt;COUNT(Dong3),"",OFFSET('SO-TS'!D$1,SMALL(Dong3,ROWS($1:7)),))</f>
        <v/>
      </c>
      <c r="E26" s="1117" t="str">
        <f ca="1" xml:space="preserve"> IF(ROWS($1:7)&gt;COUNT(Dong3),"",OFFSET('SO-TS'!H$1,SMALL(Dong3,ROWS($1:7)),))</f>
        <v/>
      </c>
      <c r="F26" s="1118" t="str">
        <f ca="1">IF(OR(F25="",(ROW()-19)&gt;OFFSET('SO-TS'!I$1,SMALL(Dong3,ROWS($1:$1)),)),"",IF(VALUE(F25)&gt;=VALUE(YEAR(NOW())),"",F25+1))</f>
        <v/>
      </c>
      <c r="G26" s="91">
        <f ca="1">IF(F26="",0,ROUND(IF(OR(ROWS($1:$1)&gt;COUNT(Dong3),(ROW()-19)&gt;OFFSET('SO-TS'!I$1,SMALL(Dong3,ROWS($1:$1)),)),0,IF($E$30-H25&lt;($E$30/(OFFSET('SO-TS'!I$1,SMALL(Dong3,ROWS($1:$1)),))+12),$E$30-H25,$E$30/(OFFSET('SO-TS'!I$1,SMALL(Dong3,ROWS($1:$1)),)))),0))</f>
        <v>0</v>
      </c>
      <c r="H26" s="1120">
        <f t="shared" ca="1" si="1"/>
        <v>0</v>
      </c>
    </row>
    <row r="27" spans="1:8" ht="17.25" customHeight="1">
      <c r="A27" s="902" t="str">
        <f t="shared" ca="1" si="0"/>
        <v/>
      </c>
      <c r="B27" s="1085" t="str">
        <f ca="1" xml:space="preserve"> IF(ROWS($1:8)&gt;COUNT(Dong3),"",OFFSET('SO-TS'!B$1,SMALL(Dong3,ROWS($1:8)),))</f>
        <v/>
      </c>
      <c r="C27" s="1085" t="str">
        <f ca="1" xml:space="preserve"> IF(ROWS($1:8)&gt;COUNT(Dong3),"",OFFSET('SO-TS'!F$1,SMALL(Dong3,ROWS($1:8)),))</f>
        <v/>
      </c>
      <c r="D27" s="1116" t="str">
        <f ca="1" xml:space="preserve"> IF(ROWS($1:8)&gt;COUNT(Dong3),"",OFFSET('SO-TS'!D$1,SMALL(Dong3,ROWS($1:8)),))</f>
        <v/>
      </c>
      <c r="E27" s="1117" t="str">
        <f ca="1" xml:space="preserve"> IF(ROWS($1:8)&gt;COUNT(Dong3),"",OFFSET('SO-TS'!H$1,SMALL(Dong3,ROWS($1:8)),))</f>
        <v/>
      </c>
      <c r="F27" s="1118" t="str">
        <f ca="1">IF(OR(F26="",(ROW()-19)&gt;OFFSET('SO-TS'!I$1,SMALL(Dong3,ROWS($1:$1)),)),"",IF(VALUE(F26)&gt;=VALUE(YEAR(NOW())),"",F26+1))</f>
        <v/>
      </c>
      <c r="G27" s="91">
        <f ca="1">IF(F27="",0,ROUND(IF(OR(ROWS($1:$1)&gt;COUNT(Dong3),(ROW()-19)&gt;OFFSET('SO-TS'!I$1,SMALL(Dong3,ROWS($1:$1)),)),0,IF($E$30-H26&lt;($E$30/(OFFSET('SO-TS'!I$1,SMALL(Dong3,ROWS($1:$1)),))+12),$E$30-H26,$E$30/(OFFSET('SO-TS'!I$1,SMALL(Dong3,ROWS($1:$1)),)))),0))</f>
        <v>0</v>
      </c>
      <c r="H27" s="1120">
        <f t="shared" ca="1" si="1"/>
        <v>0</v>
      </c>
    </row>
    <row r="28" spans="1:8" ht="17.25" customHeight="1">
      <c r="A28" s="902" t="str">
        <f t="shared" ca="1" si="0"/>
        <v/>
      </c>
      <c r="B28" s="1085" t="str">
        <f ca="1" xml:space="preserve"> IF(ROWS($1:9)&gt;COUNT(Dong3),"",OFFSET('SO-TS'!B$1,SMALL(Dong3,ROWS($1:9)),))</f>
        <v/>
      </c>
      <c r="C28" s="1085" t="str">
        <f ca="1" xml:space="preserve"> IF(ROWS($1:9)&gt;COUNT(Dong3),"",OFFSET('SO-TS'!F$1,SMALL(Dong3,ROWS($1:9)),))</f>
        <v/>
      </c>
      <c r="D28" s="1116" t="str">
        <f ca="1" xml:space="preserve"> IF(ROWS($1:9)&gt;COUNT(Dong3),"",OFFSET('SO-TS'!D$1,SMALL(Dong3,ROWS($1:9)),))</f>
        <v/>
      </c>
      <c r="E28" s="1117" t="str">
        <f ca="1" xml:space="preserve"> IF(ROWS($1:9)&gt;COUNT(Dong3),"",OFFSET('SO-TS'!H$1,SMALL(Dong3,ROWS($1:9)),))</f>
        <v/>
      </c>
      <c r="F28" s="1118" t="str">
        <f ca="1">IF(OR(F27="",(ROW()-19)&gt;OFFSET('SO-TS'!I$1,SMALL(Dong3,ROWS($1:$1)),)),"",IF(VALUE(F27)&gt;=VALUE(YEAR(NOW())),"",F27+1))</f>
        <v/>
      </c>
      <c r="G28" s="91">
        <f ca="1">IF(F28="",0,ROUND(IF(OR(ROWS($1:$1)&gt;COUNT(Dong3),(ROW()-19)&gt;OFFSET('SO-TS'!I$1,SMALL(Dong3,ROWS($1:$1)),)),0,IF($E$30-H27&lt;($E$30/(OFFSET('SO-TS'!I$1,SMALL(Dong3,ROWS($1:$1)),))+12),$E$30-H27,$E$30/(OFFSET('SO-TS'!I$1,SMALL(Dong3,ROWS($1:$1)),)))),0))</f>
        <v>0</v>
      </c>
      <c r="H28" s="1120">
        <f t="shared" ca="1" si="1"/>
        <v>0</v>
      </c>
    </row>
    <row r="29" spans="1:8" ht="17.25" customHeight="1">
      <c r="A29" s="902" t="str">
        <f t="shared" si="0"/>
        <v/>
      </c>
      <c r="B29" s="1045"/>
      <c r="C29" s="1086"/>
      <c r="D29" s="1086"/>
      <c r="E29" s="1119"/>
      <c r="F29" s="1087"/>
      <c r="G29" s="1119"/>
      <c r="H29" s="1119"/>
    </row>
    <row r="30" spans="1:8" ht="17.25" customHeight="1">
      <c r="A30" s="1049"/>
      <c r="B30" s="1049" t="s">
        <v>1296</v>
      </c>
      <c r="C30" s="1088"/>
      <c r="D30" s="1088"/>
      <c r="E30" s="1121">
        <f ca="1">SUM(E20:E29)</f>
        <v>100000000</v>
      </c>
      <c r="F30" s="1088"/>
      <c r="G30" s="1121">
        <f ca="1">SUM(G20:G29)</f>
        <v>45000000</v>
      </c>
      <c r="H30" s="1121"/>
    </row>
    <row r="31" spans="1:8" ht="17.25" customHeight="1">
      <c r="A31" s="1089"/>
      <c r="B31" s="1089"/>
      <c r="C31" s="1090"/>
      <c r="D31" s="1090"/>
      <c r="E31" s="1090"/>
      <c r="F31" s="1090"/>
      <c r="G31" s="1091"/>
      <c r="H31" s="1091"/>
    </row>
    <row r="32" spans="1:8" ht="17.25" customHeight="1">
      <c r="A32" s="1089"/>
      <c r="B32" s="1089"/>
      <c r="C32" s="1090"/>
      <c r="D32" s="1090"/>
      <c r="E32" s="1090"/>
      <c r="F32" s="1090"/>
      <c r="G32" s="1091"/>
      <c r="H32" s="1091"/>
    </row>
    <row r="33" spans="1:8" ht="17.25" customHeight="1">
      <c r="A33" s="1424" t="s">
        <v>1297</v>
      </c>
      <c r="B33" s="1424"/>
      <c r="C33" s="1424"/>
      <c r="D33" s="1424"/>
      <c r="E33" s="1424"/>
      <c r="F33" s="1424"/>
      <c r="G33" s="1424"/>
      <c r="H33" s="1424"/>
    </row>
    <row r="34" spans="1:8" ht="27" customHeight="1">
      <c r="A34" s="1049" t="s">
        <v>37</v>
      </c>
      <c r="B34" s="1397" t="s">
        <v>1298</v>
      </c>
      <c r="C34" s="1399"/>
      <c r="D34" s="1088" t="s">
        <v>327</v>
      </c>
      <c r="E34" s="1088" t="s">
        <v>1299</v>
      </c>
      <c r="F34" s="1088" t="s">
        <v>1300</v>
      </c>
      <c r="G34" s="1091"/>
      <c r="H34" s="1091"/>
    </row>
    <row r="35" spans="1:8" ht="17.25" customHeight="1">
      <c r="A35" s="1049" t="s">
        <v>2</v>
      </c>
      <c r="B35" s="1049" t="s">
        <v>3</v>
      </c>
      <c r="C35" s="1088"/>
      <c r="D35" s="1088" t="s">
        <v>4</v>
      </c>
      <c r="E35" s="1088">
        <v>1</v>
      </c>
      <c r="F35" s="1088">
        <v>2</v>
      </c>
      <c r="G35" s="1091"/>
      <c r="H35" s="1091"/>
    </row>
    <row r="36" spans="1:8" ht="17.25" customHeight="1">
      <c r="A36" s="1092"/>
      <c r="B36" s="1092"/>
      <c r="C36" s="1093"/>
      <c r="D36" s="1093"/>
      <c r="E36" s="1093"/>
      <c r="F36" s="1093"/>
      <c r="G36" s="1091"/>
      <c r="H36" s="1091"/>
    </row>
    <row r="37" spans="1:8" ht="17.25" customHeight="1">
      <c r="A37" s="1094"/>
      <c r="B37" s="1094"/>
      <c r="C37" s="1095"/>
      <c r="D37" s="1095"/>
      <c r="E37" s="1095"/>
      <c r="F37" s="1095"/>
      <c r="G37" s="1091"/>
      <c r="H37" s="1091"/>
    </row>
    <row r="38" spans="1:8" ht="17.25" customHeight="1">
      <c r="A38" s="1094"/>
      <c r="B38" s="1094"/>
      <c r="C38" s="1095"/>
      <c r="D38" s="1095"/>
      <c r="E38" s="1095"/>
      <c r="F38" s="1095"/>
      <c r="G38" s="1091"/>
      <c r="H38" s="1091"/>
    </row>
    <row r="39" spans="1:8" ht="17.25" customHeight="1">
      <c r="A39" s="1094"/>
      <c r="B39" s="1094"/>
      <c r="C39" s="1095"/>
      <c r="D39" s="1095"/>
      <c r="E39" s="1095"/>
      <c r="F39" s="1095"/>
      <c r="G39" s="1091"/>
      <c r="H39" s="1091"/>
    </row>
    <row r="40" spans="1:8" ht="17.25" customHeight="1">
      <c r="A40" s="1096"/>
      <c r="B40" s="1096"/>
      <c r="C40" s="1097"/>
      <c r="D40" s="1097"/>
      <c r="E40" s="1097"/>
      <c r="F40" s="1097"/>
      <c r="G40" s="1091"/>
      <c r="H40" s="1091"/>
    </row>
    <row r="41" spans="1:8">
      <c r="A41" s="1089"/>
      <c r="B41" s="1089"/>
      <c r="C41" s="1090"/>
      <c r="D41" s="1090"/>
      <c r="E41" s="1090"/>
      <c r="F41" s="1090"/>
      <c r="G41" s="1091"/>
      <c r="H41" s="1091"/>
    </row>
    <row r="42" spans="1:8">
      <c r="A42" s="1425" t="str">
        <f ca="1" xml:space="preserve"> IF(ROWS($1:1)&gt;COUNT(Dong3),"","Ghi giảm TSCĐ chứng từ số:  "&amp;OFFSET('SO-TS'!$M$1,SMALL(Dong3,ROWS($1:1)),))</f>
        <v xml:space="preserve">Ghi giảm TSCĐ chứng từ số:  </v>
      </c>
      <c r="B42" s="1425"/>
      <c r="C42" s="1425"/>
      <c r="D42" s="1425"/>
      <c r="E42" s="1425"/>
      <c r="F42" s="1425"/>
      <c r="G42" s="1425"/>
      <c r="H42" s="1425"/>
    </row>
    <row r="43" spans="1:8">
      <c r="A43" s="1425" t="str">
        <f ca="1" xml:space="preserve"> IF(ROWS($1:1)&gt;COUNT(Dong3),"","Lý do giảm:   "&amp;OFFSET('SO-TS'!$O$1,SMALL(Dong3,ROWS($1:1)),))</f>
        <v xml:space="preserve">Lý do giảm:   </v>
      </c>
      <c r="B43" s="1425"/>
      <c r="C43" s="1425"/>
      <c r="D43" s="1425"/>
      <c r="E43" s="1425"/>
      <c r="F43" s="1425"/>
      <c r="G43" s="1425"/>
      <c r="H43" s="1425"/>
    </row>
    <row r="44" spans="1:8">
      <c r="A44" s="1060"/>
      <c r="B44" s="1060"/>
      <c r="C44" s="1055"/>
      <c r="D44" s="1055"/>
      <c r="E44" s="1409" t="s">
        <v>1345</v>
      </c>
      <c r="F44" s="1409"/>
      <c r="G44" s="1409"/>
      <c r="H44" s="1409"/>
    </row>
    <row r="45" spans="1:8">
      <c r="A45" s="1406" t="s">
        <v>1301</v>
      </c>
      <c r="B45" s="1406"/>
      <c r="C45" s="1406" t="s">
        <v>12</v>
      </c>
      <c r="D45" s="1406"/>
      <c r="E45" s="1407" t="s">
        <v>131</v>
      </c>
      <c r="F45" s="1407"/>
      <c r="G45" s="1407"/>
      <c r="H45" s="1407"/>
    </row>
    <row r="46" spans="1:8">
      <c r="A46" s="1030"/>
      <c r="B46" s="1030"/>
      <c r="C46" s="1034"/>
      <c r="D46" s="1034"/>
      <c r="E46" s="1034"/>
      <c r="F46" s="1034"/>
      <c r="G46" s="1034"/>
      <c r="H46" s="1034"/>
    </row>
    <row r="47" spans="1:8">
      <c r="A47" s="1030"/>
      <c r="B47" s="1030"/>
      <c r="C47" s="1034"/>
      <c r="D47" s="1034"/>
      <c r="E47" s="1034"/>
      <c r="F47" s="1034"/>
      <c r="G47" s="1034"/>
      <c r="H47" s="1034"/>
    </row>
    <row r="48" spans="1:8">
      <c r="A48" s="1030"/>
      <c r="B48" s="1030"/>
      <c r="C48" s="1034"/>
      <c r="D48" s="1034"/>
      <c r="E48" s="1034"/>
      <c r="F48" s="1034"/>
      <c r="G48" s="1034"/>
      <c r="H48" s="1034"/>
    </row>
    <row r="49" spans="1:8">
      <c r="A49" s="1030"/>
      <c r="B49" s="1030"/>
      <c r="C49" s="1034"/>
      <c r="D49" s="1034"/>
      <c r="E49" s="1034"/>
      <c r="F49" s="1034"/>
      <c r="G49" s="1034"/>
      <c r="H49" s="1034"/>
    </row>
    <row r="50" spans="1:8">
      <c r="A50" s="1030"/>
      <c r="B50" s="1030"/>
      <c r="C50" s="1034"/>
      <c r="D50" s="1034"/>
      <c r="E50" s="1034"/>
      <c r="F50" s="1034"/>
      <c r="G50" s="1034"/>
      <c r="H50" s="1034"/>
    </row>
    <row r="51" spans="1:8">
      <c r="A51" s="1030"/>
      <c r="B51" s="1030"/>
      <c r="C51" s="1034"/>
      <c r="D51" s="1034"/>
      <c r="E51" s="1034"/>
      <c r="F51" s="1034"/>
      <c r="G51" s="1034"/>
      <c r="H51" s="1034"/>
    </row>
    <row r="52" spans="1:8">
      <c r="A52" s="1030"/>
      <c r="B52" s="1030"/>
      <c r="C52" s="1034"/>
      <c r="D52" s="1034"/>
      <c r="E52" s="1034"/>
      <c r="F52" s="1034"/>
      <c r="G52" s="1034"/>
      <c r="H52" s="1034"/>
    </row>
    <row r="53" spans="1:8">
      <c r="A53" s="1408" t="s">
        <v>230</v>
      </c>
      <c r="B53" s="1408"/>
      <c r="C53" s="1055"/>
      <c r="D53" s="1055"/>
      <c r="E53" s="1409" t="s">
        <v>125</v>
      </c>
      <c r="F53" s="1409"/>
      <c r="G53" s="1409"/>
      <c r="H53" s="1409"/>
    </row>
  </sheetData>
  <dataConsolidate/>
  <mergeCells count="17">
    <mergeCell ref="E44:H44"/>
    <mergeCell ref="A17:B18"/>
    <mergeCell ref="C17:E17"/>
    <mergeCell ref="F17:H17"/>
    <mergeCell ref="A6:H6"/>
    <mergeCell ref="A7:H7"/>
    <mergeCell ref="A8:H8"/>
    <mergeCell ref="A19:B19"/>
    <mergeCell ref="A33:H33"/>
    <mergeCell ref="B34:C34"/>
    <mergeCell ref="A42:H42"/>
    <mergeCell ref="A43:H43"/>
    <mergeCell ref="A45:B45"/>
    <mergeCell ref="C45:D45"/>
    <mergeCell ref="E45:H45"/>
    <mergeCell ref="A53:B53"/>
    <mergeCell ref="E53:H5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28" customWidth="1"/>
    <col min="2" max="2" width="11" style="428" customWidth="1"/>
    <col min="3" max="3" width="22.140625" style="428" customWidth="1"/>
    <col min="4" max="4" width="6.7109375" style="428" customWidth="1"/>
    <col min="5" max="5" width="6.42578125" style="428" customWidth="1"/>
    <col min="6" max="6" width="8.85546875" style="428" customWidth="1"/>
    <col min="7" max="7" width="20.7109375" style="428" customWidth="1"/>
    <col min="8" max="11" width="9.140625" style="428"/>
    <col min="12" max="12" width="10.85546875" style="428" customWidth="1"/>
    <col min="13" max="16384" width="9.140625" style="428"/>
  </cols>
  <sheetData>
    <row r="1" spans="1:12">
      <c r="A1" s="132" t="s">
        <v>138</v>
      </c>
      <c r="D1" s="1428"/>
      <c r="E1" s="1428"/>
      <c r="F1" s="1428"/>
      <c r="G1" s="1428"/>
      <c r="I1" s="1428" t="s">
        <v>255</v>
      </c>
      <c r="J1" s="1428"/>
      <c r="K1" s="1428"/>
      <c r="L1" s="1428"/>
    </row>
    <row r="2" spans="1:12">
      <c r="A2" s="388" t="s">
        <v>139</v>
      </c>
      <c r="D2" s="1428"/>
      <c r="E2" s="1428"/>
      <c r="F2" s="1428"/>
      <c r="G2" s="1428"/>
      <c r="I2" s="1428" t="s">
        <v>237</v>
      </c>
      <c r="J2" s="1428"/>
      <c r="K2" s="1428"/>
      <c r="L2" s="1428"/>
    </row>
    <row r="3" spans="1:12">
      <c r="D3" s="1428"/>
      <c r="E3" s="1428"/>
      <c r="F3" s="1428"/>
      <c r="G3" s="1428"/>
      <c r="I3" s="1428" t="s">
        <v>256</v>
      </c>
      <c r="J3" s="1428"/>
      <c r="K3" s="1428"/>
      <c r="L3" s="1428"/>
    </row>
    <row r="8" spans="1:12" ht="40.5" customHeight="1">
      <c r="H8" s="429"/>
      <c r="I8" s="429"/>
      <c r="J8" s="429"/>
    </row>
    <row r="10" spans="1:12" ht="29.25" customHeight="1">
      <c r="A10" s="1426" t="s">
        <v>112</v>
      </c>
      <c r="B10" s="1426"/>
      <c r="C10" s="1426"/>
      <c r="D10" s="1426"/>
      <c r="E10" s="1426"/>
      <c r="F10" s="1426"/>
      <c r="G10" s="1426"/>
    </row>
    <row r="11" spans="1:12" ht="6" customHeight="1">
      <c r="H11" s="430"/>
      <c r="I11" s="430"/>
    </row>
    <row r="12" spans="1:12" ht="20.25">
      <c r="A12" s="1427" t="s">
        <v>257</v>
      </c>
      <c r="B12" s="1427"/>
      <c r="C12" s="1427"/>
      <c r="D12" s="1427"/>
      <c r="E12" s="1427"/>
      <c r="F12" s="1427"/>
      <c r="G12" s="1427"/>
    </row>
    <row r="13" spans="1:12" ht="64.5" customHeight="1"/>
    <row r="16" spans="1:12" ht="22.5" customHeight="1">
      <c r="B16" s="431" t="s">
        <v>258</v>
      </c>
    </row>
    <row r="17" spans="2:2" ht="22.5" customHeight="1">
      <c r="B17" s="431" t="s">
        <v>259</v>
      </c>
    </row>
    <row r="18" spans="2:2" ht="22.5" customHeight="1">
      <c r="B18" s="431"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70</vt:i4>
      </vt:variant>
    </vt:vector>
  </HeadingPairs>
  <TitlesOfParts>
    <vt:vector size="97"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CTTK!Print_Area</vt:lpstr>
      <vt:lpstr>'IN-NX'!Print_Area</vt:lpstr>
      <vt:lpstr>'IN-TC'!Print_Area</vt:lpstr>
      <vt:lpstr>'SC-IV'!Print_Area</vt:lpstr>
      <vt:lpstr>Sheet2!Print_Area</vt:lpstr>
      <vt:lpstr>'SO-TS'!Print_Area</vt:lpstr>
      <vt:lpstr>'THE-TS'!Print_Area</vt:lpstr>
      <vt:lpstr>TK!Print_Area</vt:lpstr>
      <vt:lpstr>'111'!Print_Titles</vt:lpstr>
      <vt:lpstr>'112'!Print_Titles</vt:lpstr>
      <vt:lpstr>'331-CT'!Print_Titles</vt:lpstr>
      <vt:lpstr>CTTK!Print_Titles</vt:lpstr>
      <vt:lpstr>'SC-I'!Print_Titles</vt:lpstr>
      <vt:lpstr>'SC-II'!Print_Titles</vt:lpstr>
      <vt:lpstr>'SC-III'!Print_Titles</vt:lpstr>
      <vt:lpstr>'SC-IV'!Print_Titles</vt:lpstr>
      <vt:lpstr>'SO-TS'!Print_Titles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2016-04-07T03:36:28Z</cp:lastPrinted>
  <dcterms:created xsi:type="dcterms:W3CDTF">1996-10-14T23:33:28Z</dcterms:created>
  <dcterms:modified xsi:type="dcterms:W3CDTF">2016-04-19T03:54:28Z</dcterms:modified>
</cp:coreProperties>
</file>