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1"/>
  </bookViews>
  <sheets>
    <sheet name="CDPS" sheetId="15" r:id="rId1"/>
    <sheet name="TH" sheetId="34" r:id="rId2"/>
    <sheet name="331" sheetId="12" r:id="rId3"/>
    <sheet name="331-CT" sheetId="14" r:id="rId4"/>
    <sheet name="TH - TT" sheetId="35" r:id="rId5"/>
    <sheet name="tra vinh" sheetId="40" r:id="rId6"/>
  </sheets>
  <definedNames>
    <definedName name="_Fill" localSheetId="4" hidden="1">#REF!</definedName>
    <definedName name="_xlnm._FilterDatabase" localSheetId="3" hidden="1">'331-CT'!$A$12:$J$32</definedName>
    <definedName name="_xlnm._FilterDatabase" localSheetId="1" hidden="1">TH!$A$9:$M$1053</definedName>
    <definedName name="_xlnm._FilterDatabase" localSheetId="4" hidden="1">'TH - TT'!$A$4:$M$206</definedName>
    <definedName name="Dong">IF([0]!Loai="x",ROW([0]!Loai)-1,"")</definedName>
    <definedName name="DSKH">'331'!$B$4:$B$34</definedName>
    <definedName name="DSTK">CDPS!$A$10:$D$40</definedName>
    <definedName name="DSTT">'TH - TT'!$K$7:$K$228</definedName>
    <definedName name="DSTT1">'TH - TT'!$I$7:$I$229</definedName>
    <definedName name="KH">TH!$H$11:$H$1179</definedName>
    <definedName name="KHC">TH!$K$11:$K$1179</definedName>
    <definedName name="KHN">TH!$J$11:$J$1179</definedName>
    <definedName name="Loai">OFFSET(TH!$L$5,,,COUNTA(TH!$L$5:$L$39489))</definedName>
    <definedName name="_xlnm.Print_Area" localSheetId="4">'TH - TT'!$A$1:$K$235</definedName>
    <definedName name="_xlnm.Print_Titles" localSheetId="4">'TH - TT'!$3:$4</definedName>
    <definedName name="_xlnm.Print_Titles" localSheetId="5">'tra vinh'!$3:$4</definedName>
    <definedName name="TH">TH!$I$11:$I$1179</definedName>
    <definedName name="THN">TH!$A$11:$A$1230</definedName>
    <definedName name="TM">TH!$A$11:$K$1179</definedName>
  </definedNames>
  <calcPr calcId="124519"/>
</workbook>
</file>

<file path=xl/calcChain.xml><?xml version="1.0" encoding="utf-8"?>
<calcChain xmlns="http://schemas.openxmlformats.org/spreadsheetml/2006/main">
  <c r="D41" i="15"/>
  <c r="E41"/>
  <c r="F41"/>
  <c r="G41"/>
  <c r="H41"/>
  <c r="C41"/>
  <c r="E972" i="34"/>
  <c r="E971"/>
  <c r="E968"/>
  <c r="E967"/>
  <c r="E957"/>
  <c r="E956"/>
  <c r="E952"/>
  <c r="E951"/>
  <c r="E936"/>
  <c r="E935"/>
  <c r="E934"/>
  <c r="E933"/>
  <c r="E921"/>
  <c r="E920"/>
  <c r="E903"/>
  <c r="E902"/>
  <c r="E892"/>
  <c r="E891"/>
  <c r="E866"/>
  <c r="E865"/>
  <c r="E841"/>
  <c r="E840"/>
  <c r="E839"/>
  <c r="E838"/>
  <c r="E837"/>
  <c r="E836"/>
  <c r="E835"/>
  <c r="E834"/>
  <c r="E833"/>
  <c r="E832"/>
  <c r="E831"/>
  <c r="E830"/>
  <c r="E829"/>
  <c r="E828"/>
  <c r="E827"/>
  <c r="E826"/>
  <c r="E825"/>
  <c r="E824"/>
  <c r="E823"/>
  <c r="E822"/>
  <c r="E821"/>
  <c r="E820"/>
  <c r="E819"/>
  <c r="E818"/>
  <c r="E817"/>
  <c r="E816"/>
  <c r="E815"/>
  <c r="E814"/>
  <c r="E813"/>
  <c r="E812"/>
  <c r="E811"/>
  <c r="E810"/>
  <c r="E809"/>
  <c r="E808"/>
  <c r="E807"/>
  <c r="E806"/>
  <c r="E805"/>
  <c r="E804"/>
  <c r="E803"/>
  <c r="E802"/>
  <c r="E801"/>
  <c r="E800"/>
  <c r="E799"/>
  <c r="E798"/>
  <c r="E797"/>
  <c r="E796"/>
  <c r="E795"/>
  <c r="E794"/>
  <c r="E793"/>
  <c r="E792"/>
  <c r="E791"/>
  <c r="E790"/>
  <c r="E789"/>
  <c r="E788"/>
  <c r="E787"/>
  <c r="E786"/>
  <c r="E785"/>
  <c r="E784"/>
  <c r="E783"/>
  <c r="E782"/>
  <c r="E781"/>
  <c r="E780"/>
  <c r="E779"/>
  <c r="E778"/>
  <c r="E777"/>
  <c r="E776"/>
  <c r="E775"/>
  <c r="E774"/>
  <c r="E773"/>
  <c r="E772"/>
  <c r="E771"/>
  <c r="E770"/>
  <c r="E769"/>
  <c r="E768"/>
  <c r="E767"/>
  <c r="E766"/>
  <c r="E765"/>
  <c r="E764"/>
  <c r="E763"/>
  <c r="E762"/>
  <c r="E761"/>
  <c r="E760"/>
  <c r="E759"/>
  <c r="E758"/>
  <c r="E757"/>
  <c r="E756"/>
  <c r="E755"/>
  <c r="E754"/>
  <c r="E753"/>
  <c r="E752"/>
  <c r="E751"/>
  <c r="E750"/>
  <c r="E749"/>
  <c r="E748"/>
  <c r="E747"/>
  <c r="E746"/>
  <c r="E745"/>
  <c r="E744"/>
  <c r="E743"/>
  <c r="E742"/>
  <c r="E741"/>
  <c r="E740"/>
  <c r="E739"/>
  <c r="E738"/>
  <c r="E737"/>
  <c r="E736"/>
  <c r="E735"/>
  <c r="E734"/>
  <c r="E733"/>
  <c r="E732"/>
  <c r="E731"/>
  <c r="E730"/>
  <c r="E729"/>
  <c r="E728"/>
  <c r="E727"/>
  <c r="E726"/>
  <c r="E725"/>
  <c r="E724"/>
  <c r="E723"/>
  <c r="E722"/>
  <c r="E721"/>
  <c r="E720"/>
  <c r="E719"/>
  <c r="E718"/>
  <c r="C717"/>
  <c r="C716"/>
  <c r="C715"/>
  <c r="C714"/>
  <c r="C713"/>
  <c r="C712"/>
  <c r="C711"/>
  <c r="C710"/>
  <c r="C709"/>
  <c r="C708"/>
  <c r="C707"/>
  <c r="C686"/>
  <c r="C685"/>
  <c r="C684"/>
  <c r="I683"/>
  <c r="C683"/>
  <c r="C668"/>
  <c r="C667"/>
  <c r="C666"/>
  <c r="C665"/>
  <c r="C664"/>
  <c r="C663"/>
  <c r="C662"/>
  <c r="C661"/>
  <c r="C660"/>
  <c r="C659"/>
  <c r="C658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E631"/>
  <c r="E630"/>
  <c r="E629"/>
  <c r="E621"/>
  <c r="E620"/>
  <c r="E619"/>
  <c r="E618"/>
  <c r="E617"/>
  <c r="E616"/>
  <c r="E615"/>
  <c r="E614"/>
  <c r="E613"/>
  <c r="E612"/>
  <c r="E611"/>
  <c r="E610"/>
  <c r="E609"/>
  <c r="E608"/>
  <c r="E603"/>
  <c r="E602"/>
  <c r="E601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C509"/>
  <c r="C506"/>
  <c r="C502"/>
  <c r="C498"/>
  <c r="E497"/>
  <c r="C494"/>
  <c r="C491"/>
  <c r="C486"/>
  <c r="C484"/>
  <c r="E483"/>
  <c r="E482"/>
  <c r="E480"/>
  <c r="E473"/>
  <c r="E472"/>
  <c r="C469"/>
  <c r="E468"/>
  <c r="E467"/>
  <c r="E466"/>
  <c r="E465"/>
  <c r="C462"/>
  <c r="E461"/>
  <c r="E460"/>
  <c r="C457"/>
  <c r="C456"/>
  <c r="C453"/>
  <c r="E439"/>
  <c r="E432"/>
  <c r="C428"/>
  <c r="C425"/>
  <c r="C422"/>
  <c r="E414"/>
  <c r="E408"/>
  <c r="C405"/>
  <c r="G213" i="35" l="1"/>
  <c r="G215"/>
  <c r="A842" i="34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A907"/>
  <c r="B907"/>
  <c r="A908"/>
  <c r="B908"/>
  <c r="A909"/>
  <c r="B909"/>
  <c r="A910"/>
  <c r="B910"/>
  <c r="A911"/>
  <c r="B911"/>
  <c r="A912"/>
  <c r="B912"/>
  <c r="A913"/>
  <c r="B913"/>
  <c r="A914"/>
  <c r="B914"/>
  <c r="A915"/>
  <c r="B915"/>
  <c r="A916"/>
  <c r="B916"/>
  <c r="A917"/>
  <c r="B917"/>
  <c r="A918"/>
  <c r="B918"/>
  <c r="A919"/>
  <c r="B919"/>
  <c r="A920"/>
  <c r="B920"/>
  <c r="A921"/>
  <c r="B921"/>
  <c r="A922"/>
  <c r="B922"/>
  <c r="A923"/>
  <c r="B923"/>
  <c r="A924"/>
  <c r="B924"/>
  <c r="A925"/>
  <c r="B925"/>
  <c r="A926"/>
  <c r="B926"/>
  <c r="A927"/>
  <c r="B927"/>
  <c r="A928"/>
  <c r="B928"/>
  <c r="A929"/>
  <c r="B929"/>
  <c r="A930"/>
  <c r="B930"/>
  <c r="A931"/>
  <c r="B931"/>
  <c r="A932"/>
  <c r="B932"/>
  <c r="A933"/>
  <c r="B933"/>
  <c r="A934"/>
  <c r="B934"/>
  <c r="A935"/>
  <c r="B935"/>
  <c r="A936"/>
  <c r="B936"/>
  <c r="A937"/>
  <c r="B937"/>
  <c r="A938"/>
  <c r="B938"/>
  <c r="A939"/>
  <c r="B939"/>
  <c r="A940"/>
  <c r="B940"/>
  <c r="A941"/>
  <c r="B941"/>
  <c r="A942"/>
  <c r="B942"/>
  <c r="A943"/>
  <c r="B943"/>
  <c r="A944"/>
  <c r="B944"/>
  <c r="A945"/>
  <c r="B945"/>
  <c r="A946"/>
  <c r="B946"/>
  <c r="A947"/>
  <c r="B947"/>
  <c r="A948"/>
  <c r="B948"/>
  <c r="A949"/>
  <c r="B949"/>
  <c r="A950"/>
  <c r="B950"/>
  <c r="A951"/>
  <c r="B951"/>
  <c r="A952"/>
  <c r="B952"/>
  <c r="A953"/>
  <c r="B953"/>
  <c r="A954"/>
  <c r="B954"/>
  <c r="A955"/>
  <c r="B955"/>
  <c r="A956"/>
  <c r="B956"/>
  <c r="A957"/>
  <c r="B957"/>
  <c r="A958"/>
  <c r="B958"/>
  <c r="A959"/>
  <c r="B959"/>
  <c r="A960"/>
  <c r="B960"/>
  <c r="A961"/>
  <c r="B961"/>
  <c r="A962"/>
  <c r="B962"/>
  <c r="A963"/>
  <c r="B963"/>
  <c r="A964"/>
  <c r="B964"/>
  <c r="A965"/>
  <c r="B965"/>
  <c r="A966"/>
  <c r="B966"/>
  <c r="A967"/>
  <c r="B967"/>
  <c r="A968"/>
  <c r="B968"/>
  <c r="A969"/>
  <c r="B969"/>
  <c r="A970"/>
  <c r="B970"/>
  <c r="A971"/>
  <c r="B971"/>
  <c r="A972"/>
  <c r="B972"/>
  <c r="A973"/>
  <c r="B973"/>
  <c r="A974"/>
  <c r="B974"/>
  <c r="A975"/>
  <c r="B975"/>
  <c r="A976"/>
  <c r="B976"/>
  <c r="A977"/>
  <c r="B977"/>
  <c r="A978"/>
  <c r="B978"/>
  <c r="A979"/>
  <c r="B979"/>
  <c r="A980"/>
  <c r="B980"/>
  <c r="A981"/>
  <c r="B981"/>
  <c r="A982"/>
  <c r="B982"/>
  <c r="A983"/>
  <c r="B983"/>
  <c r="A984"/>
  <c r="B984"/>
  <c r="A985"/>
  <c r="B985"/>
  <c r="A986"/>
  <c r="B986"/>
  <c r="A987"/>
  <c r="B987"/>
  <c r="A988"/>
  <c r="B988"/>
  <c r="A989"/>
  <c r="B989"/>
  <c r="A990"/>
  <c r="B990"/>
  <c r="A991"/>
  <c r="B991"/>
  <c r="A992"/>
  <c r="B992"/>
  <c r="A993"/>
  <c r="B993"/>
  <c r="A994"/>
  <c r="B994"/>
  <c r="A995"/>
  <c r="B995"/>
  <c r="A996"/>
  <c r="B996"/>
  <c r="A997"/>
  <c r="B997"/>
  <c r="A998"/>
  <c r="B998"/>
  <c r="A999"/>
  <c r="B999"/>
  <c r="A1000"/>
  <c r="B1000"/>
  <c r="A1001"/>
  <c r="B1001"/>
  <c r="A1002"/>
  <c r="B1002"/>
  <c r="A1003"/>
  <c r="B1003"/>
  <c r="A1004"/>
  <c r="B1004"/>
  <c r="A1005"/>
  <c r="B1005"/>
  <c r="A1006"/>
  <c r="B1006"/>
  <c r="A1007"/>
  <c r="B1007"/>
  <c r="A1008"/>
  <c r="B1008"/>
  <c r="A1009"/>
  <c r="B1009"/>
  <c r="A1010"/>
  <c r="B1010"/>
  <c r="A1011"/>
  <c r="B1011"/>
  <c r="A1012"/>
  <c r="B1012"/>
  <c r="A1013"/>
  <c r="B1013"/>
  <c r="A1014"/>
  <c r="B1014"/>
  <c r="A1015"/>
  <c r="B1015"/>
  <c r="A1016"/>
  <c r="B1016"/>
  <c r="A1017"/>
  <c r="B1017"/>
  <c r="A1018"/>
  <c r="B1018"/>
  <c r="A1019"/>
  <c r="B1019"/>
  <c r="A1020"/>
  <c r="B1020"/>
  <c r="A1021"/>
  <c r="B1021"/>
  <c r="A1022"/>
  <c r="B1022"/>
  <c r="A1023"/>
  <c r="B1023"/>
  <c r="A1024"/>
  <c r="B1024"/>
  <c r="A1025"/>
  <c r="B1025"/>
  <c r="A1026"/>
  <c r="B1026"/>
  <c r="A1027"/>
  <c r="B1027"/>
  <c r="A1028"/>
  <c r="B1028"/>
  <c r="A1029"/>
  <c r="B1029"/>
  <c r="A1030"/>
  <c r="B1030"/>
  <c r="A1031"/>
  <c r="B1031"/>
  <c r="A1032"/>
  <c r="B1032"/>
  <c r="A1033"/>
  <c r="B1033"/>
  <c r="A1034"/>
  <c r="B1034"/>
  <c r="L944"/>
  <c r="I30" i="12" l="1"/>
  <c r="I29"/>
  <c r="I28"/>
  <c r="I27"/>
  <c r="I26"/>
  <c r="I25"/>
  <c r="I24"/>
  <c r="I23"/>
  <c r="I22"/>
  <c r="I21"/>
  <c r="I20"/>
  <c r="I19"/>
  <c r="I18"/>
  <c r="I17"/>
  <c r="I16"/>
  <c r="I5"/>
  <c r="G29" i="40"/>
  <c r="G28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H12"/>
  <c r="H14"/>
  <c r="H15"/>
  <c r="H16"/>
  <c r="E6"/>
  <c r="H6" s="1"/>
  <c r="H7"/>
  <c r="H8"/>
  <c r="H10"/>
  <c r="H11"/>
  <c r="E19"/>
  <c r="H19" s="1"/>
  <c r="H29"/>
  <c r="H28"/>
  <c r="H27"/>
  <c r="H26"/>
  <c r="H25"/>
  <c r="H24"/>
  <c r="H23"/>
  <c r="H22"/>
  <c r="H21"/>
  <c r="H20"/>
  <c r="H18"/>
  <c r="H17"/>
  <c r="E13"/>
  <c r="H13" s="1"/>
  <c r="F9"/>
  <c r="F31" s="1"/>
  <c r="E9"/>
  <c r="E31" s="1"/>
  <c r="H5"/>
  <c r="E36" i="35"/>
  <c r="H9" i="40" l="1"/>
  <c r="H31" s="1"/>
  <c r="G79" i="35"/>
  <c r="G80"/>
  <c r="G81"/>
  <c r="G83"/>
  <c r="G84"/>
  <c r="G85"/>
  <c r="G87"/>
  <c r="G88"/>
  <c r="G89"/>
  <c r="G91"/>
  <c r="G93"/>
  <c r="G94"/>
  <c r="G95"/>
  <c r="G96"/>
  <c r="G97"/>
  <c r="G98"/>
  <c r="G99"/>
  <c r="G100"/>
  <c r="G101"/>
  <c r="G102"/>
  <c r="G103"/>
  <c r="G92"/>
  <c r="G107"/>
  <c r="G108"/>
  <c r="G109"/>
  <c r="G106"/>
  <c r="G113"/>
  <c r="G114"/>
  <c r="G115"/>
  <c r="G116"/>
  <c r="G117"/>
  <c r="G118"/>
  <c r="G119"/>
  <c r="G120"/>
  <c r="G121"/>
  <c r="G122"/>
  <c r="G123"/>
  <c r="G112"/>
  <c r="G127"/>
  <c r="G128"/>
  <c r="G129"/>
  <c r="G130"/>
  <c r="G131"/>
  <c r="G132"/>
  <c r="G133"/>
  <c r="G134"/>
  <c r="G126"/>
  <c r="G162"/>
  <c r="G163"/>
  <c r="G164"/>
  <c r="G165"/>
  <c r="G166"/>
  <c r="G167"/>
  <c r="G168"/>
  <c r="G161"/>
  <c r="G172"/>
  <c r="G173"/>
  <c r="G174"/>
  <c r="G175"/>
  <c r="G176"/>
  <c r="G177"/>
  <c r="G171"/>
  <c r="G181"/>
  <c r="G182"/>
  <c r="G183"/>
  <c r="G184"/>
  <c r="G185"/>
  <c r="G186"/>
  <c r="G187"/>
  <c r="G180"/>
  <c r="G210"/>
  <c r="G211"/>
  <c r="G212"/>
  <c r="G209"/>
  <c r="G196"/>
  <c r="G197"/>
  <c r="G198"/>
  <c r="G199"/>
  <c r="G200"/>
  <c r="G201"/>
  <c r="G202"/>
  <c r="G203"/>
  <c r="G204"/>
  <c r="G205"/>
  <c r="G206"/>
  <c r="G195"/>
  <c r="L897" i="34"/>
  <c r="L886"/>
  <c r="L887"/>
  <c r="L908"/>
  <c r="L909"/>
  <c r="A34" i="12"/>
  <c r="L855" i="34"/>
  <c r="L856"/>
  <c r="L907"/>
  <c r="L906"/>
  <c r="L904"/>
  <c r="L905"/>
  <c r="L893"/>
  <c r="L892"/>
  <c r="L899"/>
  <c r="A33" i="12"/>
  <c r="L890" i="34"/>
  <c r="L891"/>
  <c r="L873"/>
  <c r="L874"/>
  <c r="L875"/>
  <c r="L876"/>
  <c r="L877"/>
  <c r="L878"/>
  <c r="L879"/>
  <c r="L880"/>
  <c r="L881"/>
  <c r="L882"/>
  <c r="L883"/>
  <c r="L884"/>
  <c r="L885"/>
  <c r="L889"/>
  <c r="L888"/>
  <c r="L898"/>
  <c r="L910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7"/>
  <c r="L858"/>
  <c r="L859"/>
  <c r="L860"/>
  <c r="L861"/>
  <c r="L862"/>
  <c r="L863"/>
  <c r="L864"/>
  <c r="L865"/>
  <c r="L866"/>
  <c r="L867"/>
  <c r="L868"/>
  <c r="L869"/>
  <c r="L870"/>
  <c r="L871"/>
  <c r="L872"/>
  <c r="L924"/>
  <c r="L938"/>
  <c r="L939"/>
  <c r="L940"/>
  <c r="L948"/>
  <c r="L949"/>
  <c r="L900"/>
  <c r="L901"/>
  <c r="L902"/>
  <c r="L903"/>
  <c r="L894"/>
  <c r="L895"/>
  <c r="L896"/>
  <c r="L911"/>
  <c r="L912"/>
  <c r="L913"/>
  <c r="L914"/>
  <c r="L915"/>
  <c r="L916"/>
  <c r="L917"/>
  <c r="L918"/>
  <c r="L919"/>
  <c r="L920"/>
  <c r="L921"/>
  <c r="L922"/>
  <c r="L923"/>
  <c r="L925"/>
  <c r="L926"/>
  <c r="L927"/>
  <c r="L928"/>
  <c r="L929"/>
  <c r="L930"/>
  <c r="L931"/>
  <c r="L932"/>
  <c r="L933"/>
  <c r="L934"/>
  <c r="L935"/>
  <c r="L936"/>
  <c r="L937"/>
  <c r="L941"/>
  <c r="L942"/>
  <c r="L943"/>
  <c r="L945"/>
  <c r="L946"/>
  <c r="L947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10"/>
  <c r="B631"/>
  <c r="A631"/>
  <c r="A32" i="12"/>
  <c r="A793" i="34"/>
  <c r="B793"/>
  <c r="H171" i="35" l="1"/>
  <c r="E171"/>
  <c r="A816" i="34" l="1"/>
  <c r="B816"/>
  <c r="A817"/>
  <c r="B817"/>
  <c r="F218" i="35"/>
  <c r="F64"/>
  <c r="F45"/>
  <c r="F24"/>
  <c r="F21"/>
  <c r="F6"/>
  <c r="G153"/>
  <c r="H151" l="1"/>
  <c r="E151"/>
  <c r="A781" i="34"/>
  <c r="B781"/>
  <c r="A782"/>
  <c r="B782"/>
  <c r="A807" l="1"/>
  <c r="B807"/>
  <c r="A795" l="1"/>
  <c r="B795"/>
  <c r="E190" i="35"/>
  <c r="A792" i="34"/>
  <c r="B792"/>
  <c r="E126" i="35"/>
  <c r="A771" i="34"/>
  <c r="B771"/>
  <c r="A772"/>
  <c r="B772"/>
  <c r="A784"/>
  <c r="B784"/>
  <c r="F104" i="35"/>
  <c r="F30"/>
  <c r="I30" s="1"/>
  <c r="H30" l="1"/>
  <c r="H31" s="1"/>
  <c r="G30"/>
  <c r="I31"/>
  <c r="G31"/>
  <c r="F31"/>
  <c r="E31"/>
  <c r="G32" s="1"/>
  <c r="L235"/>
  <c r="A769" i="34"/>
  <c r="B769"/>
  <c r="A770"/>
  <c r="B770"/>
  <c r="A750"/>
  <c r="B750"/>
  <c r="A773"/>
  <c r="B773"/>
  <c r="A774"/>
  <c r="B774"/>
  <c r="G224" i="35"/>
  <c r="H224" s="1"/>
  <c r="I224" s="1"/>
  <c r="G225"/>
  <c r="H225" s="1"/>
  <c r="I225" s="1"/>
  <c r="G226"/>
  <c r="H226" s="1"/>
  <c r="I226" s="1"/>
  <c r="I220"/>
  <c r="H220"/>
  <c r="G220"/>
  <c r="F220"/>
  <c r="E220"/>
  <c r="I77"/>
  <c r="H77"/>
  <c r="G77"/>
  <c r="F77"/>
  <c r="E77"/>
  <c r="A15" i="12"/>
  <c r="A20"/>
  <c r="A739" i="34"/>
  <c r="B739"/>
  <c r="A740"/>
  <c r="B740"/>
  <c r="A744"/>
  <c r="B744"/>
  <c r="A745"/>
  <c r="B745"/>
  <c r="A726"/>
  <c r="B726"/>
  <c r="A729"/>
  <c r="B729"/>
  <c r="I32" i="35" l="1"/>
  <c r="I221"/>
  <c r="G221"/>
  <c r="G78"/>
  <c r="I78"/>
  <c r="H69"/>
  <c r="F216"/>
  <c r="F207"/>
  <c r="F193"/>
  <c r="F188"/>
  <c r="F178"/>
  <c r="F151"/>
  <c r="F155" s="1"/>
  <c r="F149"/>
  <c r="F169"/>
  <c r="F159"/>
  <c r="F144"/>
  <c r="F139"/>
  <c r="F135"/>
  <c r="F117"/>
  <c r="F112"/>
  <c r="F110"/>
  <c r="F69"/>
  <c r="F65"/>
  <c r="F62"/>
  <c r="F57"/>
  <c r="F48"/>
  <c r="F36"/>
  <c r="F43" s="1"/>
  <c r="F34"/>
  <c r="F28"/>
  <c r="F25"/>
  <c r="F22"/>
  <c r="F19"/>
  <c r="F73"/>
  <c r="F16"/>
  <c r="G207"/>
  <c r="H207"/>
  <c r="I207"/>
  <c r="G69"/>
  <c r="I69"/>
  <c r="E69"/>
  <c r="G70" l="1"/>
  <c r="F124"/>
  <c r="I70"/>
  <c r="C222"/>
  <c r="A1"/>
  <c r="C223"/>
  <c r="J223"/>
  <c r="J222"/>
  <c r="J224"/>
  <c r="J225"/>
  <c r="J226"/>
  <c r="I65" l="1"/>
  <c r="H65"/>
  <c r="G65"/>
  <c r="E65"/>
  <c r="B633" i="34"/>
  <c r="A14" i="12"/>
  <c r="A31"/>
  <c r="K235" i="35"/>
  <c r="K234"/>
  <c r="I216"/>
  <c r="H216"/>
  <c r="G216"/>
  <c r="E216"/>
  <c r="I208"/>
  <c r="E207"/>
  <c r="G208" s="1"/>
  <c r="I62"/>
  <c r="H62"/>
  <c r="G62"/>
  <c r="E62"/>
  <c r="I193"/>
  <c r="H193"/>
  <c r="G193"/>
  <c r="E193"/>
  <c r="I188"/>
  <c r="H188"/>
  <c r="G188"/>
  <c r="E188"/>
  <c r="I178"/>
  <c r="H178"/>
  <c r="G178"/>
  <c r="E178"/>
  <c r="I155"/>
  <c r="G155"/>
  <c r="H155"/>
  <c r="I156" s="1"/>
  <c r="E155"/>
  <c r="G156" s="1"/>
  <c r="I149"/>
  <c r="H149"/>
  <c r="G149"/>
  <c r="E149"/>
  <c r="I169"/>
  <c r="G169"/>
  <c r="E169"/>
  <c r="H161"/>
  <c r="H169" s="1"/>
  <c r="I159"/>
  <c r="H159"/>
  <c r="G159"/>
  <c r="E159"/>
  <c r="I144"/>
  <c r="H144"/>
  <c r="G144"/>
  <c r="E144"/>
  <c r="I139"/>
  <c r="H139"/>
  <c r="G139"/>
  <c r="E139"/>
  <c r="I135"/>
  <c r="H135"/>
  <c r="G135"/>
  <c r="E135"/>
  <c r="I124"/>
  <c r="G124"/>
  <c r="H117"/>
  <c r="H124" s="1"/>
  <c r="I125" s="1"/>
  <c r="I110"/>
  <c r="H110"/>
  <c r="G110"/>
  <c r="E110"/>
  <c r="I104"/>
  <c r="H104"/>
  <c r="G104"/>
  <c r="E104"/>
  <c r="I57"/>
  <c r="H57"/>
  <c r="G57"/>
  <c r="E57"/>
  <c r="I48"/>
  <c r="H48"/>
  <c r="G48"/>
  <c r="E48"/>
  <c r="I43"/>
  <c r="G43"/>
  <c r="H36"/>
  <c r="H43" s="1"/>
  <c r="I44" s="1"/>
  <c r="E43"/>
  <c r="G44" s="1"/>
  <c r="I34"/>
  <c r="H34"/>
  <c r="G34"/>
  <c r="E34"/>
  <c r="I28"/>
  <c r="H28"/>
  <c r="G28"/>
  <c r="E28"/>
  <c r="I25"/>
  <c r="H25"/>
  <c r="G25"/>
  <c r="E25"/>
  <c r="I22"/>
  <c r="H22"/>
  <c r="G22"/>
  <c r="E22"/>
  <c r="I19"/>
  <c r="H19"/>
  <c r="G19"/>
  <c r="G5" i="40" s="1"/>
  <c r="E19" i="35"/>
  <c r="I73"/>
  <c r="H73"/>
  <c r="G73"/>
  <c r="G6" i="40" s="1"/>
  <c r="E73" i="35"/>
  <c r="I16"/>
  <c r="H16"/>
  <c r="G16"/>
  <c r="E16"/>
  <c r="I31" i="12" l="1"/>
  <c r="G27" i="40"/>
  <c r="G31"/>
  <c r="I189" i="35"/>
  <c r="I194"/>
  <c r="G63"/>
  <c r="I63"/>
  <c r="I217"/>
  <c r="A633" i="34"/>
  <c r="G194" i="35"/>
  <c r="G179"/>
  <c r="G170"/>
  <c r="I150"/>
  <c r="G189"/>
  <c r="G49"/>
  <c r="G217"/>
  <c r="G66"/>
  <c r="I66"/>
  <c r="I17"/>
  <c r="I74"/>
  <c r="I20"/>
  <c r="I23"/>
  <c r="I26"/>
  <c r="I29"/>
  <c r="I35"/>
  <c r="I49"/>
  <c r="I58"/>
  <c r="I105"/>
  <c r="I111"/>
  <c r="E124"/>
  <c r="G125" s="1"/>
  <c r="G74"/>
  <c r="G20"/>
  <c r="G23"/>
  <c r="G26"/>
  <c r="G29"/>
  <c r="G35"/>
  <c r="G58"/>
  <c r="G105"/>
  <c r="G111"/>
  <c r="G136"/>
  <c r="I136"/>
  <c r="G140"/>
  <c r="I140"/>
  <c r="G145"/>
  <c r="I145"/>
  <c r="G160"/>
  <c r="I160"/>
  <c r="I170"/>
  <c r="G150"/>
  <c r="I179"/>
  <c r="G17"/>
  <c r="A674" i="34" l="1"/>
  <c r="B674"/>
  <c r="A673"/>
  <c r="B673"/>
  <c r="B623"/>
  <c r="B624"/>
  <c r="B607"/>
  <c r="B606"/>
  <c r="A599"/>
  <c r="B599"/>
  <c r="A600"/>
  <c r="B600"/>
  <c r="A598"/>
  <c r="B598"/>
  <c r="A629"/>
  <c r="B629"/>
  <c r="A630"/>
  <c r="B630"/>
  <c r="I11"/>
  <c r="I15"/>
  <c r="I14"/>
  <c r="I13"/>
  <c r="I12"/>
  <c r="F35" i="12" l="1" a="1"/>
  <c r="F35" s="1"/>
  <c r="E35" a="1"/>
  <c r="E35" s="1"/>
  <c r="E18" i="15" a="1"/>
  <c r="E18" s="1"/>
  <c r="F18" a="1"/>
  <c r="F18" s="1"/>
  <c r="F34" i="12" a="1"/>
  <c r="F34" s="1"/>
  <c r="E34" a="1"/>
  <c r="E34" s="1"/>
  <c r="E33" a="1"/>
  <c r="E33" s="1"/>
  <c r="F33" a="1"/>
  <c r="F33" s="1"/>
  <c r="E32" a="1"/>
  <c r="E32" s="1"/>
  <c r="F32" a="1"/>
  <c r="F32" s="1"/>
  <c r="E223" i="35" a="1"/>
  <c r="E223" s="1"/>
  <c r="E15" i="12" a="1"/>
  <c r="E15" s="1"/>
  <c r="E20" a="1"/>
  <c r="E20" s="1"/>
  <c r="J20" s="1"/>
  <c r="F15" a="1"/>
  <c r="F15" s="1"/>
  <c r="F20" a="1"/>
  <c r="F20" s="1"/>
  <c r="E222" i="35" a="1"/>
  <c r="E222" s="1"/>
  <c r="F222" a="1"/>
  <c r="F222" s="1"/>
  <c r="G222" s="1"/>
  <c r="H222" s="1"/>
  <c r="I222" s="1"/>
  <c r="F223" a="1"/>
  <c r="F223" s="1"/>
  <c r="G223" s="1"/>
  <c r="H223" s="1"/>
  <c r="I223" s="1"/>
  <c r="F31" i="12" a="1"/>
  <c r="F31" s="1"/>
  <c r="E31" a="1"/>
  <c r="E31" s="1"/>
  <c r="J31" s="1"/>
  <c r="F14" a="1"/>
  <c r="F14" s="1"/>
  <c r="E14" a="1"/>
  <c r="E14" s="1"/>
  <c r="B15" i="34"/>
  <c r="A15"/>
  <c r="E16"/>
  <c r="E20"/>
  <c r="B20"/>
  <c r="A20"/>
  <c r="E19"/>
  <c r="B19"/>
  <c r="A19"/>
  <c r="E18"/>
  <c r="B18"/>
  <c r="A18"/>
  <c r="E17"/>
  <c r="B17"/>
  <c r="A17"/>
  <c r="B16"/>
  <c r="A16"/>
  <c r="A601"/>
  <c r="B601"/>
  <c r="A602"/>
  <c r="B602"/>
  <c r="A597"/>
  <c r="B597"/>
  <c r="A606"/>
  <c r="A607"/>
  <c r="A604"/>
  <c r="B604"/>
  <c r="A605"/>
  <c r="B605"/>
  <c r="A622"/>
  <c r="B622"/>
  <c r="A623"/>
  <c r="A624"/>
  <c r="A625"/>
  <c r="B625"/>
  <c r="A626"/>
  <c r="B626"/>
  <c r="A627"/>
  <c r="B627"/>
  <c r="A628"/>
  <c r="B628"/>
  <c r="A653"/>
  <c r="B653"/>
  <c r="A656"/>
  <c r="B656"/>
  <c r="A657"/>
  <c r="B657"/>
  <c r="A654"/>
  <c r="B654"/>
  <c r="A655"/>
  <c r="B655"/>
  <c r="A669"/>
  <c r="B669"/>
  <c r="A670"/>
  <c r="B670"/>
  <c r="A671"/>
  <c r="B671"/>
  <c r="A672"/>
  <c r="B672"/>
  <c r="A675"/>
  <c r="B675"/>
  <c r="A676"/>
  <c r="B676"/>
  <c r="A677"/>
  <c r="B677"/>
  <c r="A681"/>
  <c r="B681"/>
  <c r="A678"/>
  <c r="B678"/>
  <c r="A680"/>
  <c r="B680"/>
  <c r="A679"/>
  <c r="B679"/>
  <c r="A682"/>
  <c r="B682"/>
  <c r="A687"/>
  <c r="B687"/>
  <c r="A688"/>
  <c r="B688"/>
  <c r="A689"/>
  <c r="B689"/>
  <c r="A690"/>
  <c r="B690"/>
  <c r="A691"/>
  <c r="B691"/>
  <c r="A694"/>
  <c r="B694"/>
  <c r="A695"/>
  <c r="B695"/>
  <c r="A692"/>
  <c r="B692"/>
  <c r="A693"/>
  <c r="B693"/>
  <c r="A697"/>
  <c r="B697"/>
  <c r="A698"/>
  <c r="B698"/>
  <c r="A696"/>
  <c r="B696"/>
  <c r="A699"/>
  <c r="B699"/>
  <c r="A700"/>
  <c r="B700"/>
  <c r="A702"/>
  <c r="B702"/>
  <c r="A701"/>
  <c r="B701"/>
  <c r="A704"/>
  <c r="B704"/>
  <c r="A703"/>
  <c r="B703"/>
  <c r="A705"/>
  <c r="B705"/>
  <c r="A706"/>
  <c r="B706"/>
  <c r="A632"/>
  <c r="B632"/>
  <c r="A634"/>
  <c r="B634"/>
  <c r="A635"/>
  <c r="B635"/>
  <c r="A636"/>
  <c r="B636"/>
  <c r="A640"/>
  <c r="B640"/>
  <c r="A637"/>
  <c r="B637"/>
  <c r="A638"/>
  <c r="B638"/>
  <c r="A639"/>
  <c r="B639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68"/>
  <c r="B668"/>
  <c r="A658"/>
  <c r="B658"/>
  <c r="A659"/>
  <c r="B659"/>
  <c r="A660"/>
  <c r="B660"/>
  <c r="A663"/>
  <c r="B663"/>
  <c r="A664"/>
  <c r="B664"/>
  <c r="A665"/>
  <c r="B665"/>
  <c r="A666"/>
  <c r="B666"/>
  <c r="A667"/>
  <c r="B667"/>
  <c r="A661"/>
  <c r="B661"/>
  <c r="A662"/>
  <c r="B662"/>
  <c r="A684"/>
  <c r="B684"/>
  <c r="A685"/>
  <c r="B685"/>
  <c r="A686"/>
  <c r="B686"/>
  <c r="A683"/>
  <c r="B683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23"/>
  <c r="B723"/>
  <c r="A721"/>
  <c r="B721"/>
  <c r="A722"/>
  <c r="B722"/>
  <c r="A720"/>
  <c r="B720"/>
  <c r="A724"/>
  <c r="B724"/>
  <c r="A725"/>
  <c r="B725"/>
  <c r="A719"/>
  <c r="B719"/>
  <c r="A718"/>
  <c r="B718"/>
  <c r="A728"/>
  <c r="B728"/>
  <c r="A727"/>
  <c r="B727"/>
  <c r="A730"/>
  <c r="B730"/>
  <c r="A731"/>
  <c r="B731"/>
  <c r="A732"/>
  <c r="B732"/>
  <c r="A733"/>
  <c r="B733"/>
  <c r="A734"/>
  <c r="B734"/>
  <c r="A735"/>
  <c r="B735"/>
  <c r="A742"/>
  <c r="B742"/>
  <c r="A743"/>
  <c r="B743"/>
  <c r="A751"/>
  <c r="B751"/>
  <c r="A752"/>
  <c r="B752"/>
  <c r="A753"/>
  <c r="B753"/>
  <c r="A736"/>
  <c r="B736"/>
  <c r="A737"/>
  <c r="B737"/>
  <c r="A738"/>
  <c r="B738"/>
  <c r="A746"/>
  <c r="B746"/>
  <c r="A747"/>
  <c r="B747"/>
  <c r="A748"/>
  <c r="B748"/>
  <c r="A749"/>
  <c r="B749"/>
  <c r="A754"/>
  <c r="B754"/>
  <c r="A755"/>
  <c r="B755"/>
  <c r="A756"/>
  <c r="B756"/>
  <c r="A760"/>
  <c r="B760"/>
  <c r="A761"/>
  <c r="B761"/>
  <c r="A762"/>
  <c r="B762"/>
  <c r="A763"/>
  <c r="B763"/>
  <c r="A757"/>
  <c r="B757"/>
  <c r="A758"/>
  <c r="B758"/>
  <c r="A759"/>
  <c r="B759"/>
  <c r="A764"/>
  <c r="B764"/>
  <c r="A765"/>
  <c r="B765"/>
  <c r="A766"/>
  <c r="B766"/>
  <c r="A767"/>
  <c r="B767"/>
  <c r="A768"/>
  <c r="B768"/>
  <c r="A778"/>
  <c r="B778"/>
  <c r="A776"/>
  <c r="B776"/>
  <c r="A777"/>
  <c r="B777"/>
  <c r="A775"/>
  <c r="B775"/>
  <c r="A779"/>
  <c r="B779"/>
  <c r="A780"/>
  <c r="B780"/>
  <c r="A783"/>
  <c r="B783"/>
  <c r="A785"/>
  <c r="B785"/>
  <c r="A786"/>
  <c r="B786"/>
  <c r="A787"/>
  <c r="B787"/>
  <c r="A788"/>
  <c r="B788"/>
  <c r="A789"/>
  <c r="B789"/>
  <c r="A790"/>
  <c r="B790"/>
  <c r="A791"/>
  <c r="B791"/>
  <c r="A794"/>
  <c r="B794"/>
  <c r="A806"/>
  <c r="B806"/>
  <c r="A810"/>
  <c r="B810"/>
  <c r="A811"/>
  <c r="B811"/>
  <c r="A812"/>
  <c r="B812"/>
  <c r="A813"/>
  <c r="B813"/>
  <c r="A814"/>
  <c r="B814"/>
  <c r="A815"/>
  <c r="B815"/>
  <c r="A808"/>
  <c r="B808"/>
  <c r="A809"/>
  <c r="B809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1035"/>
  <c r="B1035"/>
  <c r="A1036"/>
  <c r="B1036"/>
  <c r="A1037"/>
  <c r="B1037"/>
  <c r="A1038"/>
  <c r="B1038"/>
  <c r="A1039"/>
  <c r="B1039"/>
  <c r="A1040"/>
  <c r="B1040"/>
  <c r="A1041"/>
  <c r="B1041"/>
  <c r="A1042"/>
  <c r="B1042"/>
  <c r="A1043"/>
  <c r="B1043"/>
  <c r="A1044"/>
  <c r="B1044"/>
  <c r="A1045"/>
  <c r="B1045"/>
  <c r="A1046"/>
  <c r="B1046"/>
  <c r="A1047"/>
  <c r="B1047"/>
  <c r="A1048"/>
  <c r="B1048"/>
  <c r="A1049"/>
  <c r="B1049"/>
  <c r="A1050"/>
  <c r="B1050"/>
  <c r="A1051"/>
  <c r="B1051"/>
  <c r="A1052"/>
  <c r="B1052"/>
  <c r="A1053"/>
  <c r="B1053"/>
  <c r="A587"/>
  <c r="A588"/>
  <c r="A591"/>
  <c r="A592"/>
  <c r="A593"/>
  <c r="A594"/>
  <c r="A595"/>
  <c r="A596"/>
  <c r="A603"/>
  <c r="A616"/>
  <c r="A608"/>
  <c r="A609"/>
  <c r="A610"/>
  <c r="A611"/>
  <c r="A612"/>
  <c r="A613"/>
  <c r="A620"/>
  <c r="A617"/>
  <c r="A618"/>
  <c r="A619"/>
  <c r="A621"/>
  <c r="A13" i="12"/>
  <c r="A12"/>
  <c r="A30"/>
  <c r="B588" i="34"/>
  <c r="B591"/>
  <c r="B592"/>
  <c r="B593"/>
  <c r="B594"/>
  <c r="B595"/>
  <c r="B596"/>
  <c r="B603"/>
  <c r="B616"/>
  <c r="B608"/>
  <c r="B609"/>
  <c r="B610"/>
  <c r="B611"/>
  <c r="B612"/>
  <c r="B613"/>
  <c r="B620"/>
  <c r="B617"/>
  <c r="B618"/>
  <c r="B619"/>
  <c r="B621"/>
  <c r="A29" i="12"/>
  <c r="A11"/>
  <c r="A579" i="34"/>
  <c r="B579"/>
  <c r="A614"/>
  <c r="B614"/>
  <c r="A615"/>
  <c r="B615"/>
  <c r="A589"/>
  <c r="B589"/>
  <c r="A590"/>
  <c r="B590"/>
  <c r="A530"/>
  <c r="B530"/>
  <c r="A539"/>
  <c r="B539"/>
  <c r="A543"/>
  <c r="B543"/>
  <c r="A497"/>
  <c r="B497"/>
  <c r="A542"/>
  <c r="B542"/>
  <c r="A540"/>
  <c r="B540"/>
  <c r="A541"/>
  <c r="B541"/>
  <c r="A483"/>
  <c r="B483"/>
  <c r="A482"/>
  <c r="B482"/>
  <c r="B525"/>
  <c r="A525"/>
  <c r="B524"/>
  <c r="A524"/>
  <c r="B523"/>
  <c r="A523"/>
  <c r="A11"/>
  <c r="A28" i="12"/>
  <c r="G35" l="1"/>
  <c r="H35"/>
  <c r="G18" i="15"/>
  <c r="E19"/>
  <c r="H18"/>
  <c r="F19"/>
  <c r="H19" s="1"/>
  <c r="G34" i="12"/>
  <c r="H34"/>
  <c r="G33"/>
  <c r="H33"/>
  <c r="G32"/>
  <c r="H32"/>
  <c r="B14" i="14"/>
  <c r="C14"/>
  <c r="A14" s="1"/>
  <c r="E14"/>
  <c r="H14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D14"/>
  <c r="G14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H20" i="12"/>
  <c r="H15"/>
  <c r="C44" i="14"/>
  <c r="A44" s="1"/>
  <c r="E44"/>
  <c r="H44"/>
  <c r="C45"/>
  <c r="A45" s="1"/>
  <c r="E45"/>
  <c r="H45"/>
  <c r="C46"/>
  <c r="A46" s="1"/>
  <c r="E46"/>
  <c r="H46"/>
  <c r="C47"/>
  <c r="A47" s="1"/>
  <c r="E47"/>
  <c r="H47"/>
  <c r="B48"/>
  <c r="D48"/>
  <c r="G48"/>
  <c r="B49"/>
  <c r="D49"/>
  <c r="G49"/>
  <c r="C50"/>
  <c r="A50" s="1"/>
  <c r="E50"/>
  <c r="H50"/>
  <c r="C51"/>
  <c r="A51" s="1"/>
  <c r="E51"/>
  <c r="H51"/>
  <c r="B52"/>
  <c r="D52"/>
  <c r="G52"/>
  <c r="B53"/>
  <c r="D53"/>
  <c r="G53"/>
  <c r="C54"/>
  <c r="A54" s="1"/>
  <c r="E54"/>
  <c r="H54"/>
  <c r="C55"/>
  <c r="A55" s="1"/>
  <c r="E55"/>
  <c r="H55"/>
  <c r="B56"/>
  <c r="D56"/>
  <c r="G56"/>
  <c r="B57"/>
  <c r="D57"/>
  <c r="G57"/>
  <c r="C58"/>
  <c r="A58" s="1"/>
  <c r="E58"/>
  <c r="H58"/>
  <c r="C59"/>
  <c r="A59" s="1"/>
  <c r="E59"/>
  <c r="H59"/>
  <c r="B60"/>
  <c r="D60"/>
  <c r="G60"/>
  <c r="B61"/>
  <c r="D61"/>
  <c r="G61"/>
  <c r="C62"/>
  <c r="A62" s="1"/>
  <c r="E62"/>
  <c r="H62"/>
  <c r="C63"/>
  <c r="A63" s="1"/>
  <c r="E63"/>
  <c r="H63"/>
  <c r="B64"/>
  <c r="D64"/>
  <c r="G64"/>
  <c r="B65"/>
  <c r="D65"/>
  <c r="G65"/>
  <c r="C66"/>
  <c r="A66" s="1"/>
  <c r="E66"/>
  <c r="H66"/>
  <c r="C67"/>
  <c r="A67" s="1"/>
  <c r="E67"/>
  <c r="H67"/>
  <c r="B44"/>
  <c r="D44"/>
  <c r="G44"/>
  <c r="B45"/>
  <c r="D45"/>
  <c r="G45"/>
  <c r="B46"/>
  <c r="D46"/>
  <c r="G46"/>
  <c r="B47"/>
  <c r="D47"/>
  <c r="G47"/>
  <c r="C48"/>
  <c r="A48" s="1"/>
  <c r="E48"/>
  <c r="H48"/>
  <c r="C49"/>
  <c r="A49" s="1"/>
  <c r="E49"/>
  <c r="H49"/>
  <c r="B50"/>
  <c r="D50"/>
  <c r="G50"/>
  <c r="B51"/>
  <c r="D51"/>
  <c r="G51"/>
  <c r="C52"/>
  <c r="A52" s="1"/>
  <c r="E52"/>
  <c r="H52"/>
  <c r="C53"/>
  <c r="A53" s="1"/>
  <c r="E53"/>
  <c r="H53"/>
  <c r="B54"/>
  <c r="D54"/>
  <c r="G54"/>
  <c r="B55"/>
  <c r="D55"/>
  <c r="G55"/>
  <c r="C56"/>
  <c r="A56" s="1"/>
  <c r="E56"/>
  <c r="H56"/>
  <c r="C57"/>
  <c r="A57" s="1"/>
  <c r="E57"/>
  <c r="H57"/>
  <c r="B58"/>
  <c r="D58"/>
  <c r="G58"/>
  <c r="B59"/>
  <c r="D59"/>
  <c r="G59"/>
  <c r="C60"/>
  <c r="A60" s="1"/>
  <c r="E60"/>
  <c r="H60"/>
  <c r="C61"/>
  <c r="A61" s="1"/>
  <c r="E61"/>
  <c r="H61"/>
  <c r="B62"/>
  <c r="D62"/>
  <c r="G62"/>
  <c r="B63"/>
  <c r="D63"/>
  <c r="G63"/>
  <c r="C64"/>
  <c r="A64" s="1"/>
  <c r="E64"/>
  <c r="H64"/>
  <c r="C65"/>
  <c r="A65" s="1"/>
  <c r="E65"/>
  <c r="H65"/>
  <c r="B66"/>
  <c r="D66"/>
  <c r="G66"/>
  <c r="B67"/>
  <c r="D67"/>
  <c r="G67"/>
  <c r="C40"/>
  <c r="A40" s="1"/>
  <c r="E40"/>
  <c r="H40"/>
  <c r="C41"/>
  <c r="A41" s="1"/>
  <c r="E41"/>
  <c r="H41"/>
  <c r="C42"/>
  <c r="A42" s="1"/>
  <c r="E42"/>
  <c r="H42"/>
  <c r="C43"/>
  <c r="A43" s="1"/>
  <c r="E43"/>
  <c r="H43"/>
  <c r="B40"/>
  <c r="D40"/>
  <c r="G40"/>
  <c r="B41"/>
  <c r="D41"/>
  <c r="G41"/>
  <c r="B42"/>
  <c r="D42"/>
  <c r="G42"/>
  <c r="B43"/>
  <c r="D43"/>
  <c r="G43"/>
  <c r="G15" i="12"/>
  <c r="G20"/>
  <c r="F227" i="35"/>
  <c r="F229" s="1"/>
  <c r="H227"/>
  <c r="G227"/>
  <c r="G229" s="1"/>
  <c r="E227"/>
  <c r="G31" i="12"/>
  <c r="H31"/>
  <c r="G14"/>
  <c r="H14"/>
  <c r="B33" i="14"/>
  <c r="H39"/>
  <c r="E39"/>
  <c r="C39"/>
  <c r="A39" s="1"/>
  <c r="H38"/>
  <c r="E38"/>
  <c r="C38"/>
  <c r="A38" s="1"/>
  <c r="G37"/>
  <c r="D37"/>
  <c r="B37"/>
  <c r="H36"/>
  <c r="E36"/>
  <c r="C36"/>
  <c r="A36" s="1"/>
  <c r="H35"/>
  <c r="E35"/>
  <c r="C35"/>
  <c r="A35" s="1"/>
  <c r="H34"/>
  <c r="E34"/>
  <c r="C34"/>
  <c r="A34" s="1"/>
  <c r="H33"/>
  <c r="E33"/>
  <c r="C33"/>
  <c r="A33" s="1"/>
  <c r="G39"/>
  <c r="D39"/>
  <c r="B39"/>
  <c r="G38"/>
  <c r="D38"/>
  <c r="B38"/>
  <c r="H37"/>
  <c r="E37"/>
  <c r="C37"/>
  <c r="A37" s="1"/>
  <c r="G36"/>
  <c r="D36"/>
  <c r="B36"/>
  <c r="G35"/>
  <c r="D35"/>
  <c r="B35"/>
  <c r="G34"/>
  <c r="D34"/>
  <c r="B34"/>
  <c r="G33"/>
  <c r="D33"/>
  <c r="G19" i="15" l="1"/>
  <c r="J14" i="14"/>
  <c r="I14"/>
  <c r="J67"/>
  <c r="I67"/>
  <c r="J63"/>
  <c r="I63"/>
  <c r="J59"/>
  <c r="I59"/>
  <c r="J55"/>
  <c r="I55"/>
  <c r="J65"/>
  <c r="I65"/>
  <c r="J61"/>
  <c r="I61"/>
  <c r="J57"/>
  <c r="I57"/>
  <c r="J66"/>
  <c r="I66"/>
  <c r="J62"/>
  <c r="I62"/>
  <c r="J58"/>
  <c r="I58"/>
  <c r="J54"/>
  <c r="I54"/>
  <c r="I64"/>
  <c r="J64"/>
  <c r="I60"/>
  <c r="J60"/>
  <c r="I56"/>
  <c r="J56"/>
  <c r="H229" i="35"/>
  <c r="I227"/>
  <c r="I229" s="1"/>
  <c r="K233"/>
  <c r="E229"/>
  <c r="I15" i="14" l="1"/>
  <c r="J15"/>
  <c r="I228" i="35"/>
  <c r="B12" i="34"/>
  <c r="B10"/>
  <c r="B13"/>
  <c r="B14"/>
  <c r="B21"/>
  <c r="B22"/>
  <c r="B24"/>
  <c r="B23"/>
  <c r="B25"/>
  <c r="B26"/>
  <c r="B27"/>
  <c r="B28"/>
  <c r="B29"/>
  <c r="B30"/>
  <c r="B33"/>
  <c r="B35"/>
  <c r="B32"/>
  <c r="B34"/>
  <c r="B37"/>
  <c r="B36"/>
  <c r="B38"/>
  <c r="B40"/>
  <c r="B39"/>
  <c r="B43"/>
  <c r="B45"/>
  <c r="B41"/>
  <c r="B42"/>
  <c r="B44"/>
  <c r="B46"/>
  <c r="B47"/>
  <c r="B50"/>
  <c r="B49"/>
  <c r="B51"/>
  <c r="B52"/>
  <c r="B53"/>
  <c r="B54"/>
  <c r="B57"/>
  <c r="B56"/>
  <c r="B58"/>
  <c r="B59"/>
  <c r="B60"/>
  <c r="B61"/>
  <c r="B64"/>
  <c r="B68"/>
  <c r="B63"/>
  <c r="B67"/>
  <c r="B69"/>
  <c r="B70"/>
  <c r="B73"/>
  <c r="B72"/>
  <c r="B74"/>
  <c r="B75"/>
  <c r="B76"/>
  <c r="B77"/>
  <c r="B78"/>
  <c r="B79"/>
  <c r="B82"/>
  <c r="B81"/>
  <c r="B83"/>
  <c r="B86"/>
  <c r="B88"/>
  <c r="B85"/>
  <c r="B87"/>
  <c r="B89"/>
  <c r="B90"/>
  <c r="B91"/>
  <c r="B94"/>
  <c r="B96"/>
  <c r="B93"/>
  <c r="B95"/>
  <c r="B97"/>
  <c r="B98"/>
  <c r="B99"/>
  <c r="B100"/>
  <c r="B102"/>
  <c r="B104"/>
  <c r="B106"/>
  <c r="B105"/>
  <c r="B103"/>
  <c r="B101"/>
  <c r="B108"/>
  <c r="B110"/>
  <c r="B107"/>
  <c r="B109"/>
  <c r="B111"/>
  <c r="B112"/>
  <c r="B113"/>
  <c r="B114"/>
  <c r="B117"/>
  <c r="B116"/>
  <c r="B120"/>
  <c r="B122"/>
  <c r="B124"/>
  <c r="B119"/>
  <c r="B121"/>
  <c r="B123"/>
  <c r="B125"/>
  <c r="B126"/>
  <c r="B127"/>
  <c r="B128"/>
  <c r="B129"/>
  <c r="B132"/>
  <c r="B130"/>
  <c r="B131"/>
  <c r="B133"/>
  <c r="B134"/>
  <c r="B137"/>
  <c r="B135"/>
  <c r="B136"/>
  <c r="B139"/>
  <c r="B141"/>
  <c r="B143"/>
  <c r="B142"/>
  <c r="B140"/>
  <c r="B138"/>
  <c r="B144"/>
  <c r="B146"/>
  <c r="B148"/>
  <c r="B150"/>
  <c r="B149"/>
  <c r="B147"/>
  <c r="B145"/>
  <c r="B151"/>
  <c r="B154"/>
  <c r="B153"/>
  <c r="B156"/>
  <c r="B158"/>
  <c r="B160"/>
  <c r="B159"/>
  <c r="B157"/>
  <c r="B155"/>
  <c r="B161"/>
  <c r="B162"/>
  <c r="B165"/>
  <c r="B164"/>
  <c r="B167"/>
  <c r="B169"/>
  <c r="B171"/>
  <c r="B170"/>
  <c r="B168"/>
  <c r="B166"/>
  <c r="B172"/>
  <c r="B173"/>
  <c r="B176"/>
  <c r="B174"/>
  <c r="B175"/>
  <c r="B177"/>
  <c r="B180"/>
  <c r="B178"/>
  <c r="B179"/>
  <c r="B182"/>
  <c r="B184"/>
  <c r="B186"/>
  <c r="B185"/>
  <c r="B183"/>
  <c r="B181"/>
  <c r="B188"/>
  <c r="B190"/>
  <c r="B192"/>
  <c r="B191"/>
  <c r="B189"/>
  <c r="B187"/>
  <c r="B194"/>
  <c r="B193"/>
  <c r="B196"/>
  <c r="B198"/>
  <c r="B200"/>
  <c r="B199"/>
  <c r="B197"/>
  <c r="B195"/>
  <c r="B202"/>
  <c r="B204"/>
  <c r="B206"/>
  <c r="B205"/>
  <c r="B203"/>
  <c r="B201"/>
  <c r="B207"/>
  <c r="B208"/>
  <c r="B211"/>
  <c r="B214"/>
  <c r="B210"/>
  <c r="B213"/>
  <c r="B215"/>
  <c r="B216"/>
  <c r="B218"/>
  <c r="B217"/>
  <c r="B221"/>
  <c r="B223"/>
  <c r="B222"/>
  <c r="B226"/>
  <c r="B224"/>
  <c r="B225"/>
  <c r="B227"/>
  <c r="B230"/>
  <c r="B233"/>
  <c r="B229"/>
  <c r="B232"/>
  <c r="B234"/>
  <c r="B237"/>
  <c r="B236"/>
  <c r="B239"/>
  <c r="B241"/>
  <c r="B243"/>
  <c r="B242"/>
  <c r="B240"/>
  <c r="B238"/>
  <c r="B244"/>
  <c r="B247"/>
  <c r="B246"/>
  <c r="B248"/>
  <c r="B251"/>
  <c r="B250"/>
  <c r="B254"/>
  <c r="B255"/>
  <c r="B258"/>
  <c r="B257"/>
  <c r="B259"/>
  <c r="B260"/>
  <c r="B263"/>
  <c r="B262"/>
  <c r="B266"/>
  <c r="B265"/>
  <c r="B269"/>
  <c r="B271"/>
  <c r="B273"/>
  <c r="B275"/>
  <c r="B274"/>
  <c r="B272"/>
  <c r="B270"/>
  <c r="B278"/>
  <c r="B277"/>
  <c r="B280"/>
  <c r="B279"/>
  <c r="B282"/>
  <c r="B285"/>
  <c r="B284"/>
  <c r="B286"/>
  <c r="B287"/>
  <c r="B290"/>
  <c r="B289"/>
  <c r="B291"/>
  <c r="B292"/>
  <c r="B295"/>
  <c r="B294"/>
  <c r="B296"/>
  <c r="B299"/>
  <c r="B298"/>
  <c r="B300"/>
  <c r="B303"/>
  <c r="B306"/>
  <c r="B309"/>
  <c r="B312"/>
  <c r="B314"/>
  <c r="B302"/>
  <c r="B305"/>
  <c r="B308"/>
  <c r="B311"/>
  <c r="B313"/>
  <c r="B317"/>
  <c r="B322"/>
  <c r="B321"/>
  <c r="B323"/>
  <c r="B332"/>
  <c r="B324"/>
  <c r="B328"/>
  <c r="B331"/>
  <c r="B325"/>
  <c r="B327"/>
  <c r="B330"/>
  <c r="B334"/>
  <c r="B333"/>
  <c r="B335"/>
  <c r="B339"/>
  <c r="B341"/>
  <c r="B343"/>
  <c r="B337"/>
  <c r="B342"/>
  <c r="B340"/>
  <c r="B338"/>
  <c r="B336"/>
  <c r="B346"/>
  <c r="B345"/>
  <c r="B349"/>
  <c r="B348"/>
  <c r="B354"/>
  <c r="B353"/>
  <c r="B355"/>
  <c r="B356"/>
  <c r="B357"/>
  <c r="B362"/>
  <c r="B365"/>
  <c r="B364"/>
  <c r="B366"/>
  <c r="B369"/>
  <c r="B372"/>
  <c r="B375"/>
  <c r="B368"/>
  <c r="B371"/>
  <c r="B374"/>
  <c r="B379"/>
  <c r="B378"/>
  <c r="B380"/>
  <c r="B387"/>
  <c r="B381"/>
  <c r="B386"/>
  <c r="B382"/>
  <c r="B383"/>
  <c r="B385"/>
  <c r="B388"/>
  <c r="B390"/>
  <c r="B394"/>
  <c r="B391"/>
  <c r="B392"/>
  <c r="B393"/>
  <c r="B396"/>
  <c r="B400"/>
  <c r="B398"/>
  <c r="B395"/>
  <c r="B397"/>
  <c r="B399"/>
  <c r="B401"/>
  <c r="B402"/>
  <c r="B404"/>
  <c r="B403"/>
  <c r="B407"/>
  <c r="B406"/>
  <c r="B408"/>
  <c r="B410"/>
  <c r="B409"/>
  <c r="B413"/>
  <c r="B411"/>
  <c r="B412"/>
  <c r="B419"/>
  <c r="B414"/>
  <c r="B415"/>
  <c r="B416"/>
  <c r="B417"/>
  <c r="B418"/>
  <c r="B420"/>
  <c r="B421"/>
  <c r="B424"/>
  <c r="B427"/>
  <c r="B430"/>
  <c r="B423"/>
  <c r="B426"/>
  <c r="B429"/>
  <c r="B431"/>
  <c r="B432"/>
  <c r="B433"/>
  <c r="B434"/>
  <c r="B435"/>
  <c r="B436"/>
  <c r="B437"/>
  <c r="B438"/>
  <c r="B439"/>
  <c r="B440"/>
  <c r="B448"/>
  <c r="B450"/>
  <c r="B441"/>
  <c r="B442"/>
  <c r="B443"/>
  <c r="B444"/>
  <c r="B445"/>
  <c r="B446"/>
  <c r="B447"/>
  <c r="B449"/>
  <c r="B451"/>
  <c r="B455"/>
  <c r="B454"/>
  <c r="B453"/>
  <c r="B459"/>
  <c r="B458"/>
  <c r="B461"/>
  <c r="B460"/>
  <c r="B466"/>
  <c r="B465"/>
  <c r="B464"/>
  <c r="B463"/>
  <c r="B468"/>
  <c r="B467"/>
  <c r="B471"/>
  <c r="B470"/>
  <c r="B473"/>
  <c r="B472"/>
  <c r="B480"/>
  <c r="B481"/>
  <c r="B474"/>
  <c r="B475"/>
  <c r="B476"/>
  <c r="B477"/>
  <c r="B478"/>
  <c r="B479"/>
  <c r="B487"/>
  <c r="B489"/>
  <c r="B485"/>
  <c r="B488"/>
  <c r="B490"/>
  <c r="B493"/>
  <c r="B496"/>
  <c r="B492"/>
  <c r="B495"/>
  <c r="B500"/>
  <c r="B499"/>
  <c r="B501"/>
  <c r="B504"/>
  <c r="B503"/>
  <c r="B508"/>
  <c r="B507"/>
  <c r="B506"/>
  <c r="B511"/>
  <c r="B510"/>
  <c r="B512"/>
  <c r="B532"/>
  <c r="B520"/>
  <c r="B521"/>
  <c r="B522"/>
  <c r="B513"/>
  <c r="B514"/>
  <c r="B515"/>
  <c r="B516"/>
  <c r="B517"/>
  <c r="B518"/>
  <c r="B519"/>
  <c r="B531"/>
  <c r="B533"/>
  <c r="B534"/>
  <c r="B535"/>
  <c r="B536"/>
  <c r="B537"/>
  <c r="B538"/>
  <c r="B526"/>
  <c r="B527"/>
  <c r="B528"/>
  <c r="B529"/>
  <c r="B578"/>
  <c r="B576"/>
  <c r="B577"/>
  <c r="B574"/>
  <c r="B575"/>
  <c r="B544"/>
  <c r="B545"/>
  <c r="B546"/>
  <c r="B547"/>
  <c r="B548"/>
  <c r="B549"/>
  <c r="B553"/>
  <c r="B550"/>
  <c r="B551"/>
  <c r="B552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80"/>
  <c r="B581"/>
  <c r="B582"/>
  <c r="B583"/>
  <c r="B584"/>
  <c r="B585"/>
  <c r="B586"/>
  <c r="B587"/>
  <c r="B11"/>
  <c r="A12"/>
  <c r="A10"/>
  <c r="A13"/>
  <c r="A14"/>
  <c r="A21"/>
  <c r="A22"/>
  <c r="A24"/>
  <c r="A23"/>
  <c r="A25"/>
  <c r="A26"/>
  <c r="A27"/>
  <c r="A28"/>
  <c r="A29"/>
  <c r="A30"/>
  <c r="A33"/>
  <c r="A35"/>
  <c r="A32"/>
  <c r="A34"/>
  <c r="A37"/>
  <c r="A36"/>
  <c r="A38"/>
  <c r="A40"/>
  <c r="A39"/>
  <c r="A43"/>
  <c r="A45"/>
  <c r="A41"/>
  <c r="A42"/>
  <c r="A44"/>
  <c r="A46"/>
  <c r="A47"/>
  <c r="A50"/>
  <c r="A49"/>
  <c r="A51"/>
  <c r="A52"/>
  <c r="A53"/>
  <c r="A54"/>
  <c r="A57"/>
  <c r="A56"/>
  <c r="A58"/>
  <c r="A59"/>
  <c r="A60"/>
  <c r="A61"/>
  <c r="A64"/>
  <c r="A68"/>
  <c r="A63"/>
  <c r="A67"/>
  <c r="A69"/>
  <c r="A70"/>
  <c r="A73"/>
  <c r="A72"/>
  <c r="A74"/>
  <c r="A75"/>
  <c r="A76"/>
  <c r="A77"/>
  <c r="A78"/>
  <c r="A79"/>
  <c r="A82"/>
  <c r="A81"/>
  <c r="A83"/>
  <c r="A86"/>
  <c r="A88"/>
  <c r="A85"/>
  <c r="A87"/>
  <c r="A89"/>
  <c r="A90"/>
  <c r="A91"/>
  <c r="A94"/>
  <c r="A96"/>
  <c r="A93"/>
  <c r="A95"/>
  <c r="A97"/>
  <c r="A98"/>
  <c r="A99"/>
  <c r="A100"/>
  <c r="A102"/>
  <c r="A104"/>
  <c r="A106"/>
  <c r="A105"/>
  <c r="A103"/>
  <c r="A101"/>
  <c r="A108"/>
  <c r="A110"/>
  <c r="A107"/>
  <c r="A109"/>
  <c r="A111"/>
  <c r="A112"/>
  <c r="A113"/>
  <c r="A114"/>
  <c r="A117"/>
  <c r="A116"/>
  <c r="A120"/>
  <c r="A122"/>
  <c r="A124"/>
  <c r="A119"/>
  <c r="A121"/>
  <c r="A123"/>
  <c r="A125"/>
  <c r="A126"/>
  <c r="A127"/>
  <c r="A128"/>
  <c r="A129"/>
  <c r="A132"/>
  <c r="A130"/>
  <c r="A131"/>
  <c r="A133"/>
  <c r="A134"/>
  <c r="A137"/>
  <c r="A135"/>
  <c r="A136"/>
  <c r="A139"/>
  <c r="A141"/>
  <c r="A143"/>
  <c r="A142"/>
  <c r="A140"/>
  <c r="A138"/>
  <c r="A144"/>
  <c r="A146"/>
  <c r="A148"/>
  <c r="A150"/>
  <c r="A149"/>
  <c r="A147"/>
  <c r="A145"/>
  <c r="A151"/>
  <c r="A154"/>
  <c r="A153"/>
  <c r="A156"/>
  <c r="A158"/>
  <c r="A160"/>
  <c r="A159"/>
  <c r="A157"/>
  <c r="A155"/>
  <c r="A161"/>
  <c r="A162"/>
  <c r="A165"/>
  <c r="A164"/>
  <c r="A167"/>
  <c r="A169"/>
  <c r="A171"/>
  <c r="A170"/>
  <c r="A168"/>
  <c r="A166"/>
  <c r="A172"/>
  <c r="A173"/>
  <c r="A176"/>
  <c r="A174"/>
  <c r="A175"/>
  <c r="A177"/>
  <c r="A180"/>
  <c r="A178"/>
  <c r="A179"/>
  <c r="A182"/>
  <c r="A184"/>
  <c r="A186"/>
  <c r="A185"/>
  <c r="A183"/>
  <c r="A181"/>
  <c r="A188"/>
  <c r="A190"/>
  <c r="A192"/>
  <c r="A191"/>
  <c r="A189"/>
  <c r="A187"/>
  <c r="A194"/>
  <c r="A193"/>
  <c r="A196"/>
  <c r="A198"/>
  <c r="A200"/>
  <c r="A199"/>
  <c r="A197"/>
  <c r="A195"/>
  <c r="A202"/>
  <c r="A204"/>
  <c r="A206"/>
  <c r="A205"/>
  <c r="A203"/>
  <c r="A201"/>
  <c r="A207"/>
  <c r="A208"/>
  <c r="A211"/>
  <c r="A214"/>
  <c r="A210"/>
  <c r="A213"/>
  <c r="A215"/>
  <c r="A216"/>
  <c r="A218"/>
  <c r="A217"/>
  <c r="A221"/>
  <c r="A223"/>
  <c r="A222"/>
  <c r="A226"/>
  <c r="A224"/>
  <c r="A225"/>
  <c r="A227"/>
  <c r="A230"/>
  <c r="A233"/>
  <c r="A229"/>
  <c r="A232"/>
  <c r="A234"/>
  <c r="A237"/>
  <c r="A236"/>
  <c r="A239"/>
  <c r="A241"/>
  <c r="A243"/>
  <c r="A242"/>
  <c r="A240"/>
  <c r="A238"/>
  <c r="A244"/>
  <c r="A247"/>
  <c r="A246"/>
  <c r="A248"/>
  <c r="A251"/>
  <c r="A250"/>
  <c r="A254"/>
  <c r="A255"/>
  <c r="A258"/>
  <c r="A257"/>
  <c r="A259"/>
  <c r="A260"/>
  <c r="A263"/>
  <c r="A262"/>
  <c r="A266"/>
  <c r="A265"/>
  <c r="A269"/>
  <c r="A271"/>
  <c r="A273"/>
  <c r="A275"/>
  <c r="A274"/>
  <c r="A272"/>
  <c r="A270"/>
  <c r="A278"/>
  <c r="A277"/>
  <c r="A280"/>
  <c r="A279"/>
  <c r="A282"/>
  <c r="A285"/>
  <c r="A284"/>
  <c r="A286"/>
  <c r="A287"/>
  <c r="A290"/>
  <c r="A289"/>
  <c r="A291"/>
  <c r="A292"/>
  <c r="A295"/>
  <c r="A294"/>
  <c r="A296"/>
  <c r="A299"/>
  <c r="A298"/>
  <c r="A300"/>
  <c r="A303"/>
  <c r="A306"/>
  <c r="A309"/>
  <c r="A312"/>
  <c r="A314"/>
  <c r="A302"/>
  <c r="A305"/>
  <c r="A308"/>
  <c r="A311"/>
  <c r="A313"/>
  <c r="A317"/>
  <c r="A322"/>
  <c r="A321"/>
  <c r="A323"/>
  <c r="A332"/>
  <c r="A324"/>
  <c r="A328"/>
  <c r="A331"/>
  <c r="A325"/>
  <c r="A327"/>
  <c r="A330"/>
  <c r="A334"/>
  <c r="A333"/>
  <c r="A335"/>
  <c r="A339"/>
  <c r="A341"/>
  <c r="A343"/>
  <c r="A337"/>
  <c r="A342"/>
  <c r="A340"/>
  <c r="A338"/>
  <c r="A336"/>
  <c r="A346"/>
  <c r="A345"/>
  <c r="A349"/>
  <c r="A348"/>
  <c r="A354"/>
  <c r="A353"/>
  <c r="A355"/>
  <c r="A356"/>
  <c r="A357"/>
  <c r="A362"/>
  <c r="A365"/>
  <c r="A364"/>
  <c r="A366"/>
  <c r="A369"/>
  <c r="A372"/>
  <c r="A375"/>
  <c r="A368"/>
  <c r="A371"/>
  <c r="A374"/>
  <c r="A379"/>
  <c r="A378"/>
  <c r="A380"/>
  <c r="A387"/>
  <c r="A381"/>
  <c r="A386"/>
  <c r="A382"/>
  <c r="A383"/>
  <c r="A385"/>
  <c r="A388"/>
  <c r="A390"/>
  <c r="A394"/>
  <c r="A391"/>
  <c r="A392"/>
  <c r="A393"/>
  <c r="A396"/>
  <c r="A400"/>
  <c r="A398"/>
  <c r="A395"/>
  <c r="A397"/>
  <c r="A399"/>
  <c r="A401"/>
  <c r="A402"/>
  <c r="A404"/>
  <c r="A403"/>
  <c r="A407"/>
  <c r="A406"/>
  <c r="A408"/>
  <c r="A410"/>
  <c r="A409"/>
  <c r="A413"/>
  <c r="A411"/>
  <c r="A412"/>
  <c r="A419"/>
  <c r="A414"/>
  <c r="A415"/>
  <c r="A416"/>
  <c r="A417"/>
  <c r="A418"/>
  <c r="A420"/>
  <c r="A421"/>
  <c r="A424"/>
  <c r="A427"/>
  <c r="A430"/>
  <c r="A423"/>
  <c r="A426"/>
  <c r="A429"/>
  <c r="A431"/>
  <c r="A432"/>
  <c r="A433"/>
  <c r="A434"/>
  <c r="A435"/>
  <c r="A436"/>
  <c r="A437"/>
  <c r="A438"/>
  <c r="A439"/>
  <c r="A440"/>
  <c r="A448"/>
  <c r="A450"/>
  <c r="A441"/>
  <c r="A442"/>
  <c r="A443"/>
  <c r="A444"/>
  <c r="A445"/>
  <c r="A446"/>
  <c r="A447"/>
  <c r="A449"/>
  <c r="A451"/>
  <c r="A455"/>
  <c r="A454"/>
  <c r="A453"/>
  <c r="A459"/>
  <c r="A458"/>
  <c r="A461"/>
  <c r="A460"/>
  <c r="A466"/>
  <c r="A465"/>
  <c r="A464"/>
  <c r="A463"/>
  <c r="A468"/>
  <c r="A467"/>
  <c r="A471"/>
  <c r="A470"/>
  <c r="A473"/>
  <c r="A472"/>
  <c r="A480"/>
  <c r="A481"/>
  <c r="A474"/>
  <c r="A475"/>
  <c r="A476"/>
  <c r="A477"/>
  <c r="A478"/>
  <c r="A479"/>
  <c r="A487"/>
  <c r="A489"/>
  <c r="A485"/>
  <c r="A488"/>
  <c r="A490"/>
  <c r="A493"/>
  <c r="A496"/>
  <c r="A492"/>
  <c r="A495"/>
  <c r="A500"/>
  <c r="A499"/>
  <c r="A501"/>
  <c r="A504"/>
  <c r="A503"/>
  <c r="A508"/>
  <c r="A507"/>
  <c r="A506"/>
  <c r="A511"/>
  <c r="A510"/>
  <c r="A512"/>
  <c r="A532"/>
  <c r="A520"/>
  <c r="A521"/>
  <c r="A522"/>
  <c r="A513"/>
  <c r="A514"/>
  <c r="A515"/>
  <c r="A516"/>
  <c r="A517"/>
  <c r="A518"/>
  <c r="A519"/>
  <c r="A531"/>
  <c r="A533"/>
  <c r="A534"/>
  <c r="A535"/>
  <c r="A536"/>
  <c r="A537"/>
  <c r="A538"/>
  <c r="A526"/>
  <c r="A527"/>
  <c r="A528"/>
  <c r="A529"/>
  <c r="A578"/>
  <c r="A576"/>
  <c r="A577"/>
  <c r="A574"/>
  <c r="A575"/>
  <c r="A544"/>
  <c r="A545"/>
  <c r="A546"/>
  <c r="A547"/>
  <c r="A548"/>
  <c r="A549"/>
  <c r="A553"/>
  <c r="A550"/>
  <c r="A551"/>
  <c r="A552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80"/>
  <c r="A581"/>
  <c r="A582"/>
  <c r="A583"/>
  <c r="A584"/>
  <c r="A585"/>
  <c r="A586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I16" i="14" l="1"/>
  <c r="J16"/>
  <c r="E177" i="34"/>
  <c r="E172"/>
  <c r="C163"/>
  <c r="E161"/>
  <c r="C152"/>
  <c r="E151"/>
  <c r="E144"/>
  <c r="E133"/>
  <c r="E127"/>
  <c r="E126"/>
  <c r="E125"/>
  <c r="C118"/>
  <c r="C115"/>
  <c r="E113"/>
  <c r="C92"/>
  <c r="E91"/>
  <c r="C84"/>
  <c r="E83"/>
  <c r="C80"/>
  <c r="E78"/>
  <c r="C71"/>
  <c r="E69"/>
  <c r="C62"/>
  <c r="C66"/>
  <c r="C65"/>
  <c r="E60"/>
  <c r="C55"/>
  <c r="E53"/>
  <c r="C48"/>
  <c r="E46"/>
  <c r="E38"/>
  <c r="C31"/>
  <c r="E30"/>
  <c r="E29"/>
  <c r="E28"/>
  <c r="E27"/>
  <c r="E26"/>
  <c r="E25"/>
  <c r="E23"/>
  <c r="E24"/>
  <c r="E22"/>
  <c r="E21"/>
  <c r="I17" i="14" l="1"/>
  <c r="J17"/>
  <c r="B48" i="34"/>
  <c r="A48"/>
  <c r="B55"/>
  <c r="A55"/>
  <c r="B65"/>
  <c r="A65"/>
  <c r="B62"/>
  <c r="A62"/>
  <c r="B71"/>
  <c r="A71"/>
  <c r="B80"/>
  <c r="A80"/>
  <c r="B84"/>
  <c r="A84"/>
  <c r="B92"/>
  <c r="A92"/>
  <c r="B115"/>
  <c r="A115"/>
  <c r="B152"/>
  <c r="A152"/>
  <c r="B163"/>
  <c r="A163"/>
  <c r="B209"/>
  <c r="A209"/>
  <c r="B219"/>
  <c r="A219"/>
  <c r="B228"/>
  <c r="A228"/>
  <c r="B235"/>
  <c r="A235"/>
  <c r="B245"/>
  <c r="A245"/>
  <c r="B249"/>
  <c r="A249"/>
  <c r="B252"/>
  <c r="A252"/>
  <c r="B256"/>
  <c r="A256"/>
  <c r="B261"/>
  <c r="A261"/>
  <c r="B268"/>
  <c r="A268"/>
  <c r="B281"/>
  <c r="A281"/>
  <c r="B283"/>
  <c r="A283"/>
  <c r="B288"/>
  <c r="A288"/>
  <c r="B293"/>
  <c r="A293"/>
  <c r="B297"/>
  <c r="A297"/>
  <c r="B301"/>
  <c r="A301"/>
  <c r="B310"/>
  <c r="A310"/>
  <c r="B315"/>
  <c r="A315"/>
  <c r="B318"/>
  <c r="A318"/>
  <c r="B329"/>
  <c r="A329"/>
  <c r="B347"/>
  <c r="A347"/>
  <c r="B350"/>
  <c r="A350"/>
  <c r="B358"/>
  <c r="A358"/>
  <c r="B360"/>
  <c r="A360"/>
  <c r="B367"/>
  <c r="A367"/>
  <c r="B373"/>
  <c r="A373"/>
  <c r="B376"/>
  <c r="A376"/>
  <c r="B384"/>
  <c r="A384"/>
  <c r="B405"/>
  <c r="A405"/>
  <c r="B422"/>
  <c r="A422"/>
  <c r="B452"/>
  <c r="A452"/>
  <c r="B456"/>
  <c r="A456"/>
  <c r="B469"/>
  <c r="A469"/>
  <c r="B486"/>
  <c r="A486"/>
  <c r="B494"/>
  <c r="A494"/>
  <c r="B498"/>
  <c r="A498"/>
  <c r="B505"/>
  <c r="A505"/>
  <c r="B31"/>
  <c r="A31"/>
  <c r="B66"/>
  <c r="A66"/>
  <c r="B118"/>
  <c r="A118"/>
  <c r="B212"/>
  <c r="A212"/>
  <c r="B220"/>
  <c r="A220"/>
  <c r="B231"/>
  <c r="A231"/>
  <c r="B253"/>
  <c r="A253"/>
  <c r="B264"/>
  <c r="A264"/>
  <c r="B267"/>
  <c r="A267"/>
  <c r="B276"/>
  <c r="A276"/>
  <c r="B307"/>
  <c r="A307"/>
  <c r="B304"/>
  <c r="A304"/>
  <c r="B316"/>
  <c r="A316"/>
  <c r="B319"/>
  <c r="A319"/>
  <c r="B320"/>
  <c r="A320"/>
  <c r="B326"/>
  <c r="A326"/>
  <c r="B344"/>
  <c r="A344"/>
  <c r="B351"/>
  <c r="A351"/>
  <c r="B352"/>
  <c r="A352"/>
  <c r="B359"/>
  <c r="A359"/>
  <c r="B361"/>
  <c r="A361"/>
  <c r="B363"/>
  <c r="A363"/>
  <c r="B370"/>
  <c r="A370"/>
  <c r="B377"/>
  <c r="A377"/>
  <c r="B389"/>
  <c r="A389"/>
  <c r="B425"/>
  <c r="A425"/>
  <c r="B428"/>
  <c r="A428"/>
  <c r="B457"/>
  <c r="A457"/>
  <c r="B462"/>
  <c r="A462"/>
  <c r="B484"/>
  <c r="A484"/>
  <c r="B491"/>
  <c r="A491"/>
  <c r="B502"/>
  <c r="A502"/>
  <c r="B509"/>
  <c r="A509"/>
  <c r="I18" i="14" l="1"/>
  <c r="J18"/>
  <c r="G21"/>
  <c r="E32"/>
  <c r="H23"/>
  <c r="E27"/>
  <c r="B30"/>
  <c r="C27"/>
  <c r="A27" s="1"/>
  <c r="C29"/>
  <c r="A29" s="1"/>
  <c r="C22"/>
  <c r="A22" s="1"/>
  <c r="H32"/>
  <c r="G24"/>
  <c r="C21"/>
  <c r="A21" s="1"/>
  <c r="E26"/>
  <c r="H31"/>
  <c r="H24"/>
  <c r="C30"/>
  <c r="A30" s="1"/>
  <c r="B22"/>
  <c r="D27"/>
  <c r="G32"/>
  <c r="E24"/>
  <c r="G29"/>
  <c r="D22"/>
  <c r="B25"/>
  <c r="G27"/>
  <c r="D30"/>
  <c r="D23"/>
  <c r="B26"/>
  <c r="G28"/>
  <c r="D31"/>
  <c r="E23"/>
  <c r="C26"/>
  <c r="A26" s="1"/>
  <c r="H28"/>
  <c r="E31"/>
  <c r="B23"/>
  <c r="H25"/>
  <c r="D28"/>
  <c r="B31"/>
  <c r="H21"/>
  <c r="C23"/>
  <c r="A23" s="1"/>
  <c r="D24"/>
  <c r="G25"/>
  <c r="B27"/>
  <c r="E28"/>
  <c r="H29"/>
  <c r="C31"/>
  <c r="A31" s="1"/>
  <c r="D32"/>
  <c r="D21"/>
  <c r="H22"/>
  <c r="C24"/>
  <c r="A24" s="1"/>
  <c r="E25"/>
  <c r="G26"/>
  <c r="B28"/>
  <c r="D29"/>
  <c r="H30"/>
  <c r="C32"/>
  <c r="A32" s="1"/>
  <c r="E21"/>
  <c r="G22"/>
  <c r="B24"/>
  <c r="D25"/>
  <c r="H26"/>
  <c r="C28"/>
  <c r="A28" s="1"/>
  <c r="E29"/>
  <c r="G30"/>
  <c r="B32"/>
  <c r="B21"/>
  <c r="E22"/>
  <c r="G23"/>
  <c r="C25"/>
  <c r="A25" s="1"/>
  <c r="D26"/>
  <c r="H27"/>
  <c r="B29"/>
  <c r="E30"/>
  <c r="G31"/>
  <c r="J19" l="1"/>
  <c r="I19"/>
  <c r="H69"/>
  <c r="G69"/>
  <c r="C37" i="12"/>
  <c r="D37"/>
  <c r="I20" i="14" l="1"/>
  <c r="J20"/>
  <c r="I70"/>
  <c r="J70"/>
  <c r="J21" l="1"/>
  <c r="I21"/>
  <c r="I22" l="1"/>
  <c r="J22"/>
  <c r="J23" l="1"/>
  <c r="I23"/>
  <c r="I24" l="1"/>
  <c r="J24"/>
  <c r="I25" l="1"/>
  <c r="J25"/>
  <c r="I26" l="1"/>
  <c r="J26"/>
  <c r="J27" l="1"/>
  <c r="I27"/>
  <c r="J28" l="1"/>
  <c r="I28"/>
  <c r="I29" l="1"/>
  <c r="J29"/>
  <c r="J30" l="1"/>
  <c r="I30"/>
  <c r="I31" l="1"/>
  <c r="J31"/>
  <c r="J32" l="1"/>
  <c r="I32"/>
  <c r="J33" l="1"/>
  <c r="I33"/>
  <c r="I34" l="1"/>
  <c r="J34"/>
  <c r="J35" l="1"/>
  <c r="I35"/>
  <c r="F38" i="15" a="1"/>
  <c r="F38" s="1"/>
  <c r="E36" a="1"/>
  <c r="E36" s="1"/>
  <c r="F37" a="1"/>
  <c r="F37" s="1"/>
  <c r="F34" a="1"/>
  <c r="F34" s="1"/>
  <c r="F35" a="1"/>
  <c r="F35" s="1"/>
  <c r="F39" a="1"/>
  <c r="F39" s="1"/>
  <c r="F36" a="1"/>
  <c r="F36" s="1"/>
  <c r="E19" i="12" a="1"/>
  <c r="E19" s="1"/>
  <c r="J19" s="1"/>
  <c r="E38" i="15" a="1"/>
  <c r="E38" s="1"/>
  <c r="I38" s="1"/>
  <c r="E24" i="12" a="1"/>
  <c r="E24" s="1"/>
  <c r="J24" s="1"/>
  <c r="F23" a="1"/>
  <c r="F23" s="1"/>
  <c r="F4" a="1"/>
  <c r="F4" s="1"/>
  <c r="E30" a="1"/>
  <c r="E30" s="1"/>
  <c r="J30" s="1"/>
  <c r="E28" a="1"/>
  <c r="E28" s="1"/>
  <c r="J28" s="1"/>
  <c r="F21" a="1"/>
  <c r="F21" s="1"/>
  <c r="E18" a="1"/>
  <c r="E18" s="1"/>
  <c r="J18" s="1"/>
  <c r="E37" i="15" a="1"/>
  <c r="E37" s="1"/>
  <c r="E16" a="1"/>
  <c r="E16" s="1"/>
  <c r="E27" a="1"/>
  <c r="E27" s="1"/>
  <c r="E31" a="1"/>
  <c r="E31" s="1"/>
  <c r="F16" i="12" a="1"/>
  <c r="F16" s="1"/>
  <c r="F13" a="1"/>
  <c r="F13" s="1"/>
  <c r="F19" a="1"/>
  <c r="F19" s="1"/>
  <c r="E29" a="1"/>
  <c r="E29" s="1"/>
  <c r="J29" s="1"/>
  <c r="E7" a="1"/>
  <c r="E7" s="1"/>
  <c r="E13" a="1"/>
  <c r="E13" s="1"/>
  <c r="G13" s="1"/>
  <c r="E39" i="15" a="1"/>
  <c r="E39" s="1"/>
  <c r="E27" i="12" a="1"/>
  <c r="E27" s="1"/>
  <c r="J27" s="1"/>
  <c r="E23" a="1"/>
  <c r="E23" s="1"/>
  <c r="E12" a="1"/>
  <c r="E12" s="1"/>
  <c r="F29" i="15" a="1"/>
  <c r="F29" s="1"/>
  <c r="F25" i="12" a="1"/>
  <c r="F25" s="1"/>
  <c r="F12" a="1"/>
  <c r="F12" s="1"/>
  <c r="F30" a="1"/>
  <c r="F30" s="1"/>
  <c r="E17" a="1"/>
  <c r="E17" s="1"/>
  <c r="J17" s="1"/>
  <c r="F18" a="1"/>
  <c r="F18" s="1"/>
  <c r="F24" a="1"/>
  <c r="F24" s="1"/>
  <c r="E22" a="1"/>
  <c r="E22" s="1"/>
  <c r="J22" s="1"/>
  <c r="F6" a="1"/>
  <c r="F6" s="1"/>
  <c r="E5" a="1"/>
  <c r="E5" s="1"/>
  <c r="J5" s="1"/>
  <c r="F11" a="1"/>
  <c r="F11" s="1"/>
  <c r="E10" a="1"/>
  <c r="E10" s="1"/>
  <c r="F27" a="1"/>
  <c r="F27" s="1"/>
  <c r="F17" a="1"/>
  <c r="F17" s="1"/>
  <c r="F28" a="1"/>
  <c r="F28" s="1"/>
  <c r="F20" i="15" a="1"/>
  <c r="F20" s="1"/>
  <c r="F39" i="12" s="1"/>
  <c r="F14" i="15" a="1"/>
  <c r="F14" s="1"/>
  <c r="E6" i="12" a="1"/>
  <c r="E6" s="1"/>
  <c r="F22" i="15" a="1"/>
  <c r="F22" s="1"/>
  <c r="F29" i="12" a="1"/>
  <c r="F29" s="1"/>
  <c r="H29" s="1"/>
  <c r="E35" i="15" a="1"/>
  <c r="E35" s="1"/>
  <c r="F10" i="12" a="1"/>
  <c r="F10" s="1"/>
  <c r="F9" a="1"/>
  <c r="F9" s="1"/>
  <c r="E8" a="1"/>
  <c r="E8" s="1"/>
  <c r="E25" i="15" a="1"/>
  <c r="E25" s="1"/>
  <c r="F5" i="12" a="1"/>
  <c r="F5" s="1"/>
  <c r="E40" i="15" a="1"/>
  <c r="E40" s="1"/>
  <c r="F22" i="12" a="1"/>
  <c r="F22" s="1"/>
  <c r="F12" i="15" a="1"/>
  <c r="F12" s="1"/>
  <c r="E20" a="1"/>
  <c r="E20" s="1"/>
  <c r="F21" a="1"/>
  <c r="F21" s="1"/>
  <c r="F10" a="1"/>
  <c r="F10" s="1"/>
  <c r="E26" i="12" a="1"/>
  <c r="E26" s="1"/>
  <c r="J26" s="1"/>
  <c r="F7" a="1"/>
  <c r="F7" s="1"/>
  <c r="E29" i="15" a="1"/>
  <c r="E29" s="1"/>
  <c r="F16" a="1"/>
  <c r="F16" s="1"/>
  <c r="E9" i="12" a="1"/>
  <c r="E9" s="1"/>
  <c r="E22" i="15" a="1"/>
  <c r="E22" s="1"/>
  <c r="E21" a="1"/>
  <c r="E21" s="1"/>
  <c r="E16" i="12" a="1"/>
  <c r="E16" s="1"/>
  <c r="J16" s="1"/>
  <c r="E14" i="15" a="1"/>
  <c r="E14" s="1"/>
  <c r="F31" a="1"/>
  <c r="F31" s="1"/>
  <c r="H31" s="1"/>
  <c r="F27" a="1"/>
  <c r="F27" s="1"/>
  <c r="E4" i="12" a="1"/>
  <c r="E4" s="1"/>
  <c r="E12" i="15" a="1"/>
  <c r="E12" s="1"/>
  <c r="E10" a="1"/>
  <c r="E10" s="1"/>
  <c r="E25" i="12" a="1"/>
  <c r="E25" s="1"/>
  <c r="J25" s="1"/>
  <c r="E34" i="15" a="1"/>
  <c r="E34" s="1"/>
  <c r="E11" i="12" a="1"/>
  <c r="E11" s="1"/>
  <c r="G11" s="1"/>
  <c r="E21" a="1"/>
  <c r="E21" s="1"/>
  <c r="J21" s="1"/>
  <c r="F26" a="1"/>
  <c r="F26" s="1"/>
  <c r="H26" s="1"/>
  <c r="F25" i="15" a="1"/>
  <c r="F25" s="1"/>
  <c r="I10" i="34"/>
  <c r="F8" i="12" a="1"/>
  <c r="F8" s="1"/>
  <c r="G23" l="1"/>
  <c r="J23"/>
  <c r="H18"/>
  <c r="H8"/>
  <c r="H5"/>
  <c r="H10"/>
  <c r="G21"/>
  <c r="G16"/>
  <c r="J36" i="14"/>
  <c r="I36"/>
  <c r="I39" i="15"/>
  <c r="H7" i="12"/>
  <c r="H17"/>
  <c r="H30"/>
  <c r="G20" i="15"/>
  <c r="E39" i="12"/>
  <c r="G25"/>
  <c r="H28"/>
  <c r="H27"/>
  <c r="H24"/>
  <c r="H19"/>
  <c r="E32" i="15" a="1"/>
  <c r="E32" s="1"/>
  <c r="E33" s="1"/>
  <c r="F32" a="1"/>
  <c r="F32" s="1"/>
  <c r="F33" s="1"/>
  <c r="F40" a="1"/>
  <c r="F40" s="1"/>
  <c r="I40" s="1"/>
  <c r="I35"/>
  <c r="I37"/>
  <c r="I34"/>
  <c r="H9" i="12"/>
  <c r="H6"/>
  <c r="G17"/>
  <c r="H12"/>
  <c r="G12" i="15"/>
  <c r="E13"/>
  <c r="H27"/>
  <c r="H28" s="1"/>
  <c r="F28"/>
  <c r="G14"/>
  <c r="G15" s="1"/>
  <c r="E15"/>
  <c r="I21"/>
  <c r="G21"/>
  <c r="G22"/>
  <c r="G23" s="1"/>
  <c r="I22"/>
  <c r="E23"/>
  <c r="E24" s="1"/>
  <c r="H16"/>
  <c r="F17"/>
  <c r="F11"/>
  <c r="H10"/>
  <c r="H11" s="1"/>
  <c r="F23"/>
  <c r="F24" s="1"/>
  <c r="H22"/>
  <c r="H23" s="1"/>
  <c r="F15"/>
  <c r="H14"/>
  <c r="H15" s="1"/>
  <c r="H29"/>
  <c r="F30"/>
  <c r="E28"/>
  <c r="G27"/>
  <c r="G28" s="1"/>
  <c r="G16"/>
  <c r="E17"/>
  <c r="G17" s="1"/>
  <c r="F37" i="12"/>
  <c r="F41" s="1"/>
  <c r="H4"/>
  <c r="H11"/>
  <c r="G7"/>
  <c r="H16"/>
  <c r="G18"/>
  <c r="G28"/>
  <c r="G24"/>
  <c r="G19"/>
  <c r="F26" i="15"/>
  <c r="H25"/>
  <c r="H26" s="1"/>
  <c r="E11"/>
  <c r="G10"/>
  <c r="G11" s="1"/>
  <c r="G4" i="12"/>
  <c r="E37"/>
  <c r="E30" i="15"/>
  <c r="G29"/>
  <c r="H21"/>
  <c r="H12"/>
  <c r="F13"/>
  <c r="I25"/>
  <c r="G25"/>
  <c r="G26" s="1"/>
  <c r="E26"/>
  <c r="G22" i="12"/>
  <c r="H22"/>
  <c r="G31" i="15"/>
  <c r="G9" i="12"/>
  <c r="G26"/>
  <c r="G8"/>
  <c r="G6"/>
  <c r="H20" i="15"/>
  <c r="G10" i="12"/>
  <c r="G5"/>
  <c r="H25"/>
  <c r="G12"/>
  <c r="G27"/>
  <c r="G29"/>
  <c r="H13"/>
  <c r="H21"/>
  <c r="G30"/>
  <c r="H23"/>
  <c r="I36" i="15"/>
  <c r="I37" i="14" l="1"/>
  <c r="L234" i="35"/>
  <c r="M234" s="1"/>
  <c r="J37" i="14"/>
  <c r="I26" i="15"/>
  <c r="H32"/>
  <c r="H33" s="1"/>
  <c r="G32"/>
  <c r="G33" s="1"/>
  <c r="G30"/>
  <c r="E41" i="12"/>
  <c r="H13" i="15"/>
  <c r="H24"/>
  <c r="I24"/>
  <c r="G37" i="12"/>
  <c r="H37"/>
  <c r="H30" i="15"/>
  <c r="H17"/>
  <c r="I23"/>
  <c r="G24"/>
  <c r="G13"/>
  <c r="J38" i="14" l="1"/>
  <c r="I38"/>
  <c r="E43" i="15"/>
  <c r="I39" i="14" l="1"/>
  <c r="J39"/>
  <c r="H43" i="15"/>
  <c r="A741" i="34"/>
  <c r="J40" i="14" l="1"/>
  <c r="I40"/>
  <c r="B741" i="34"/>
  <c r="I41" i="14" l="1"/>
  <c r="J41"/>
  <c r="J42" s="1"/>
  <c r="I42" l="1"/>
  <c r="I43" l="1"/>
  <c r="J43"/>
  <c r="J44" l="1"/>
  <c r="I44"/>
  <c r="I45" l="1"/>
  <c r="J45"/>
  <c r="J46" l="1"/>
  <c r="I46"/>
  <c r="I47" l="1"/>
  <c r="J47"/>
  <c r="J48" l="1"/>
  <c r="I48"/>
  <c r="I49" l="1"/>
  <c r="J49"/>
  <c r="J50" l="1"/>
  <c r="I50"/>
  <c r="I51" l="1"/>
  <c r="J51"/>
  <c r="I52" l="1"/>
  <c r="J52"/>
  <c r="I53" l="1"/>
  <c r="J53"/>
</calcChain>
</file>

<file path=xl/comments1.xml><?xml version="1.0" encoding="utf-8"?>
<comments xmlns="http://schemas.openxmlformats.org/spreadsheetml/2006/main">
  <authors>
    <author>User 1</author>
  </authors>
  <commentList>
    <comment ref="L235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<sst xmlns="http://schemas.openxmlformats.org/spreadsheetml/2006/main" count="5210" uniqueCount="784">
  <si>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</si>
  <si>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</si>
  <si>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</si>
  <si>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</si>
  <si>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</si>
  <si>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</si>
  <si>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</si>
  <si>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</si>
  <si>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</si>
  <si>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</si>
  <si>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</si>
  <si>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</si>
  <si>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</si>
  <si>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</si>
  <si>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</si>
  <si>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</si>
  <si>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</si>
  <si>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</si>
  <si>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</si>
  <si>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</si>
  <si>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</si>
  <si>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</si>
  <si>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</si>
  <si>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</si>
  <si>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</si>
  <si>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</si>
  <si>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</si>
  <si>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</si>
  <si>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</si>
  <si>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</si>
  <si>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</si>
  <si>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</si>
  <si>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</si>
  <si>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</si>
  <si>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</si>
  <si>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</si>
  <si>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</si>
  <si>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</si>
  <si>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</si>
  <si>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</si>
  <si>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</si>
  <si>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</si>
  <si>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</si>
  <si>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</si>
  <si>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</si>
  <si>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</si>
  <si>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</si>
  <si>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</si>
  <si>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</si>
  <si>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</si>
  <si>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</si>
  <si>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</si>
  <si>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</si>
  <si>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</si>
  <si>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</si>
  <si>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</si>
  <si>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</si>
  <si>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</si>
  <si>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</si>
  <si>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</si>
  <si>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</si>
  <si>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</si>
  <si>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</si>
  <si>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</si>
  <si>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</si>
  <si>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</si>
  <si>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</si>
  <si>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</si>
  <si>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</si>
  <si>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</si>
  <si>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</si>
  <si>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</si>
  <si>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</si>
  <si>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</si>
  <si>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</si>
  <si>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</si>
  <si>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</si>
  <si>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</si>
  <si>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</si>
  <si>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</si>
  <si>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</si>
  <si>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</si>
  <si>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</si>
  <si>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</si>
  <si>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</si>
  <si>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</si>
  <si>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</si>
  <si>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</si>
  <si>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</si>
  <si>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</si>
  <si>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</si>
  <si>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</si>
  <si>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</si>
  <si>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</si>
  <si>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</si>
  <si>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</si>
  <si>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</si>
  <si>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</si>
  <si>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</si>
  <si>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</si>
  <si>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</si>
  <si>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</si>
  <si>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</si>
  <si>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</si>
  <si>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</si>
  <si>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</si>
  <si>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</si>
  <si>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</si>
  <si>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</si>
  <si>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</si>
  <si>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</si>
  <si>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</si>
  <si>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</si>
  <si>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</si>
  <si>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</si>
  <si>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</si>
  <si>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</si>
  <si>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</si>
  <si>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</si>
  <si>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</si>
  <si>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</si>
  <si>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</si>
  <si>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</si>
  <si>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</si>
  <si>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</si>
  <si>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</si>
  <si>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</si>
  <si>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</si>
  <si>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</si>
  <si>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</si>
  <si>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</si>
  <si>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</si>
  <si>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</si>
  <si>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</si>
  <si>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</si>
  <si>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</si>
  <si>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</si>
  <si>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</si>
  <si>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</si>
  <si>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</si>
  <si>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</si>
  <si>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</si>
  <si>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</si>
  <si>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</si>
  <si>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</si>
  <si>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</si>
  <si>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</si>
  <si>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</si>
  <si>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</si>
  <si>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</si>
  <si>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</si>
  <si>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</si>
  <si>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</si>
  <si>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</si>
  <si>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</si>
  <si>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</si>
  <si>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</si>
  <si>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</si>
  <si>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</si>
  <si>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</si>
  <si>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</si>
  <si>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</si>
  <si>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</si>
  <si>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</si>
  <si>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</si>
  <si>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</si>
  <si>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</si>
  <si>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</si>
  <si>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</si>
  <si>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</si>
  <si>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</si>
  <si>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</si>
  <si>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</si>
  <si>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</si>
  <si>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</si>
  <si>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</si>
  <si>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</si>
  <si>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</si>
  <si>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</si>
  <si>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</si>
  <si>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</si>
  <si>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</si>
  <si>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</si>
  <si>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</si>
  <si>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</si>
  <si>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</si>
  <si>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</si>
  <si>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</si>
  <si>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</si>
  <si>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</si>
  <si>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</si>
  <si>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</si>
  <si>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</si>
  <si>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</si>
  <si>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</si>
  <si>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</si>
  <si>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</si>
  <si>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</si>
  <si>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</si>
  <si>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</si>
  <si>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</si>
  <si>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</si>
  <si>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</si>
  <si>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</si>
  <si>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</si>
  <si>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</si>
  <si>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</si>
  <si>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</si>
  <si>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</si>
  <si>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</si>
  <si>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</si>
  <si>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</si>
  <si>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</si>
  <si>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</si>
  <si>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</si>
  <si>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</si>
  <si>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</si>
  <si>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</si>
  <si>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</si>
  <si>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</si>
  <si>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</si>
  <si>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</si>
  <si>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</si>
  <si>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</si>
  <si>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</si>
  <si>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</si>
  <si>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</si>
  <si>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</si>
  <si>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</si>
  <si>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</si>
  <si>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</si>
  <si>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</si>
  <si>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</si>
  <si>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</si>
  <si>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</si>
  <si>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</si>
  <si>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</si>
  <si>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</si>
  <si>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</si>
  <si>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</si>
  <si>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</si>
  <si>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</si>
  <si>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</si>
  <si>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</si>
  <si>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</si>
  <si>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</si>
  <si>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</si>
  <si>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</si>
  <si>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</si>
  <si>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</si>
  <si>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</si>
  <si>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</si>
  <si>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</si>
  <si>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</si>
  <si>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</si>
  <si>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</si>
  <si>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</si>
  <si>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</si>
  <si>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</si>
  <si>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</si>
  <si>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</si>
  <si>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</si>
  <si>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</si>
  <si>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</si>
  <si>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</si>
  <si>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</si>
  <si>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</si>
  <si>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</si>
  <si>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</si>
  <si>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</si>
  <si>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</si>
  <si>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</si>
  <si>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</si>
  <si>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</si>
  <si>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</si>
  <si>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</si>
  <si>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</si>
  <si>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</si>
  <si>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</si>
  <si>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</si>
  <si>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</si>
  <si>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</si>
  <si>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</si>
  <si>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</si>
  <si>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</si>
  <si>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</si>
  <si>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</si>
  <si>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</si>
  <si>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</si>
  <si>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</si>
  <si>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</si>
  <si>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</si>
  <si>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</si>
  <si>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</si>
  <si>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</si>
  <si>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</si>
  <si>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</si>
  <si>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</si>
  <si>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</si>
  <si>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</si>
  <si>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</si>
  <si>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</si>
  <si>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</si>
  <si>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</si>
  <si>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</si>
  <si>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</si>
  <si>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</si>
  <si>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</si>
  <si>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</si>
  <si>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</si>
  <si>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</si>
  <si>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</si>
  <si>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</si>
  <si>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</si>
  <si>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</si>
  <si>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</si>
  <si>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</si>
  <si>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</si>
  <si>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</si>
  <si>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</si>
  <si>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</si>
  <si>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</si>
  <si>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</si>
  <si>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</si>
  <si>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</si>
  <si>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</si>
  <si>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</si>
  <si>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</si>
  <si>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</si>
  <si>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</si>
  <si>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</si>
  <si>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</si>
  <si>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</si>
  <si>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</si>
  <si>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</si>
  <si>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</si>
  <si>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</si>
  <si>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</si>
  <si>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</si>
  <si>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</si>
  <si>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</si>
  <si>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</si>
  <si>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</si>
  <si>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</si>
  <si>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</si>
  <si>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</si>
  <si>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</si>
  <si>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</si>
  <si>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</si>
  <si>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</si>
  <si>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</si>
  <si>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</si>
  <si>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</si>
  <si>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</si>
  <si>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</si>
  <si>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</si>
  <si>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</si>
  <si>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</si>
  <si>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</si>
  <si>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</si>
  <si>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</si>
  <si>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</si>
  <si>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</si>
  <si>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</si>
  <si>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</si>
  <si>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</si>
  <si>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</si>
  <si>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</si>
  <si>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</si>
  <si>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</si>
  <si>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</si>
  <si>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</si>
  <si>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</si>
  <si>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</si>
  <si>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</si>
  <si>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</si>
  <si>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</si>
  <si>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</si>
  <si>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</si>
  <si>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</si>
  <si>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</si>
  <si>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</si>
  <si>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</si>
  <si>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</si>
  <si>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</si>
  <si>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</si>
  <si>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</si>
  <si>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Trần Thạch Cao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</si>
  <si>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</si>
  <si>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</si>
  <si>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</si>
  <si>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</si>
  <si>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</si>
  <si>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</si>
  <si>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</si>
  <si>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</si>
  <si>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</si>
  <si>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</si>
  <si>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</si>
  <si>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</si>
  <si>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</si>
  <si>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</si>
  <si>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</si>
  <si>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</si>
  <si>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</si>
  <si>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</si>
  <si>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</si>
  <si>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</si>
  <si>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</si>
  <si>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</si>
  <si>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</si>
  <si>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</si>
  <si>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Đá 1 x 2</t>
  </si>
  <si>
    <t>Cát</t>
  </si>
  <si>
    <t>Đá 4 x 6</t>
  </si>
  <si>
    <t>Xi măng Hà Tiên PC40</t>
  </si>
  <si>
    <t>Gạch thẻ</t>
  </si>
  <si>
    <t>Sắt 10</t>
  </si>
  <si>
    <t>Kẽm</t>
  </si>
  <si>
    <t>VAT vật liệu xây dựng</t>
  </si>
  <si>
    <t>0000413</t>
  </si>
  <si>
    <t xml:space="preserve">Cát </t>
  </si>
  <si>
    <t>Gạch ống</t>
  </si>
  <si>
    <t>Sắt 06</t>
  </si>
  <si>
    <t>Sắt 08</t>
  </si>
  <si>
    <t>Lưới B40</t>
  </si>
  <si>
    <t>Xi măng trắng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</si>
  <si>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</si>
  <si>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</si>
  <si>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</si>
  <si>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</si>
  <si>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</si>
  <si>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</si>
  <si>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</si>
  <si>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</si>
  <si>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</si>
  <si>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</si>
  <si>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</si>
  <si>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</si>
  <si>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</si>
  <si>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</si>
  <si>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</si>
  <si>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</si>
  <si>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</si>
  <si>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</si>
  <si>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</si>
  <si>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</si>
  <si>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</si>
  <si>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</si>
  <si>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</si>
  <si>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</si>
  <si>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</si>
  <si>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</si>
  <si>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</si>
  <si>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</si>
  <si>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</si>
  <si>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</si>
  <si>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</si>
  <si>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</si>
  <si>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</si>
  <si>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</si>
  <si>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</si>
  <si>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</si>
  <si>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</si>
  <si>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</si>
  <si>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</si>
  <si>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</si>
  <si>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</si>
  <si>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</si>
  <si>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</si>
  <si>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</si>
  <si>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</si>
  <si>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</si>
  <si>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</si>
  <si>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</si>
  <si>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</si>
  <si>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</si>
  <si>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</si>
  <si>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</si>
  <si>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</si>
  <si>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</si>
  <si>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</si>
  <si>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</si>
  <si>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</si>
  <si>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</si>
  <si>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</si>
  <si>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</si>
  <si>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</si>
  <si>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</si>
  <si>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</si>
  <si>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</si>
  <si>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</si>
  <si>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</si>
  <si>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</si>
  <si>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</si>
  <si>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</si>
  <si>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</si>
  <si>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</si>
  <si>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</si>
  <si>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</si>
  <si>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</si>
  <si>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</si>
  <si>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</si>
  <si>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</si>
  <si>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</si>
  <si>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</si>
  <si>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</si>
  <si>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</si>
  <si>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</si>
  <si>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</si>
  <si>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</si>
  <si>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</si>
  <si>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</si>
  <si>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</si>
  <si>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</si>
  <si>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</si>
  <si>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</si>
  <si>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</si>
  <si>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</si>
  <si>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</si>
  <si>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</si>
  <si>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</si>
  <si>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</si>
  <si>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</si>
  <si>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</si>
  <si>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</si>
  <si>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</si>
  <si>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</si>
  <si>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</si>
  <si>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</si>
  <si>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</si>
  <si>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</si>
  <si>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</si>
  <si>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</si>
  <si>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</si>
  <si>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</si>
  <si>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</si>
  <si>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</si>
  <si>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</si>
  <si>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</si>
  <si>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</si>
  <si>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</si>
  <si>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</si>
  <si>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</si>
  <si>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</si>
  <si>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</si>
  <si>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</si>
  <si>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</si>
  <si>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</si>
  <si>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</si>
  <si>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</si>
  <si>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</si>
  <si>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</si>
  <si>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</si>
  <si>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</si>
  <si>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</si>
  <si>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</si>
  <si>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</si>
  <si>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</si>
  <si>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</si>
  <si>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</si>
  <si>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</si>
  <si>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</si>
  <si>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</si>
  <si>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</si>
  <si>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</si>
  <si>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</si>
  <si>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</si>
  <si>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</si>
  <si>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</si>
  <si>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</si>
  <si>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</si>
  <si>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</si>
  <si>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</si>
  <si>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</si>
  <si>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</si>
  <si>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</si>
  <si>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</si>
  <si>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</si>
  <si>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</si>
  <si>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</si>
  <si>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</si>
  <si>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</si>
  <si>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</si>
  <si>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</si>
  <si>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</si>
  <si>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</si>
  <si>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</si>
  <si>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</si>
  <si>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</si>
  <si>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</si>
  <si>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</si>
  <si>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</si>
  <si>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</si>
  <si>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</si>
  <si>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</si>
  <si>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</si>
  <si>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</si>
  <si>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</si>
  <si>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</si>
  <si>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</si>
  <si>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</si>
  <si>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</si>
  <si>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</si>
  <si>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</si>
  <si>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</si>
  <si>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</si>
  <si>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</si>
  <si>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</si>
  <si>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</si>
  <si>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</si>
  <si>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</si>
  <si>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</si>
  <si>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</si>
  <si>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</si>
  <si>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</si>
  <si>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</si>
  <si>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</si>
  <si>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</si>
  <si>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</si>
  <si>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</si>
  <si>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</si>
  <si>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</si>
  <si>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</si>
  <si>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</si>
  <si>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</si>
  <si>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</si>
  <si>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</si>
  <si>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</si>
  <si>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</si>
  <si>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</si>
  <si>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</si>
  <si>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</si>
  <si>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</si>
  <si>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</si>
  <si>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</si>
  <si>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</si>
  <si>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</si>
  <si>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</si>
  <si>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</si>
  <si>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</si>
  <si>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</si>
  <si>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</si>
  <si>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</si>
  <si>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</si>
  <si>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</si>
  <si>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</si>
  <si>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</si>
  <si>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</si>
  <si>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</si>
  <si>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</si>
  <si>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</si>
  <si>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</si>
  <si>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</si>
  <si>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</si>
  <si>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</si>
  <si>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</si>
  <si>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</si>
  <si>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</si>
  <si>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</si>
  <si>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</si>
  <si>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</si>
  <si>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</si>
  <si>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</si>
  <si>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</si>
  <si>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</si>
  <si>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</si>
  <si>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</si>
  <si>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</si>
  <si>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</si>
  <si>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</si>
  <si>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</si>
  <si>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</si>
  <si>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</si>
  <si>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</si>
  <si>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</si>
  <si>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</si>
  <si>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</si>
  <si>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</si>
  <si>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</si>
  <si>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</si>
  <si>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</si>
  <si>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</si>
  <si>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</si>
  <si>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</si>
  <si>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</si>
  <si>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</si>
  <si>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</si>
  <si>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Cty Hiền Phúc</t>
  </si>
  <si>
    <t>Thiết kế sơ bộ</t>
  </si>
  <si>
    <t>Mua ngoài</t>
  </si>
  <si>
    <t>Cty Hồng Rõ</t>
  </si>
  <si>
    <t>Tiền VLXD (đá 0x4)</t>
  </si>
  <si>
    <t>Cty Cấp thoát nước Trà Vinh</t>
  </si>
  <si>
    <t>Thoát nước</t>
  </si>
  <si>
    <t>27/02/2014/PLHĐ/BTIBSPKDD1</t>
  </si>
  <si>
    <t>Cty IBS</t>
  </si>
  <si>
    <t>Cọc Bê tông</t>
  </si>
  <si>
    <t>Cty Tân Tài</t>
  </si>
  <si>
    <t>Ép cọc</t>
  </si>
  <si>
    <t>24/QĐ-BQL (01/07/14); 20/HĐ-CTHT (26/08/09)\</t>
  </si>
  <si>
    <t>BQL DA XD Dân Dụng &amp; CN Trà Vinh</t>
  </si>
  <si>
    <t>Giám sát công trình và tiền phí hạ tầng</t>
  </si>
  <si>
    <t>07/2014HĐXD</t>
  </si>
  <si>
    <t>Cty TNHH MTV XDTMDV Khánh Trân</t>
  </si>
  <si>
    <t>Thi Công nhà xưởng</t>
  </si>
  <si>
    <t>02-14/HĐTC-HK</t>
  </si>
  <si>
    <t>Cty CP CK KL XD Hoàng Kim</t>
  </si>
  <si>
    <t>15/01/2015/HĐKT ngày 10/01/15</t>
  </si>
  <si>
    <t>Điện, thoát nước, điện lạnh..</t>
  </si>
  <si>
    <t>Cty Cp KN Cách Nhiệt Gia Nguyên</t>
  </si>
  <si>
    <t>Kho lạnh</t>
  </si>
  <si>
    <t>Cty TNHH KT Cơ Điện M&amp;E</t>
  </si>
  <si>
    <t>Máy kho lạnh</t>
  </si>
  <si>
    <t>Ngày 31/03/2015</t>
  </si>
  <si>
    <t>Cty TNHH SX CK Nghĩa Thành Công</t>
  </si>
  <si>
    <t>Nồi hơi</t>
  </si>
  <si>
    <t>13/2013/HĐKT ngày 10/12/2013</t>
  </si>
  <si>
    <t>Cty TNHH XD và PCCC Trung Nam</t>
  </si>
  <si>
    <t>PCCC</t>
  </si>
  <si>
    <t>01/2015/HĐKT ngày 15/04/15</t>
  </si>
  <si>
    <t>Cty TNHH MTV XD CT Phúc Vinh</t>
  </si>
  <si>
    <t>Sân và bó vỉa</t>
  </si>
  <si>
    <t>Cống BCCT</t>
  </si>
  <si>
    <t xml:space="preserve"> 42/2015/HĐMB/NT</t>
  </si>
  <si>
    <t>Bê tông thương phẩm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</si>
  <si>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</si>
  <si>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</si>
  <si>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</si>
  <si>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</si>
  <si>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</si>
  <si>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Cty CP Điện nước Quang Phúc</t>
  </si>
  <si>
    <t>Biến áp và xây đường trung thế</t>
  </si>
  <si>
    <t>Hóa đơn 00068</t>
  </si>
  <si>
    <t>Cư tràm</t>
  </si>
  <si>
    <t>Hóa đơn 0011884</t>
  </si>
  <si>
    <t>Cty TNHH SXTM Nam Đại Thành</t>
  </si>
  <si>
    <t>Bồn Inox</t>
  </si>
  <si>
    <t>05/HĐ-XD (20/07/15)</t>
  </si>
  <si>
    <t>Cty TNHH XD Hoàn Cầu</t>
  </si>
  <si>
    <t>Nâng cấp hàng rào, sơn tường, lát đá hoa cương</t>
  </si>
  <si>
    <t>151/2015/TP/HDKT (27/06/15)</t>
  </si>
  <si>
    <t>Cty Lưới Hàn Thiên Phú</t>
  </si>
  <si>
    <t>Lưới thép hàn</t>
  </si>
  <si>
    <t>Cộng</t>
  </si>
  <si>
    <t>Nhà xưởng bằng thép
Gia công kết cấu thép nhà xe, lan cang, bể nước</t>
  </si>
  <si>
    <t>20/2015/HĐMB/KH</t>
  </si>
  <si>
    <t>Gạch men, vật dụng nội thất</t>
  </si>
  <si>
    <t>1811/HĐ-DVMT-2013</t>
  </si>
  <si>
    <t>Lập báo cáo GSMT
Lắp đặt hệ thống xử lý nước thải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</si>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</sst>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</numFmts>
  <fonts count="6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1"/>
      <name val="VNI-Times"/>
    </font>
    <font>
      <sz val="12"/>
      <name val="VNI-Times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7" fillId="0" borderId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24" fillId="0" borderId="0"/>
    <xf numFmtId="0" fontId="48" fillId="0" borderId="0">
      <alignment horizontal="center"/>
    </xf>
    <xf numFmtId="43" fontId="6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32">
    <xf numFmtId="0" fontId="0" fillId="0" borderId="0" xfId="0"/>
    <xf numFmtId="0" fontId="33" fillId="0" borderId="0" xfId="55" applyFont="1" applyAlignment="1">
      <alignment horizontal="left" vertical="center"/>
    </xf>
    <xf numFmtId="164" fontId="36" fillId="0" borderId="0" xfId="55" applyNumberFormat="1" applyFont="1" applyAlignment="1">
      <alignment vertical="center" wrapText="1"/>
    </xf>
    <xf numFmtId="164" fontId="33" fillId="0" borderId="0" xfId="55" applyNumberFormat="1" applyFont="1" applyAlignment="1">
      <alignment horizontal="center" vertical="center"/>
    </xf>
    <xf numFmtId="0" fontId="33" fillId="0" borderId="0" xfId="53" applyFont="1" applyAlignment="1">
      <alignment horizontal="left" vertical="center"/>
    </xf>
    <xf numFmtId="0" fontId="33" fillId="0" borderId="0" xfId="53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3" fontId="40" fillId="0" borderId="16" xfId="46" applyFont="1" applyBorder="1" applyAlignment="1">
      <alignment vertical="center"/>
    </xf>
    <xf numFmtId="164" fontId="40" fillId="0" borderId="16" xfId="29" applyNumberFormat="1" applyFont="1" applyBorder="1" applyAlignment="1">
      <alignment vertical="center"/>
    </xf>
    <xf numFmtId="14" fontId="34" fillId="0" borderId="19" xfId="56" applyNumberFormat="1" applyFont="1" applyBorder="1" applyAlignment="1">
      <alignment horizontal="center" vertical="center" wrapText="1"/>
    </xf>
    <xf numFmtId="14" fontId="34" fillId="0" borderId="22" xfId="56" applyNumberFormat="1" applyFont="1" applyBorder="1" applyAlignment="1">
      <alignment horizontal="center" vertical="center" wrapText="1"/>
    </xf>
    <xf numFmtId="0" fontId="26" fillId="0" borderId="0" xfId="54" applyAlignment="1">
      <alignment vertical="center"/>
    </xf>
    <xf numFmtId="0" fontId="34" fillId="0" borderId="0" xfId="54" applyFont="1" applyAlignment="1">
      <alignment vertical="center"/>
    </xf>
    <xf numFmtId="0" fontId="40" fillId="0" borderId="0" xfId="54" applyFont="1" applyAlignment="1">
      <alignment vertical="center"/>
    </xf>
    <xf numFmtId="0" fontId="41" fillId="0" borderId="0" xfId="54" applyFont="1" applyAlignment="1">
      <alignment vertical="center"/>
    </xf>
    <xf numFmtId="0" fontId="34" fillId="21" borderId="2" xfId="54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4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40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vertical="center"/>
    </xf>
    <xf numFmtId="164" fontId="41" fillId="0" borderId="0" xfId="29" applyNumberFormat="1" applyFont="1" applyAlignment="1">
      <alignment vertical="center"/>
    </xf>
    <xf numFmtId="164" fontId="34" fillId="21" borderId="0" xfId="29" applyNumberFormat="1" applyFont="1" applyFill="1" applyAlignment="1">
      <alignment vertical="center"/>
    </xf>
    <xf numFmtId="164" fontId="36" fillId="0" borderId="0" xfId="55" applyNumberFormat="1" applyFont="1" applyAlignment="1">
      <alignment horizontal="center" vertical="center" wrapText="1"/>
    </xf>
    <xf numFmtId="164" fontId="33" fillId="0" borderId="0" xfId="55" applyNumberFormat="1" applyFont="1" applyAlignment="1">
      <alignment vertical="center" wrapText="1"/>
    </xf>
    <xf numFmtId="0" fontId="34" fillId="0" borderId="0" xfId="53" applyFont="1" applyAlignment="1">
      <alignment vertical="center"/>
    </xf>
    <xf numFmtId="0" fontId="34" fillId="0" borderId="0" xfId="53" applyFont="1" applyAlignment="1">
      <alignment horizontal="center" vertical="center"/>
    </xf>
    <xf numFmtId="0" fontId="34" fillId="0" borderId="0" xfId="53" applyFont="1" applyAlignment="1">
      <alignment horizontal="right" vertical="center"/>
    </xf>
    <xf numFmtId="0" fontId="34" fillId="0" borderId="2" xfId="53" applyFont="1" applyBorder="1" applyAlignment="1">
      <alignment horizontal="center" vertical="center"/>
    </xf>
    <xf numFmtId="0" fontId="34" fillId="0" borderId="20" xfId="53" applyFont="1" applyBorder="1" applyAlignment="1">
      <alignment horizontal="center" vertical="center"/>
    </xf>
    <xf numFmtId="0" fontId="34" fillId="0" borderId="2" xfId="53" quotePrefix="1" applyFont="1" applyBorder="1" applyAlignment="1">
      <alignment vertical="center"/>
    </xf>
    <xf numFmtId="0" fontId="34" fillId="0" borderId="2" xfId="53" applyFont="1" applyBorder="1" applyAlignment="1">
      <alignment vertical="center"/>
    </xf>
    <xf numFmtId="164" fontId="34" fillId="0" borderId="22" xfId="29" applyNumberFormat="1" applyFont="1" applyBorder="1" applyAlignment="1">
      <alignment vertical="center"/>
    </xf>
    <xf numFmtId="0" fontId="34" fillId="0" borderId="19" xfId="53" applyFont="1" applyBorder="1" applyAlignment="1">
      <alignment vertical="center"/>
    </xf>
    <xf numFmtId="0" fontId="34" fillId="0" borderId="19" xfId="53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3" fontId="37" fillId="0" borderId="19" xfId="52" applyNumberFormat="1" applyFont="1" applyBorder="1" applyAlignment="1">
      <alignment horizontal="right"/>
    </xf>
    <xf numFmtId="14" fontId="34" fillId="0" borderId="2" xfId="53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3" quotePrefix="1" applyFont="1" applyAlignment="1">
      <alignment horizontal="left" vertical="center"/>
    </xf>
    <xf numFmtId="0" fontId="24" fillId="0" borderId="0" xfId="0" applyFont="1"/>
    <xf numFmtId="0" fontId="34" fillId="0" borderId="2" xfId="53" applyFont="1" applyBorder="1" applyAlignment="1">
      <alignment horizontal="center" vertical="center" wrapText="1" shrinkToFit="1"/>
    </xf>
    <xf numFmtId="0" fontId="23" fillId="0" borderId="0" xfId="74" applyFont="1"/>
    <xf numFmtId="164" fontId="26" fillId="0" borderId="0" xfId="75" applyNumberFormat="1" applyFont="1"/>
    <xf numFmtId="0" fontId="26" fillId="0" borderId="0" xfId="74"/>
    <xf numFmtId="0" fontId="28" fillId="0" borderId="0" xfId="59">
      <alignment horizontal="centerContinuous"/>
    </xf>
    <xf numFmtId="164" fontId="28" fillId="0" borderId="0" xfId="75" applyNumberFormat="1" applyFont="1" applyAlignment="1">
      <alignment horizontal="centerContinuous"/>
    </xf>
    <xf numFmtId="0" fontId="28" fillId="0" borderId="0" xfId="59" applyFont="1">
      <alignment horizontal="centerContinuous"/>
    </xf>
    <xf numFmtId="0" fontId="23" fillId="21" borderId="17" xfId="76" applyBorder="1">
      <alignment horizontal="centerContinuous" vertical="center" wrapText="1"/>
    </xf>
    <xf numFmtId="164" fontId="23" fillId="21" borderId="2" xfId="75" applyNumberFormat="1" applyFont="1" applyFill="1" applyBorder="1" applyAlignment="1">
      <alignment horizontal="centerContinuous" vertical="center" wrapText="1"/>
    </xf>
    <xf numFmtId="0" fontId="23" fillId="21" borderId="2" xfId="76">
      <alignment horizontal="centerContinuous" vertical="center" wrapText="1"/>
    </xf>
    <xf numFmtId="0" fontId="23" fillId="21" borderId="18" xfId="76" applyBorder="1">
      <alignment horizontal="centerContinuous" vertical="center" wrapText="1"/>
    </xf>
    <xf numFmtId="164" fontId="44" fillId="0" borderId="25" xfId="75" quotePrefix="1" applyNumberFormat="1" applyFont="1" applyBorder="1" applyAlignment="1">
      <alignment horizontal="center"/>
    </xf>
    <xf numFmtId="164" fontId="45" fillId="0" borderId="25" xfId="75" applyNumberFormat="1" applyFont="1" applyBorder="1" applyAlignment="1">
      <alignment horizontal="center"/>
    </xf>
    <xf numFmtId="164" fontId="44" fillId="0" borderId="25" xfId="75" applyNumberFormat="1" applyFont="1" applyBorder="1"/>
    <xf numFmtId="164" fontId="44" fillId="0" borderId="27" xfId="75" applyNumberFormat="1" applyFont="1" applyBorder="1"/>
    <xf numFmtId="164" fontId="26" fillId="0" borderId="0" xfId="75" applyNumberFormat="1" applyFont="1" applyFill="1"/>
    <xf numFmtId="164" fontId="23" fillId="0" borderId="10" xfId="75" applyNumberFormat="1" applyFont="1" applyBorder="1" applyAlignment="1">
      <alignment horizontal="left"/>
    </xf>
    <xf numFmtId="164" fontId="43" fillId="0" borderId="10" xfId="75" applyNumberFormat="1" applyFont="1" applyBorder="1" applyAlignment="1">
      <alignment horizontal="left"/>
    </xf>
    <xf numFmtId="164" fontId="23" fillId="0" borderId="10" xfId="75" applyNumberFormat="1" applyFont="1" applyBorder="1"/>
    <xf numFmtId="164" fontId="44" fillId="0" borderId="25" xfId="75" applyNumberFormat="1" applyFont="1" applyBorder="1" applyAlignment="1">
      <alignment horizontal="center"/>
    </xf>
    <xf numFmtId="164" fontId="23" fillId="0" borderId="10" xfId="75" quotePrefix="1" applyNumberFormat="1" applyFont="1" applyBorder="1" applyAlignment="1">
      <alignment horizontal="left"/>
    </xf>
    <xf numFmtId="164" fontId="26" fillId="0" borderId="28" xfId="75" applyNumberFormat="1" applyFont="1" applyBorder="1"/>
    <xf numFmtId="164" fontId="26" fillId="0" borderId="28" xfId="75" quotePrefix="1" applyNumberFormat="1" applyFont="1" applyBorder="1" applyAlignment="1">
      <alignment horizontal="right"/>
    </xf>
    <xf numFmtId="164" fontId="35" fillId="0" borderId="28" xfId="75" applyNumberFormat="1" applyFont="1" applyBorder="1" applyAlignment="1">
      <alignment horizontal="right"/>
    </xf>
    <xf numFmtId="164" fontId="23" fillId="0" borderId="2" xfId="75" applyNumberFormat="1" applyFont="1" applyBorder="1"/>
    <xf numFmtId="3" fontId="26" fillId="0" borderId="0" xfId="74" applyNumberFormat="1"/>
    <xf numFmtId="164" fontId="26" fillId="0" borderId="0" xfId="74" applyNumberFormat="1"/>
    <xf numFmtId="0" fontId="26" fillId="0" borderId="0" xfId="74" applyBorder="1"/>
    <xf numFmtId="0" fontId="34" fillId="0" borderId="0" xfId="77" applyFont="1" applyFill="1" applyAlignment="1">
      <alignment horizontal="left" vertical="center"/>
    </xf>
    <xf numFmtId="0" fontId="39" fillId="0" borderId="0" xfId="77" applyFont="1" applyFill="1" applyAlignment="1">
      <alignment horizontal="center" vertical="center" wrapText="1"/>
    </xf>
    <xf numFmtId="0" fontId="39" fillId="0" borderId="0" xfId="77" applyFont="1" applyFill="1" applyAlignment="1">
      <alignment vertical="center" wrapText="1"/>
    </xf>
    <xf numFmtId="1" fontId="34" fillId="0" borderId="0" xfId="77" applyNumberFormat="1" applyFont="1" applyFill="1" applyAlignment="1">
      <alignment horizontal="center" vertical="center"/>
    </xf>
    <xf numFmtId="1" fontId="34" fillId="0" borderId="0" xfId="77" applyNumberFormat="1" applyFont="1" applyFill="1" applyAlignment="1">
      <alignment horizontal="center" vertical="center" wrapText="1"/>
    </xf>
    <xf numFmtId="0" fontId="47" fillId="0" borderId="2" xfId="77" applyFont="1" applyFill="1" applyBorder="1" applyAlignment="1">
      <alignment horizontal="center" vertical="center"/>
    </xf>
    <xf numFmtId="0" fontId="34" fillId="0" borderId="16" xfId="78" applyNumberFormat="1" applyFont="1" applyFill="1" applyBorder="1" applyAlignment="1">
      <alignment horizontal="center" vertical="center"/>
    </xf>
    <xf numFmtId="14" fontId="34" fillId="0" borderId="16" xfId="77" applyNumberFormat="1" applyFont="1" applyFill="1" applyBorder="1" applyAlignment="1">
      <alignment horizontal="center" vertical="center"/>
    </xf>
    <xf numFmtId="164" fontId="34" fillId="0" borderId="16" xfId="78" applyNumberFormat="1" applyFont="1" applyFill="1" applyBorder="1" applyAlignment="1">
      <alignment vertical="center"/>
    </xf>
    <xf numFmtId="0" fontId="34" fillId="0" borderId="16" xfId="77" quotePrefix="1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/>
    </xf>
    <xf numFmtId="1" fontId="34" fillId="0" borderId="16" xfId="77" quotePrefix="1" applyNumberFormat="1" applyFont="1" applyFill="1" applyBorder="1" applyAlignment="1">
      <alignment horizontal="center" vertical="center"/>
    </xf>
    <xf numFmtId="14" fontId="49" fillId="0" borderId="16" xfId="77" applyNumberFormat="1" applyFont="1" applyFill="1" applyBorder="1" applyAlignment="1">
      <alignment horizontal="center" vertical="center"/>
    </xf>
    <xf numFmtId="164" fontId="49" fillId="0" borderId="16" xfId="77" applyNumberFormat="1" applyFont="1" applyFill="1" applyBorder="1" applyAlignment="1">
      <alignment horizontal="left" vertical="center"/>
    </xf>
    <xf numFmtId="164" fontId="49" fillId="0" borderId="16" xfId="78" applyNumberFormat="1" applyFont="1" applyFill="1" applyBorder="1" applyAlignment="1">
      <alignment vertical="center"/>
    </xf>
    <xf numFmtId="1" fontId="49" fillId="0" borderId="16" xfId="77" quotePrefix="1" applyNumberFormat="1" applyFont="1" applyFill="1" applyBorder="1" applyAlignment="1">
      <alignment horizontal="center" vertical="center"/>
    </xf>
    <xf numFmtId="0" fontId="49" fillId="0" borderId="16" xfId="77" quotePrefix="1" applyNumberFormat="1" applyFont="1" applyFill="1" applyBorder="1" applyAlignment="1">
      <alignment horizontal="center" vertical="center"/>
    </xf>
    <xf numFmtId="14" fontId="50" fillId="0" borderId="16" xfId="77" applyNumberFormat="1" applyFont="1" applyFill="1" applyBorder="1" applyAlignment="1">
      <alignment horizontal="center" vertical="center"/>
    </xf>
    <xf numFmtId="164" fontId="50" fillId="0" borderId="16" xfId="77" applyNumberFormat="1" applyFont="1" applyFill="1" applyBorder="1" applyAlignment="1">
      <alignment horizontal="left" vertical="center"/>
    </xf>
    <xf numFmtId="164" fontId="50" fillId="0" borderId="16" xfId="78" applyNumberFormat="1" applyFont="1" applyFill="1" applyBorder="1" applyAlignment="1">
      <alignment vertical="center"/>
    </xf>
    <xf numFmtId="0" fontId="50" fillId="0" borderId="16" xfId="77" quotePrefix="1" applyNumberFormat="1" applyFont="1" applyFill="1" applyBorder="1" applyAlignment="1">
      <alignment horizontal="center" vertical="center"/>
    </xf>
    <xf numFmtId="14" fontId="51" fillId="0" borderId="16" xfId="77" applyNumberFormat="1" applyFont="1" applyFill="1" applyBorder="1" applyAlignment="1">
      <alignment horizontal="center" vertical="center"/>
    </xf>
    <xf numFmtId="164" fontId="51" fillId="0" borderId="16" xfId="77" applyNumberFormat="1" applyFont="1" applyFill="1" applyBorder="1" applyAlignment="1">
      <alignment horizontal="left" vertical="center"/>
    </xf>
    <xf numFmtId="164" fontId="51" fillId="0" borderId="16" xfId="78" applyNumberFormat="1" applyFont="1" applyFill="1" applyBorder="1" applyAlignment="1">
      <alignment vertical="center"/>
    </xf>
    <xf numFmtId="0" fontId="51" fillId="0" borderId="16" xfId="77" quotePrefix="1" applyNumberFormat="1" applyFont="1" applyFill="1" applyBorder="1" applyAlignment="1">
      <alignment horizontal="center" vertical="center"/>
    </xf>
    <xf numFmtId="14" fontId="52" fillId="0" borderId="16" xfId="77" applyNumberFormat="1" applyFont="1" applyFill="1" applyBorder="1" applyAlignment="1">
      <alignment horizontal="center" vertical="center"/>
    </xf>
    <xf numFmtId="164" fontId="52" fillId="0" borderId="16" xfId="77" applyNumberFormat="1" applyFont="1" applyFill="1" applyBorder="1" applyAlignment="1">
      <alignment horizontal="left" vertical="center"/>
    </xf>
    <xf numFmtId="164" fontId="52" fillId="0" borderId="16" xfId="78" applyNumberFormat="1" applyFont="1" applyFill="1" applyBorder="1" applyAlignment="1">
      <alignment vertical="center"/>
    </xf>
    <xf numFmtId="0" fontId="52" fillId="0" borderId="16" xfId="77" quotePrefix="1" applyNumberFormat="1" applyFont="1" applyFill="1" applyBorder="1" applyAlignment="1">
      <alignment horizontal="center" vertical="center"/>
    </xf>
    <xf numFmtId="14" fontId="52" fillId="0" borderId="16" xfId="79" applyNumberFormat="1" applyFont="1" applyBorder="1" applyAlignment="1">
      <alignment horizontal="center"/>
    </xf>
    <xf numFmtId="0" fontId="52" fillId="0" borderId="16" xfId="79" applyFont="1" applyBorder="1" applyAlignment="1">
      <alignment horizontal="center"/>
    </xf>
    <xf numFmtId="14" fontId="52" fillId="0" borderId="21" xfId="77" applyNumberFormat="1" applyFont="1" applyFill="1" applyBorder="1" applyAlignment="1">
      <alignment horizontal="center" vertical="center"/>
    </xf>
    <xf numFmtId="14" fontId="52" fillId="0" borderId="21" xfId="79" applyNumberFormat="1" applyFont="1" applyBorder="1" applyAlignment="1">
      <alignment horizontal="center"/>
    </xf>
    <xf numFmtId="164" fontId="52" fillId="0" borderId="21" xfId="77" applyNumberFormat="1" applyFont="1" applyFill="1" applyBorder="1" applyAlignment="1">
      <alignment horizontal="left" vertical="center"/>
    </xf>
    <xf numFmtId="164" fontId="52" fillId="0" borderId="21" xfId="78" applyNumberFormat="1" applyFont="1" applyFill="1" applyBorder="1" applyAlignment="1">
      <alignment vertical="center"/>
    </xf>
    <xf numFmtId="0" fontId="34" fillId="0" borderId="2" xfId="77" applyFont="1" applyFill="1" applyBorder="1" applyAlignment="1">
      <alignment horizontal="center" vertical="center" wrapText="1"/>
    </xf>
    <xf numFmtId="0" fontId="34" fillId="0" borderId="0" xfId="77" applyFont="1" applyFill="1" applyAlignment="1">
      <alignment horizontal="center" vertical="center" wrapText="1"/>
    </xf>
    <xf numFmtId="0" fontId="34" fillId="0" borderId="20" xfId="77" applyFont="1" applyFill="1" applyBorder="1" applyAlignment="1">
      <alignment horizontal="center" vertical="center" wrapText="1"/>
    </xf>
    <xf numFmtId="0" fontId="34" fillId="0" borderId="2" xfId="77" applyNumberFormat="1" applyFont="1" applyFill="1" applyBorder="1" applyAlignment="1">
      <alignment horizontal="center" vertical="center" wrapText="1"/>
    </xf>
    <xf numFmtId="0" fontId="34" fillId="0" borderId="0" xfId="77" applyFont="1" applyFill="1" applyAlignment="1">
      <alignment horizontal="center" vertical="center"/>
    </xf>
    <xf numFmtId="14" fontId="34" fillId="0" borderId="16" xfId="78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2" fillId="0" borderId="16" xfId="78" applyNumberFormat="1" applyFont="1" applyBorder="1" applyAlignment="1">
      <alignment horizontal="center" vertical="center"/>
    </xf>
    <xf numFmtId="0" fontId="52" fillId="0" borderId="16" xfId="79" applyFont="1" applyBorder="1" applyAlignment="1"/>
    <xf numFmtId="164" fontId="52" fillId="0" borderId="16" xfId="75" applyNumberFormat="1" applyFont="1" applyBorder="1" applyAlignment="1"/>
    <xf numFmtId="0" fontId="52" fillId="0" borderId="16" xfId="79" applyFont="1" applyFill="1" applyBorder="1" applyAlignment="1"/>
    <xf numFmtId="164" fontId="52" fillId="0" borderId="16" xfId="75" applyNumberFormat="1" applyFont="1" applyFill="1" applyBorder="1" applyAlignment="1"/>
    <xf numFmtId="49" fontId="34" fillId="0" borderId="0" xfId="77" applyNumberFormat="1" applyFont="1" applyFill="1" applyAlignment="1">
      <alignment horizontal="center" vertical="center"/>
    </xf>
    <xf numFmtId="49" fontId="49" fillId="0" borderId="16" xfId="77" applyNumberFormat="1" applyFont="1" applyFill="1" applyBorder="1" applyAlignment="1">
      <alignment horizontal="left" vertical="center"/>
    </xf>
    <xf numFmtId="49" fontId="50" fillId="0" borderId="16" xfId="77" applyNumberFormat="1" applyFont="1" applyFill="1" applyBorder="1" applyAlignment="1">
      <alignment horizontal="left" vertical="center"/>
    </xf>
    <xf numFmtId="49" fontId="50" fillId="0" borderId="16" xfId="77" quotePrefix="1" applyNumberFormat="1" applyFont="1" applyFill="1" applyBorder="1" applyAlignment="1">
      <alignment horizontal="left" vertical="center"/>
    </xf>
    <xf numFmtId="49" fontId="51" fillId="0" borderId="16" xfId="77" applyNumberFormat="1" applyFont="1" applyFill="1" applyBorder="1" applyAlignment="1">
      <alignment horizontal="left" vertical="center"/>
    </xf>
    <xf numFmtId="49" fontId="52" fillId="0" borderId="16" xfId="77" applyNumberFormat="1" applyFont="1" applyFill="1" applyBorder="1" applyAlignment="1">
      <alignment horizontal="left" vertical="center"/>
    </xf>
    <xf numFmtId="49" fontId="52" fillId="0" borderId="16" xfId="77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horizontal="left" vertical="center"/>
    </xf>
    <xf numFmtId="49" fontId="34" fillId="0" borderId="16" xfId="77" quotePrefix="1" applyNumberFormat="1" applyFont="1" applyFill="1" applyBorder="1" applyAlignment="1">
      <alignment horizontal="left" vertical="center"/>
    </xf>
    <xf numFmtId="49" fontId="34" fillId="0" borderId="16" xfId="78" applyNumberFormat="1" applyFont="1" applyFill="1" applyBorder="1" applyAlignment="1">
      <alignment vertical="center"/>
    </xf>
    <xf numFmtId="49" fontId="34" fillId="0" borderId="16" xfId="77" applyNumberFormat="1" applyFont="1" applyFill="1" applyBorder="1" applyAlignment="1">
      <alignment horizontal="left" vertical="center" wrapText="1"/>
    </xf>
    <xf numFmtId="0" fontId="34" fillId="0" borderId="22" xfId="56" applyNumberFormat="1" applyFont="1" applyBorder="1" applyAlignment="1">
      <alignment horizontal="left" vertical="center" wrapText="1"/>
    </xf>
    <xf numFmtId="0" fontId="34" fillId="0" borderId="22" xfId="56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53" fillId="0" borderId="16" xfId="78" applyNumberFormat="1" applyFont="1" applyFill="1" applyBorder="1" applyAlignment="1">
      <alignment horizontal="center" vertical="center"/>
    </xf>
    <xf numFmtId="14" fontId="53" fillId="0" borderId="16" xfId="77" applyNumberFormat="1" applyFont="1" applyFill="1" applyBorder="1" applyAlignment="1">
      <alignment horizontal="center" vertical="center"/>
    </xf>
    <xf numFmtId="164" fontId="53" fillId="0" borderId="16" xfId="77" applyNumberFormat="1" applyFont="1" applyFill="1" applyBorder="1" applyAlignment="1">
      <alignment horizontal="left" vertical="center"/>
    </xf>
    <xf numFmtId="49" fontId="53" fillId="0" borderId="16" xfId="77" applyNumberFormat="1" applyFont="1" applyFill="1" applyBorder="1" applyAlignment="1">
      <alignment horizontal="left" vertical="center"/>
    </xf>
    <xf numFmtId="164" fontId="53" fillId="0" borderId="16" xfId="78" applyNumberFormat="1" applyFont="1" applyFill="1" applyBorder="1" applyAlignment="1">
      <alignment vertical="center"/>
    </xf>
    <xf numFmtId="0" fontId="53" fillId="0" borderId="16" xfId="77" quotePrefix="1" applyNumberFormat="1" applyFont="1" applyFill="1" applyBorder="1" applyAlignment="1">
      <alignment horizontal="center" vertical="center"/>
    </xf>
    <xf numFmtId="0" fontId="54" fillId="0" borderId="0" xfId="0" applyFont="1" applyAlignment="1"/>
    <xf numFmtId="0" fontId="55" fillId="0" borderId="16" xfId="77" quotePrefix="1" applyNumberFormat="1" applyFont="1" applyFill="1" applyBorder="1" applyAlignment="1">
      <alignment horizontal="center" vertical="center"/>
    </xf>
    <xf numFmtId="14" fontId="34" fillId="0" borderId="16" xfId="77" quotePrefix="1" applyNumberFormat="1" applyFont="1" applyFill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 wrapText="1"/>
    </xf>
    <xf numFmtId="164" fontId="23" fillId="0" borderId="28" xfId="75" applyNumberFormat="1" applyFont="1" applyBorder="1"/>
    <xf numFmtId="164" fontId="23" fillId="0" borderId="29" xfId="75" applyNumberFormat="1" applyFont="1" applyBorder="1"/>
    <xf numFmtId="1" fontId="53" fillId="0" borderId="16" xfId="77" quotePrefix="1" applyNumberFormat="1" applyFont="1" applyFill="1" applyBorder="1" applyAlignment="1">
      <alignment horizontal="center" vertical="center"/>
    </xf>
    <xf numFmtId="49" fontId="53" fillId="0" borderId="16" xfId="77" quotePrefix="1" applyNumberFormat="1" applyFont="1" applyFill="1" applyBorder="1" applyAlignment="1">
      <alignment horizontal="left" vertical="center"/>
    </xf>
    <xf numFmtId="164" fontId="26" fillId="0" borderId="0" xfId="54" applyNumberFormat="1" applyAlignment="1">
      <alignment vertical="center"/>
    </xf>
    <xf numFmtId="0" fontId="22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 wrapText="1"/>
    </xf>
    <xf numFmtId="164" fontId="39" fillId="0" borderId="2" xfId="29" applyNumberFormat="1" applyFont="1" applyBorder="1" applyAlignment="1">
      <alignment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41" fillId="0" borderId="16" xfId="0" applyFont="1" applyBorder="1" applyAlignment="1">
      <alignment vertical="center" wrapText="1"/>
    </xf>
    <xf numFmtId="14" fontId="41" fillId="0" borderId="16" xfId="0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vertical="center" wrapText="1"/>
    </xf>
    <xf numFmtId="0" fontId="41" fillId="0" borderId="16" xfId="0" applyFont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41" fillId="0" borderId="21" xfId="0" applyFont="1" applyBorder="1" applyAlignment="1">
      <alignment vertical="center" wrapText="1"/>
    </xf>
    <xf numFmtId="14" fontId="41" fillId="0" borderId="21" xfId="0" applyNumberFormat="1" applyFont="1" applyBorder="1" applyAlignment="1">
      <alignment horizontal="center" vertical="center" wrapText="1"/>
    </xf>
    <xf numFmtId="164" fontId="41" fillId="0" borderId="21" xfId="29" applyNumberFormat="1" applyFont="1" applyBorder="1" applyAlignment="1">
      <alignment vertical="center" wrapText="1"/>
    </xf>
    <xf numFmtId="0" fontId="41" fillId="0" borderId="22" xfId="0" applyFont="1" applyBorder="1" applyAlignment="1">
      <alignment horizontal="center" vertical="center" wrapText="1"/>
    </xf>
    <xf numFmtId="164" fontId="56" fillId="25" borderId="2" xfId="0" applyNumberFormat="1" applyFont="1" applyFill="1" applyBorder="1" applyAlignment="1">
      <alignment vertical="center" wrapText="1"/>
    </xf>
    <xf numFmtId="14" fontId="56" fillId="25" borderId="2" xfId="0" applyNumberFormat="1" applyFont="1" applyFill="1" applyBorder="1" applyAlignment="1">
      <alignment horizontal="center" vertical="center" wrapText="1"/>
    </xf>
    <xf numFmtId="164" fontId="56" fillId="25" borderId="2" xfId="0" applyNumberFormat="1" applyFont="1" applyFill="1" applyBorder="1" applyAlignment="1">
      <alignment horizontal="center" vertical="center" wrapText="1"/>
    </xf>
    <xf numFmtId="0" fontId="56" fillId="0" borderId="0" xfId="0" applyFont="1" applyAlignment="1">
      <alignment vertical="center" wrapText="1"/>
    </xf>
    <xf numFmtId="164" fontId="56" fillId="25" borderId="26" xfId="0" applyNumberFormat="1" applyFont="1" applyFill="1" applyBorder="1" applyAlignment="1">
      <alignment vertical="center" wrapText="1"/>
    </xf>
    <xf numFmtId="164" fontId="56" fillId="25" borderId="20" xfId="0" applyNumberFormat="1" applyFont="1" applyFill="1" applyBorder="1" applyAlignment="1">
      <alignment vertical="center" wrapText="1"/>
    </xf>
    <xf numFmtId="164" fontId="41" fillId="0" borderId="22" xfId="29" applyNumberFormat="1" applyFont="1" applyBorder="1" applyAlignment="1">
      <alignment vertical="center" wrapText="1"/>
    </xf>
    <xf numFmtId="14" fontId="41" fillId="0" borderId="22" xfId="56" applyNumberFormat="1" applyFont="1" applyBorder="1" applyAlignment="1">
      <alignment horizontal="center" vertical="center" wrapText="1"/>
    </xf>
    <xf numFmtId="14" fontId="41" fillId="0" borderId="16" xfId="56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horizontal="center" vertical="center" wrapText="1"/>
    </xf>
    <xf numFmtId="14" fontId="41" fillId="0" borderId="22" xfId="0" applyNumberFormat="1" applyFont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 wrapText="1"/>
    </xf>
    <xf numFmtId="164" fontId="41" fillId="0" borderId="19" xfId="29" applyNumberFormat="1" applyFont="1" applyBorder="1" applyAlignment="1">
      <alignment vertical="center" wrapText="1"/>
    </xf>
    <xf numFmtId="14" fontId="41" fillId="0" borderId="19" xfId="0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vertical="center" wrapText="1"/>
    </xf>
    <xf numFmtId="14" fontId="34" fillId="0" borderId="22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vertical="center" wrapText="1"/>
    </xf>
    <xf numFmtId="0" fontId="34" fillId="0" borderId="16" xfId="0" applyFont="1" applyBorder="1" applyAlignment="1">
      <alignment horizontal="center" vertical="center" wrapText="1"/>
    </xf>
    <xf numFmtId="164" fontId="34" fillId="0" borderId="12" xfId="29" applyNumberFormat="1" applyFont="1" applyBorder="1" applyAlignment="1">
      <alignment vertical="center" wrapText="1"/>
    </xf>
    <xf numFmtId="0" fontId="42" fillId="0" borderId="0" xfId="0" applyFont="1" applyAlignment="1">
      <alignment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164" fontId="34" fillId="0" borderId="19" xfId="29" applyNumberFormat="1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4" fillId="0" borderId="25" xfId="0" applyNumberFormat="1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164" fontId="34" fillId="0" borderId="16" xfId="0" applyNumberFormat="1" applyFont="1" applyBorder="1" applyAlignment="1">
      <alignment horizontal="center" vertical="center" wrapText="1"/>
    </xf>
    <xf numFmtId="14" fontId="34" fillId="0" borderId="12" xfId="0" applyNumberFormat="1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14" fontId="34" fillId="0" borderId="19" xfId="0" applyNumberFormat="1" applyFont="1" applyBorder="1" applyAlignment="1">
      <alignment horizontal="center" vertical="center" wrapText="1"/>
    </xf>
    <xf numFmtId="0" fontId="34" fillId="0" borderId="19" xfId="0" applyFont="1" applyBorder="1" applyAlignment="1">
      <alignment horizontal="center" vertical="center" wrapText="1"/>
    </xf>
    <xf numFmtId="164" fontId="55" fillId="0" borderId="16" xfId="29" applyNumberFormat="1" applyFont="1" applyBorder="1" applyAlignment="1">
      <alignment vertical="center" wrapText="1"/>
    </xf>
    <xf numFmtId="14" fontId="55" fillId="0" borderId="16" xfId="0" applyNumberFormat="1" applyFont="1" applyBorder="1" applyAlignment="1">
      <alignment horizontal="center" vertical="center" wrapText="1"/>
    </xf>
    <xf numFmtId="164" fontId="55" fillId="0" borderId="16" xfId="0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164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164" fontId="39" fillId="0" borderId="0" xfId="29" applyNumberFormat="1" applyFont="1" applyAlignment="1">
      <alignment horizontal="center" vertical="center" wrapText="1"/>
    </xf>
    <xf numFmtId="164" fontId="34" fillId="0" borderId="0" xfId="0" applyNumberFormat="1" applyFont="1" applyAlignment="1">
      <alignment vertical="center" wrapText="1"/>
    </xf>
    <xf numFmtId="0" fontId="57" fillId="0" borderId="0" xfId="0" applyFont="1" applyBorder="1" applyAlignment="1">
      <alignment vertical="center" wrapText="1"/>
    </xf>
    <xf numFmtId="164" fontId="34" fillId="0" borderId="0" xfId="0" applyNumberFormat="1" applyFont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0" fontId="54" fillId="0" borderId="0" xfId="0" applyFont="1"/>
    <xf numFmtId="164" fontId="34" fillId="0" borderId="21" xfId="29" applyNumberFormat="1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41" fillId="0" borderId="22" xfId="0" applyNumberFormat="1" applyFont="1" applyBorder="1" applyAlignment="1">
      <alignment horizontal="center" vertical="center" wrapText="1"/>
    </xf>
    <xf numFmtId="164" fontId="41" fillId="0" borderId="16" xfId="29" applyNumberFormat="1" applyFont="1" applyBorder="1" applyAlignment="1">
      <alignment horizontal="center" vertical="center" wrapText="1"/>
    </xf>
    <xf numFmtId="14" fontId="41" fillId="0" borderId="16" xfId="0" applyNumberFormat="1" applyFont="1" applyBorder="1" applyAlignment="1">
      <alignment horizontal="center" vertical="center" wrapText="1"/>
    </xf>
    <xf numFmtId="49" fontId="39" fillId="0" borderId="0" xfId="77" applyNumberFormat="1" applyFont="1" applyFill="1" applyAlignment="1">
      <alignment vertical="center"/>
    </xf>
    <xf numFmtId="49" fontId="39" fillId="0" borderId="0" xfId="77" applyNumberFormat="1" applyFont="1" applyFill="1" applyAlignment="1">
      <alignment horizontal="center" vertical="center"/>
    </xf>
    <xf numFmtId="49" fontId="0" fillId="0" borderId="0" xfId="0" applyNumberFormat="1" applyAlignment="1"/>
    <xf numFmtId="0" fontId="34" fillId="0" borderId="16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horizontal="left" vertical="center" wrapText="1"/>
    </xf>
    <xf numFmtId="0" fontId="55" fillId="0" borderId="16" xfId="78" applyNumberFormat="1" applyFont="1" applyFill="1" applyBorder="1" applyAlignment="1">
      <alignment horizontal="center" vertical="center"/>
    </xf>
    <xf numFmtId="14" fontId="55" fillId="0" borderId="16" xfId="77" applyNumberFormat="1" applyFont="1" applyFill="1" applyBorder="1" applyAlignment="1">
      <alignment horizontal="center" vertical="center"/>
    </xf>
    <xf numFmtId="164" fontId="55" fillId="0" borderId="16" xfId="77" applyNumberFormat="1" applyFont="1" applyFill="1" applyBorder="1" applyAlignment="1">
      <alignment horizontal="left" vertical="center"/>
    </xf>
    <xf numFmtId="49" fontId="55" fillId="0" borderId="16" xfId="77" applyNumberFormat="1" applyFont="1" applyFill="1" applyBorder="1" applyAlignment="1">
      <alignment horizontal="left" vertical="center"/>
    </xf>
    <xf numFmtId="164" fontId="55" fillId="0" borderId="16" xfId="78" applyNumberFormat="1" applyFont="1" applyFill="1" applyBorder="1" applyAlignment="1">
      <alignment vertical="center"/>
    </xf>
    <xf numFmtId="0" fontId="59" fillId="0" borderId="0" xfId="0" applyFont="1"/>
    <xf numFmtId="164" fontId="34" fillId="0" borderId="22" xfId="29" applyNumberFormat="1" applyFont="1" applyBorder="1" applyAlignment="1">
      <alignment horizontal="center" vertical="center" wrapText="1"/>
    </xf>
    <xf numFmtId="164" fontId="34" fillId="0" borderId="22" xfId="77" applyNumberFormat="1" applyFont="1" applyFill="1" applyBorder="1" applyAlignment="1">
      <alignment horizontal="left" vertical="center"/>
    </xf>
    <xf numFmtId="0" fontId="34" fillId="0" borderId="16" xfId="56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78" applyNumberFormat="1" applyFont="1" applyFill="1" applyBorder="1" applyAlignment="1">
      <alignment horizontal="center" vertical="center" wrapText="1"/>
    </xf>
    <xf numFmtId="14" fontId="34" fillId="0" borderId="16" xfId="77" applyNumberFormat="1" applyFont="1" applyFill="1" applyBorder="1" applyAlignment="1">
      <alignment horizontal="center" vertical="center" wrapText="1"/>
    </xf>
    <xf numFmtId="164" fontId="34" fillId="0" borderId="16" xfId="78" applyNumberFormat="1" applyFont="1" applyFill="1" applyBorder="1" applyAlignment="1">
      <alignment vertical="center" wrapText="1"/>
    </xf>
    <xf numFmtId="0" fontId="34" fillId="0" borderId="16" xfId="77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0" fillId="0" borderId="16" xfId="77" quotePrefix="1" applyNumberFormat="1" applyFont="1" applyFill="1" applyBorder="1" applyAlignment="1">
      <alignment horizontal="center" vertical="center"/>
    </xf>
    <xf numFmtId="164" fontId="50" fillId="0" borderId="16" xfId="77" applyNumberFormat="1" applyFont="1" applyFill="1" applyBorder="1" applyAlignment="1">
      <alignment horizontal="center" vertical="center"/>
    </xf>
    <xf numFmtId="164" fontId="51" fillId="0" borderId="16" xfId="77" applyNumberFormat="1" applyFont="1" applyFill="1" applyBorder="1" applyAlignment="1">
      <alignment horizontal="center" vertical="center"/>
    </xf>
    <xf numFmtId="164" fontId="52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horizontal="center" vertical="center"/>
    </xf>
    <xf numFmtId="164" fontId="53" fillId="0" borderId="16" xfId="77" applyNumberFormat="1" applyFont="1" applyFill="1" applyBorder="1" applyAlignment="1">
      <alignment horizontal="center" vertical="center"/>
    </xf>
    <xf numFmtId="164" fontId="55" fillId="0" borderId="16" xfId="77" applyNumberFormat="1" applyFont="1" applyFill="1" applyBorder="1" applyAlignment="1">
      <alignment horizontal="center" vertical="center"/>
    </xf>
    <xf numFmtId="164" fontId="51" fillId="0" borderId="16" xfId="77" quotePrefix="1" applyNumberFormat="1" applyFont="1" applyFill="1" applyBorder="1" applyAlignment="1">
      <alignment horizontal="center" vertical="center"/>
    </xf>
    <xf numFmtId="164" fontId="52" fillId="0" borderId="16" xfId="77" quotePrefix="1" applyNumberFormat="1" applyFont="1" applyFill="1" applyBorder="1" applyAlignment="1">
      <alignment horizontal="center" vertical="center"/>
    </xf>
    <xf numFmtId="164" fontId="34" fillId="0" borderId="16" xfId="77" quotePrefix="1" applyNumberFormat="1" applyFont="1" applyFill="1" applyBorder="1" applyAlignment="1">
      <alignment horizontal="center" vertical="center"/>
    </xf>
    <xf numFmtId="164" fontId="53" fillId="0" borderId="16" xfId="77" quotePrefix="1" applyNumberFormat="1" applyFont="1" applyFill="1" applyBorder="1" applyAlignment="1">
      <alignment horizontal="center" vertical="center"/>
    </xf>
    <xf numFmtId="164" fontId="34" fillId="0" borderId="22" xfId="77" applyNumberFormat="1" applyFont="1" applyFill="1" applyBorder="1" applyAlignment="1">
      <alignment horizontal="center" vertical="center"/>
    </xf>
    <xf numFmtId="0" fontId="34" fillId="0" borderId="16" xfId="56" applyNumberFormat="1" applyFont="1" applyBorder="1" applyAlignment="1">
      <alignment horizontal="center" vertical="center" wrapText="1"/>
    </xf>
    <xf numFmtId="164" fontId="49" fillId="0" borderId="16" xfId="77" applyNumberFormat="1" applyFont="1" applyFill="1" applyBorder="1" applyAlignment="1">
      <alignment horizontal="center" vertical="center"/>
    </xf>
    <xf numFmtId="164" fontId="52" fillId="0" borderId="21" xfId="77" applyNumberFormat="1" applyFont="1" applyFill="1" applyBorder="1" applyAlignment="1">
      <alignment horizontal="center" vertical="center"/>
    </xf>
    <xf numFmtId="0" fontId="52" fillId="0" borderId="16" xfId="79" applyFont="1" applyFill="1" applyBorder="1" applyAlignment="1">
      <alignment horizontal="center"/>
    </xf>
    <xf numFmtId="0" fontId="34" fillId="0" borderId="25" xfId="0" applyFont="1" applyBorder="1" applyAlignment="1">
      <alignment horizontal="center" vertical="center" wrapText="1"/>
    </xf>
    <xf numFmtId="14" fontId="34" fillId="0" borderId="25" xfId="0" applyNumberFormat="1" applyFont="1" applyBorder="1" applyAlignment="1">
      <alignment horizontal="center" vertical="center" wrapText="1"/>
    </xf>
    <xf numFmtId="164" fontId="34" fillId="0" borderId="25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14" fontId="34" fillId="0" borderId="32" xfId="0" applyNumberFormat="1" applyFont="1" applyBorder="1" applyAlignment="1">
      <alignment horizontal="center" vertical="center" wrapText="1"/>
    </xf>
    <xf numFmtId="164" fontId="34" fillId="0" borderId="25" xfId="29" applyNumberFormat="1" applyFont="1" applyBorder="1" applyAlignment="1">
      <alignment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53" fillId="0" borderId="16" xfId="78" applyNumberFormat="1" applyFont="1" applyFill="1" applyBorder="1" applyAlignment="1">
      <alignment horizontal="center" vertical="center" wrapText="1"/>
    </xf>
    <xf numFmtId="14" fontId="53" fillId="0" borderId="16" xfId="77" applyNumberFormat="1" applyFont="1" applyFill="1" applyBorder="1" applyAlignment="1">
      <alignment horizontal="center" vertical="center" wrapText="1"/>
    </xf>
    <xf numFmtId="164" fontId="53" fillId="0" borderId="16" xfId="77" applyNumberFormat="1" applyFont="1" applyFill="1" applyBorder="1" applyAlignment="1">
      <alignment horizontal="left" vertical="center" wrapText="1"/>
    </xf>
    <xf numFmtId="164" fontId="53" fillId="0" borderId="16" xfId="78" applyNumberFormat="1" applyFont="1" applyFill="1" applyBorder="1" applyAlignment="1">
      <alignment vertical="center" wrapText="1"/>
    </xf>
    <xf numFmtId="0" fontId="53" fillId="0" borderId="16" xfId="77" quotePrefix="1" applyNumberFormat="1" applyFont="1" applyFill="1" applyBorder="1" applyAlignment="1">
      <alignment horizontal="center" vertical="center" wrapText="1"/>
    </xf>
    <xf numFmtId="0" fontId="54" fillId="0" borderId="0" xfId="0" applyFont="1" applyAlignment="1">
      <alignment wrapText="1"/>
    </xf>
    <xf numFmtId="0" fontId="34" fillId="0" borderId="16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39" fillId="0" borderId="0" xfId="86" applyFont="1"/>
    <xf numFmtId="0" fontId="34" fillId="0" borderId="0" xfId="86" applyFont="1"/>
    <xf numFmtId="0" fontId="34" fillId="0" borderId="0" xfId="86" applyFont="1" applyAlignment="1">
      <alignment horizontal="right"/>
    </xf>
    <xf numFmtId="0" fontId="34" fillId="0" borderId="22" xfId="86" applyFont="1" applyBorder="1" applyAlignment="1">
      <alignment horizontal="center" vertical="center" wrapText="1"/>
    </xf>
    <xf numFmtId="0" fontId="34" fillId="0" borderId="22" xfId="86" applyFont="1" applyBorder="1" applyAlignment="1">
      <alignment vertical="center" wrapText="1"/>
    </xf>
    <xf numFmtId="164" fontId="34" fillId="0" borderId="22" xfId="87" applyNumberFormat="1" applyFont="1" applyBorder="1" applyAlignment="1">
      <alignment horizontal="center" vertical="center" wrapText="1"/>
    </xf>
    <xf numFmtId="0" fontId="34" fillId="0" borderId="16" xfId="86" applyFont="1" applyBorder="1" applyAlignment="1">
      <alignment horizontal="center" vertical="center" wrapText="1"/>
    </xf>
    <xf numFmtId="0" fontId="34" fillId="0" borderId="16" xfId="86" applyFont="1" applyBorder="1" applyAlignment="1">
      <alignment vertical="center" wrapText="1"/>
    </xf>
    <xf numFmtId="164" fontId="34" fillId="0" borderId="16" xfId="87" applyNumberFormat="1" applyFont="1" applyBorder="1" applyAlignment="1">
      <alignment horizontal="center" vertical="center" wrapText="1"/>
    </xf>
    <xf numFmtId="0" fontId="34" fillId="0" borderId="19" xfId="86" applyFont="1" applyBorder="1" applyAlignment="1">
      <alignment horizontal="center" vertical="center" wrapText="1"/>
    </xf>
    <xf numFmtId="164" fontId="39" fillId="26" borderId="2" xfId="87" applyNumberFormat="1" applyFont="1" applyFill="1" applyBorder="1" applyAlignment="1">
      <alignment horizontal="center" vertical="center" wrapText="1"/>
    </xf>
    <xf numFmtId="0" fontId="34" fillId="0" borderId="0" xfId="86" applyFont="1" applyAlignment="1">
      <alignment vertical="center"/>
    </xf>
    <xf numFmtId="164" fontId="56" fillId="0" borderId="0" xfId="0" applyNumberFormat="1" applyFont="1" applyAlignment="1">
      <alignment vertical="center" wrapText="1"/>
    </xf>
    <xf numFmtId="164" fontId="56" fillId="0" borderId="0" xfId="29" applyNumberFormat="1" applyFont="1" applyAlignment="1">
      <alignment vertical="center" wrapText="1"/>
    </xf>
    <xf numFmtId="164" fontId="22" fillId="0" borderId="0" xfId="29" applyNumberFormat="1" applyFont="1" applyAlignment="1">
      <alignment vertical="center" wrapText="1"/>
    </xf>
    <xf numFmtId="164" fontId="34" fillId="0" borderId="0" xfId="29" applyNumberFormat="1" applyFont="1" applyAlignment="1">
      <alignment horizontal="center" vertical="center" wrapText="1"/>
    </xf>
    <xf numFmtId="164" fontId="41" fillId="0" borderId="0" xfId="29" applyNumberFormat="1" applyFont="1" applyAlignment="1">
      <alignment vertical="center" wrapText="1"/>
    </xf>
    <xf numFmtId="164" fontId="42" fillId="0" borderId="0" xfId="29" applyNumberFormat="1" applyFont="1" applyAlignment="1">
      <alignment vertical="center" wrapText="1"/>
    </xf>
    <xf numFmtId="164" fontId="34" fillId="0" borderId="0" xfId="54" applyNumberFormat="1" applyFont="1" applyAlignment="1">
      <alignment vertical="center"/>
    </xf>
    <xf numFmtId="14" fontId="34" fillId="0" borderId="16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25" borderId="22" xfId="86" applyFont="1" applyFill="1" applyBorder="1" applyAlignment="1">
      <alignment horizontal="center" vertical="center" wrapText="1"/>
    </xf>
    <xf numFmtId="0" fontId="34" fillId="25" borderId="16" xfId="86" applyFont="1" applyFill="1" applyBorder="1" applyAlignment="1">
      <alignment vertical="center" wrapText="1"/>
    </xf>
    <xf numFmtId="164" fontId="34" fillId="25" borderId="16" xfId="87" applyNumberFormat="1" applyFont="1" applyFill="1" applyBorder="1" applyAlignment="1">
      <alignment horizontal="center" vertical="center" wrapText="1"/>
    </xf>
    <xf numFmtId="164" fontId="34" fillId="25" borderId="22" xfId="87" applyNumberFormat="1" applyFont="1" applyFill="1" applyBorder="1" applyAlignment="1">
      <alignment horizontal="center" vertical="center" wrapText="1"/>
    </xf>
    <xf numFmtId="0" fontId="34" fillId="0" borderId="17" xfId="77" applyFont="1" applyFill="1" applyBorder="1" applyAlignment="1">
      <alignment horizontal="center" vertical="center"/>
    </xf>
    <xf numFmtId="0" fontId="34" fillId="0" borderId="18" xfId="77" applyFont="1" applyFill="1" applyBorder="1" applyAlignment="1">
      <alignment horizontal="center" vertical="center"/>
    </xf>
    <xf numFmtId="49" fontId="34" fillId="0" borderId="2" xfId="77" applyNumberFormat="1" applyFont="1" applyFill="1" applyBorder="1" applyAlignment="1">
      <alignment horizontal="center" vertical="center"/>
    </xf>
    <xf numFmtId="0" fontId="34" fillId="0" borderId="2" xfId="77" applyNumberFormat="1" applyFont="1" applyFill="1" applyBorder="1" applyAlignment="1">
      <alignment horizontal="center" vertical="center" wrapText="1"/>
    </xf>
    <xf numFmtId="0" fontId="46" fillId="0" borderId="0" xfId="77" applyFont="1" applyFill="1" applyAlignment="1">
      <alignment horizontal="center" vertical="center"/>
    </xf>
    <xf numFmtId="0" fontId="36" fillId="0" borderId="0" xfId="77" applyFont="1" applyFill="1" applyAlignment="1">
      <alignment horizontal="center" vertical="center"/>
    </xf>
    <xf numFmtId="0" fontId="34" fillId="0" borderId="2" xfId="77" applyFont="1" applyFill="1" applyBorder="1" applyAlignment="1">
      <alignment horizontal="center" vertical="center" wrapText="1"/>
    </xf>
    <xf numFmtId="0" fontId="34" fillId="0" borderId="5" xfId="77" applyFont="1" applyFill="1" applyBorder="1" applyAlignment="1">
      <alignment horizontal="center" vertical="center" wrapText="1"/>
    </xf>
    <xf numFmtId="0" fontId="34" fillId="0" borderId="20" xfId="77" applyFont="1" applyFill="1" applyBorder="1" applyAlignment="1">
      <alignment horizontal="center" vertical="center" wrapText="1"/>
    </xf>
    <xf numFmtId="0" fontId="34" fillId="0" borderId="17" xfId="77" applyFont="1" applyFill="1" applyBorder="1" applyAlignment="1">
      <alignment horizontal="center" vertical="center" wrapText="1"/>
    </xf>
    <xf numFmtId="0" fontId="34" fillId="0" borderId="18" xfId="77" applyFont="1" applyFill="1" applyBorder="1" applyAlignment="1">
      <alignment horizontal="center" vertical="center" wrapText="1"/>
    </xf>
    <xf numFmtId="0" fontId="39" fillId="21" borderId="26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/>
    </xf>
    <xf numFmtId="0" fontId="38" fillId="0" borderId="24" xfId="59" applyFont="1" applyBorder="1" applyAlignment="1">
      <alignment horizontal="center" vertical="center"/>
    </xf>
    <xf numFmtId="0" fontId="39" fillId="21" borderId="17" xfId="54" applyFont="1" applyFill="1" applyBorder="1" applyAlignment="1">
      <alignment horizontal="center" vertical="center"/>
    </xf>
    <xf numFmtId="0" fontId="39" fillId="21" borderId="25" xfId="54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5" xfId="34" applyFont="1" applyBorder="1" applyAlignment="1">
      <alignment horizontal="center" vertical="center" wrapText="1"/>
    </xf>
    <xf numFmtId="164" fontId="39" fillId="0" borderId="0" xfId="55" applyNumberFormat="1" applyFont="1" applyAlignment="1">
      <alignment horizontal="center" vertical="center" wrapText="1"/>
    </xf>
    <xf numFmtId="164" fontId="34" fillId="0" borderId="0" xfId="55" applyNumberFormat="1" applyFont="1" applyAlignment="1">
      <alignment horizontal="center" vertical="center" wrapText="1"/>
    </xf>
    <xf numFmtId="0" fontId="34" fillId="0" borderId="0" xfId="53" applyFont="1" applyAlignment="1">
      <alignment horizontal="left" vertical="center"/>
    </xf>
    <xf numFmtId="0" fontId="34" fillId="0" borderId="0" xfId="53" applyFont="1" applyAlignment="1">
      <alignment horizontal="center" vertical="center"/>
    </xf>
    <xf numFmtId="0" fontId="34" fillId="0" borderId="24" xfId="53" applyFont="1" applyBorder="1" applyAlignment="1">
      <alignment horizontal="right" vertical="center"/>
    </xf>
    <xf numFmtId="0" fontId="34" fillId="0" borderId="2" xfId="53" applyFont="1" applyBorder="1" applyAlignment="1">
      <alignment horizontal="center" vertical="center"/>
    </xf>
    <xf numFmtId="0" fontId="34" fillId="0" borderId="2" xfId="53" applyFont="1" applyBorder="1" applyAlignment="1">
      <alignment horizontal="center" vertical="center" wrapText="1"/>
    </xf>
    <xf numFmtId="0" fontId="34" fillId="0" borderId="26" xfId="53" applyFont="1" applyBorder="1" applyAlignment="1">
      <alignment horizontal="center" vertical="center"/>
    </xf>
    <xf numFmtId="0" fontId="34" fillId="0" borderId="20" xfId="53" applyFont="1" applyBorder="1" applyAlignment="1">
      <alignment horizontal="center" vertical="center"/>
    </xf>
    <xf numFmtId="0" fontId="22" fillId="0" borderId="0" xfId="53" applyFont="1" applyAlignment="1">
      <alignment horizontal="center" vertical="center"/>
    </xf>
    <xf numFmtId="0" fontId="41" fillId="0" borderId="2" xfId="0" applyFont="1" applyBorder="1" applyAlignment="1">
      <alignment horizontal="center" vertical="center" wrapText="1"/>
    </xf>
    <xf numFmtId="0" fontId="56" fillId="25" borderId="26" xfId="0" applyFont="1" applyFill="1" applyBorder="1" applyAlignment="1">
      <alignment horizontal="center" vertical="center" wrapText="1"/>
    </xf>
    <xf numFmtId="0" fontId="56" fillId="25" borderId="20" xfId="0" applyFont="1" applyFill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41" fillId="0" borderId="22" xfId="0" applyNumberFormat="1" applyFont="1" applyBorder="1" applyAlignment="1">
      <alignment horizontal="center" vertical="center" wrapText="1"/>
    </xf>
    <xf numFmtId="164" fontId="41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41" fillId="0" borderId="16" xfId="29" applyNumberFormat="1" applyFont="1" applyBorder="1" applyAlignment="1">
      <alignment horizontal="center" vertical="center" wrapText="1"/>
    </xf>
    <xf numFmtId="14" fontId="41" fillId="0" borderId="16" xfId="0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 vertical="center" wrapText="1"/>
    </xf>
    <xf numFmtId="164" fontId="34" fillId="0" borderId="25" xfId="29" applyNumberFormat="1" applyFont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 wrapText="1"/>
    </xf>
    <xf numFmtId="164" fontId="41" fillId="0" borderId="22" xfId="29" applyNumberFormat="1" applyFont="1" applyBorder="1" applyAlignment="1">
      <alignment horizontal="center" vertical="center" wrapText="1"/>
    </xf>
    <xf numFmtId="164" fontId="34" fillId="0" borderId="12" xfId="29" applyNumberFormat="1" applyFont="1" applyBorder="1" applyAlignment="1">
      <alignment horizontal="center" vertical="center" wrapText="1"/>
    </xf>
    <xf numFmtId="164" fontId="34" fillId="0" borderId="19" xfId="29" applyNumberFormat="1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14" fontId="34" fillId="0" borderId="21" xfId="0" applyNumberFormat="1" applyFont="1" applyBorder="1" applyAlignment="1">
      <alignment horizontal="center" vertical="center" wrapText="1"/>
    </xf>
    <xf numFmtId="14" fontId="22" fillId="0" borderId="0" xfId="0" applyNumberFormat="1" applyFont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164" fontId="39" fillId="0" borderId="30" xfId="29" applyNumberFormat="1" applyFont="1" applyBorder="1" applyAlignment="1">
      <alignment horizontal="center" vertical="center" wrapText="1"/>
    </xf>
    <xf numFmtId="164" fontId="39" fillId="0" borderId="33" xfId="29" applyNumberFormat="1" applyFont="1" applyBorder="1" applyAlignment="1">
      <alignment horizontal="center" vertical="center" wrapText="1"/>
    </xf>
    <xf numFmtId="164" fontId="39" fillId="0" borderId="31" xfId="29" applyNumberFormat="1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14" fontId="34" fillId="0" borderId="25" xfId="0" applyNumberFormat="1" applyFont="1" applyBorder="1" applyAlignment="1">
      <alignment horizontal="center" vertical="center" wrapText="1"/>
    </xf>
    <xf numFmtId="164" fontId="34" fillId="0" borderId="32" xfId="29" applyNumberFormat="1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14" fontId="34" fillId="0" borderId="12" xfId="29" applyNumberFormat="1" applyFont="1" applyBorder="1" applyAlignment="1">
      <alignment horizontal="center" vertical="center" wrapText="1"/>
    </xf>
    <xf numFmtId="14" fontId="34" fillId="0" borderId="16" xfId="29" applyNumberFormat="1" applyFont="1" applyBorder="1" applyAlignment="1">
      <alignment horizontal="center" vertical="center" wrapText="1"/>
    </xf>
    <xf numFmtId="0" fontId="34" fillId="0" borderId="19" xfId="0" applyFont="1" applyBorder="1" applyAlignment="1">
      <alignment horizontal="center" vertical="center" wrapText="1"/>
    </xf>
    <xf numFmtId="14" fontId="34" fillId="0" borderId="21" xfId="29" applyNumberFormat="1" applyFont="1" applyBorder="1" applyAlignment="1">
      <alignment horizontal="center" vertical="center" wrapText="1"/>
    </xf>
    <xf numFmtId="14" fontId="34" fillId="0" borderId="19" xfId="29" applyNumberFormat="1" applyFont="1" applyBorder="1" applyAlignment="1">
      <alignment horizontal="center" vertical="center" wrapText="1"/>
    </xf>
    <xf numFmtId="3" fontId="34" fillId="0" borderId="2" xfId="46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14" fontId="34" fillId="0" borderId="17" xfId="0" applyNumberFormat="1" applyFont="1" applyBorder="1" applyAlignment="1">
      <alignment horizontal="center" vertical="center" wrapText="1"/>
    </xf>
    <xf numFmtId="14" fontId="34" fillId="0" borderId="18" xfId="0" applyNumberFormat="1" applyFont="1" applyBorder="1" applyAlignment="1">
      <alignment horizontal="center" vertical="center" wrapText="1"/>
    </xf>
    <xf numFmtId="164" fontId="34" fillId="0" borderId="17" xfId="29" applyNumberFormat="1" applyFont="1" applyBorder="1" applyAlignment="1">
      <alignment horizontal="center" vertical="center" wrapText="1"/>
    </xf>
    <xf numFmtId="164" fontId="34" fillId="0" borderId="18" xfId="29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9" fillId="0" borderId="26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34" fillId="0" borderId="21" xfId="0" quotePrefix="1" applyFont="1" applyBorder="1" applyAlignment="1">
      <alignment horizontal="center" vertical="center" wrapText="1"/>
    </xf>
    <xf numFmtId="0" fontId="39" fillId="0" borderId="2" xfId="86" applyFont="1" applyBorder="1" applyAlignment="1">
      <alignment horizontal="center" vertical="center" wrapText="1"/>
    </xf>
    <xf numFmtId="0" fontId="39" fillId="26" borderId="2" xfId="86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88" applyNumberFormat="1" applyFont="1" applyFill="1" applyBorder="1" applyAlignment="1">
      <alignment horizontal="center" vertical="center"/>
    </xf>
    <xf numFmtId="164" fontId="34" fillId="0" borderId="16" xfId="88" applyNumberFormat="1" applyFont="1" applyFill="1" applyBorder="1" applyAlignment="1">
      <alignment horizontal="left" vertical="center"/>
    </xf>
    <xf numFmtId="164" fontId="34" fillId="0" borderId="16" xfId="88" quotePrefix="1" applyNumberFormat="1" applyFont="1" applyFill="1" applyBorder="1" applyAlignment="1">
      <alignment horizontal="center" vertical="center"/>
    </xf>
    <xf numFmtId="49" fontId="34" fillId="0" borderId="16" xfId="88" applyNumberFormat="1" applyFont="1" applyFill="1" applyBorder="1" applyAlignment="1">
      <alignment horizontal="left" vertical="center"/>
    </xf>
    <xf numFmtId="0" fontId="34" fillId="0" borderId="16" xfId="88" quotePrefix="1" applyNumberFormat="1" applyFont="1" applyFill="1" applyBorder="1" applyAlignment="1">
      <alignment horizontal="center" vertical="center"/>
    </xf>
    <xf numFmtId="164" fontId="34" fillId="0" borderId="16" xfId="88" applyNumberFormat="1" applyFont="1" applyFill="1" applyBorder="1" applyAlignment="1">
      <alignment horizontal="center" vertical="center"/>
    </xf>
    <xf numFmtId="14" fontId="53" fillId="0" borderId="16" xfId="88" applyNumberFormat="1" applyFont="1" applyFill="1" applyBorder="1" applyAlignment="1">
      <alignment horizontal="center" vertical="center"/>
    </xf>
    <xf numFmtId="164" fontId="53" fillId="0" borderId="16" xfId="88" applyNumberFormat="1" applyFont="1" applyFill="1" applyBorder="1" applyAlignment="1">
      <alignment horizontal="left" vertical="center"/>
    </xf>
    <xf numFmtId="164" fontId="53" fillId="0" borderId="16" xfId="88" quotePrefix="1" applyNumberFormat="1" applyFont="1" applyFill="1" applyBorder="1" applyAlignment="1">
      <alignment horizontal="center" vertical="center"/>
    </xf>
    <xf numFmtId="49" fontId="53" fillId="0" borderId="16" xfId="88" applyNumberFormat="1" applyFont="1" applyFill="1" applyBorder="1" applyAlignment="1">
      <alignment horizontal="left" vertical="center"/>
    </xf>
    <xf numFmtId="0" fontId="53" fillId="0" borderId="16" xfId="88" quotePrefix="1" applyNumberFormat="1" applyFont="1" applyFill="1" applyBorder="1" applyAlignment="1">
      <alignment horizontal="center" vertical="center"/>
    </xf>
  </cellXfs>
  <cellStyles count="8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5"/>
    <cellStyle name="Comma 3" xfId="81"/>
    <cellStyle name="Comma 4" xfId="82"/>
    <cellStyle name="Comma 5" xfId="83"/>
    <cellStyle name="Comma 6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6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8"/>
    <cellStyle name="Normal 3" xfId="84"/>
    <cellStyle name="Normal 4" xfId="85"/>
    <cellStyle name="Normal 5" xfId="86"/>
    <cellStyle name="Normal_331-09" xfId="52"/>
    <cellStyle name="Normal_Bao cao" xfId="74"/>
    <cellStyle name="Normal_Copy of Ke-toan-mo-phong-mauso_ke_toan_NKC_excel-2" xfId="53"/>
    <cellStyle name="Normal_Copy of Ke-toan-mo-phong-mauso_ke_toan_NKC_excel-2 2" xfId="79"/>
    <cellStyle name="Normal_Ctkt08" xfId="54"/>
    <cellStyle name="Normal_ketoanthucte_NhatKySoCai" xfId="55"/>
    <cellStyle name="Normal_ketoanthucte_NhatKySoCai 2" xfId="77"/>
    <cellStyle name="Normal_ketoanthucte_NhatKySoCai 2 2" xfId="88"/>
    <cellStyle name="Normal_TM-14" xfId="56"/>
    <cellStyle name="Note" xfId="57" builtinId="10" customBuiltin="1"/>
    <cellStyle name="Output" xfId="58" builtinId="21" customBuiltin="1"/>
    <cellStyle name="TD1" xfId="59"/>
    <cellStyle name="Title" xfId="60" builtinId="15" customBuiltin="1"/>
    <cellStyle name="Total" xfId="61" builtinId="25" customBuiltin="1"/>
    <cellStyle name="Tua de so" xfId="80"/>
    <cellStyle name="Warning Text" xfId="62" builtinId="11" customBuiltin="1"/>
    <cellStyle name="똿뗦먛귟 [0.00]_PRODUCT DETAIL Q1" xfId="63"/>
    <cellStyle name="똿뗦먛귟_PRODUCT DETAIL Q1" xfId="64"/>
    <cellStyle name="믅됞 [0.00]_PRODUCT DETAIL Q1" xfId="65"/>
    <cellStyle name="믅됞_PRODUCT DETAIL Q1" xfId="66"/>
    <cellStyle name="백분율_HOBONG" xfId="67"/>
    <cellStyle name="뷭?_BOOKSHIP" xfId="68"/>
    <cellStyle name="콤마 [0]_1202" xfId="69"/>
    <cellStyle name="콤마_1202" xfId="70"/>
    <cellStyle name="통화 [0]_1202" xfId="71"/>
    <cellStyle name="통화_1202" xfId="72"/>
    <cellStyle name="표준_(정보부문)월별인원계획" xfId="73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C41" sqref="C41:H41"/>
    </sheetView>
  </sheetViews>
  <sheetFormatPr defaultColWidth="8" defaultRowHeight="13.5"/>
  <cols>
    <col min="1" max="1" width="7.42578125" style="47" customWidth="1"/>
    <col min="2" max="2" width="35.85546875" style="47" customWidth="1"/>
    <col min="3" max="3" width="14.5703125" style="46" customWidth="1"/>
    <col min="4" max="4" width="13.5703125" style="46" customWidth="1"/>
    <col min="5" max="5" width="15.140625" style="47" customWidth="1"/>
    <col min="6" max="6" width="17.28515625" style="47" customWidth="1"/>
    <col min="7" max="7" width="13.85546875" style="47" customWidth="1"/>
    <col min="8" max="8" width="14.7109375" style="47" customWidth="1"/>
    <col min="9" max="9" width="6.140625" style="47" customWidth="1"/>
    <col min="10" max="10" width="15.42578125" style="47" customWidth="1"/>
    <col min="11" max="11" width="13.7109375" style="47" customWidth="1"/>
    <col min="12" max="16384" width="8" style="47"/>
  </cols>
  <sheetData>
    <row r="1" spans="1:12">
      <c r="A1" s="45" t="s">
        <v>191</v>
      </c>
      <c r="B1" s="45"/>
    </row>
    <row r="2" spans="1:12">
      <c r="A2" s="45" t="s">
        <v>192</v>
      </c>
      <c r="B2" s="45"/>
    </row>
    <row r="3" spans="1:12">
      <c r="A3" s="45" t="s">
        <v>193</v>
      </c>
      <c r="B3" s="45"/>
    </row>
    <row r="5" spans="1:12" ht="15.75">
      <c r="A5" s="48" t="s">
        <v>194</v>
      </c>
      <c r="B5" s="48"/>
      <c r="C5" s="49"/>
      <c r="D5" s="49"/>
      <c r="E5" s="48"/>
      <c r="F5" s="48"/>
      <c r="G5" s="48"/>
      <c r="H5" s="48"/>
    </row>
    <row r="6" spans="1:12" ht="15.75">
      <c r="A6" s="50" t="s">
        <v>195</v>
      </c>
      <c r="B6" s="48"/>
      <c r="C6" s="49"/>
      <c r="D6" s="49"/>
      <c r="E6" s="48"/>
      <c r="F6" s="48"/>
      <c r="G6" s="48"/>
      <c r="H6" s="48"/>
    </row>
    <row r="8" spans="1:12">
      <c r="A8" s="51"/>
      <c r="B8" s="51" t="s">
        <v>196</v>
      </c>
      <c r="C8" s="52" t="s">
        <v>197</v>
      </c>
      <c r="D8" s="52"/>
      <c r="E8" s="53" t="s">
        <v>198</v>
      </c>
      <c r="F8" s="53"/>
      <c r="G8" s="53" t="s">
        <v>199</v>
      </c>
      <c r="H8" s="53"/>
    </row>
    <row r="9" spans="1:12">
      <c r="A9" s="54" t="s">
        <v>200</v>
      </c>
      <c r="B9" s="54"/>
      <c r="C9" s="52" t="s">
        <v>201</v>
      </c>
      <c r="D9" s="52" t="s">
        <v>202</v>
      </c>
      <c r="E9" s="53" t="s">
        <v>201</v>
      </c>
      <c r="F9" s="53" t="s">
        <v>202</v>
      </c>
      <c r="G9" s="53" t="s">
        <v>201</v>
      </c>
      <c r="H9" s="53" t="s">
        <v>202</v>
      </c>
    </row>
    <row r="10" spans="1:12" s="46" customFormat="1">
      <c r="A10" s="55" t="s">
        <v>203</v>
      </c>
      <c r="B10" s="56" t="s">
        <v>204</v>
      </c>
      <c r="C10" s="57"/>
      <c r="D10" s="57"/>
      <c r="E10" s="57">
        <f t="array" ref="E10">SUM(IF(A10=KHN,TH))</f>
        <v>8000000000</v>
      </c>
      <c r="F10" s="57">
        <f t="array" ref="F10">SUM(IF(A10=KHC,TH))</f>
        <v>7278416392</v>
      </c>
      <c r="G10" s="58">
        <f>MAX(C10+E10-D10-F10,0)</f>
        <v>721583608</v>
      </c>
      <c r="H10" s="58">
        <f>MAX(D10+F10-E10-C10,0)</f>
        <v>0</v>
      </c>
      <c r="K10" s="59"/>
      <c r="L10" s="59"/>
    </row>
    <row r="11" spans="1:12" s="46" customFormat="1">
      <c r="A11" s="60" t="s">
        <v>33</v>
      </c>
      <c r="B11" s="61" t="s">
        <v>205</v>
      </c>
      <c r="C11" s="62"/>
      <c r="D11" s="62"/>
      <c r="E11" s="62">
        <f>E10</f>
        <v>8000000000</v>
      </c>
      <c r="F11" s="62">
        <f>F10</f>
        <v>7278416392</v>
      </c>
      <c r="G11" s="62">
        <f>G10</f>
        <v>721583608</v>
      </c>
      <c r="H11" s="62">
        <f>H10</f>
        <v>0</v>
      </c>
    </row>
    <row r="12" spans="1:12" s="46" customFormat="1">
      <c r="A12" s="63" t="s">
        <v>54</v>
      </c>
      <c r="B12" s="56" t="s">
        <v>206</v>
      </c>
      <c r="C12" s="57"/>
      <c r="D12" s="57"/>
      <c r="E12" s="57">
        <f t="array" ref="E12">SUM(IF(A12=KHN,TH))</f>
        <v>26850032441</v>
      </c>
      <c r="F12" s="57">
        <f t="array" ref="F12">SUM(IF(A12=KHC,TH))</f>
        <v>26841840878</v>
      </c>
      <c r="G12" s="58">
        <f>MAX(C12+E12-D12-F12,0)</f>
        <v>8191563</v>
      </c>
      <c r="H12" s="58">
        <f>MAX(D12+F12-E12-C12,0)</f>
        <v>0</v>
      </c>
      <c r="K12" s="59"/>
      <c r="L12" s="59"/>
    </row>
    <row r="13" spans="1:12" s="46" customFormat="1">
      <c r="A13" s="60" t="s">
        <v>207</v>
      </c>
      <c r="B13" s="61" t="s">
        <v>208</v>
      </c>
      <c r="C13" s="62"/>
      <c r="D13" s="62"/>
      <c r="E13" s="62">
        <f>E12</f>
        <v>26850032441</v>
      </c>
      <c r="F13" s="62">
        <f>F12</f>
        <v>26841840878</v>
      </c>
      <c r="G13" s="62">
        <f>MAX(C13+E13-D13-F13,0)</f>
        <v>8191563</v>
      </c>
      <c r="H13" s="62">
        <f>MAX(D13+F13-E13-C13,0)</f>
        <v>0</v>
      </c>
    </row>
    <row r="14" spans="1:12" s="46" customFormat="1">
      <c r="A14" s="63" t="s">
        <v>19</v>
      </c>
      <c r="B14" s="56" t="s">
        <v>209</v>
      </c>
      <c r="C14" s="57"/>
      <c r="D14" s="57"/>
      <c r="E14" s="57">
        <f t="array" ref="E14">SUM(IF(A14=KHN,TH))</f>
        <v>1738368873</v>
      </c>
      <c r="F14" s="57">
        <f t="array" ref="F14">SUM(IF(A14=KHC,TH))</f>
        <v>0</v>
      </c>
      <c r="G14" s="58">
        <f>MAX(C14+E14-D14-F14,0)</f>
        <v>1738368873</v>
      </c>
      <c r="H14" s="58">
        <f>MAX(D14+F14-E14-C14,0)</f>
        <v>0</v>
      </c>
    </row>
    <row r="15" spans="1:12" s="46" customFormat="1">
      <c r="A15" s="60" t="s">
        <v>210</v>
      </c>
      <c r="B15" s="61" t="s">
        <v>211</v>
      </c>
      <c r="C15" s="62"/>
      <c r="D15" s="62"/>
      <c r="E15" s="62">
        <f>E14</f>
        <v>1738368873</v>
      </c>
      <c r="F15" s="62">
        <f>F14</f>
        <v>0</v>
      </c>
      <c r="G15" s="62">
        <f>G14</f>
        <v>1738368873</v>
      </c>
      <c r="H15" s="62">
        <f>H14</f>
        <v>0</v>
      </c>
    </row>
    <row r="16" spans="1:12" s="46" customFormat="1">
      <c r="A16" s="63" t="s">
        <v>212</v>
      </c>
      <c r="B16" s="56" t="s">
        <v>213</v>
      </c>
      <c r="C16" s="57"/>
      <c r="D16" s="57"/>
      <c r="E16" s="57">
        <f t="array" ref="E16">SUM(IF(A16=KHN,TH))</f>
        <v>184500000</v>
      </c>
      <c r="F16" s="57">
        <f t="array" ref="F16">SUM(IF(A16=KHC,TH))</f>
        <v>184500000</v>
      </c>
      <c r="G16" s="58">
        <f t="shared" ref="G16:G22" si="0">MAX(C16+E16-D16-F16,0)</f>
        <v>0</v>
      </c>
      <c r="H16" s="58">
        <f t="shared" ref="H16:H22" si="1">MAX(D16+F16-E16-C16,0)</f>
        <v>0</v>
      </c>
    </row>
    <row r="17" spans="1:9" s="46" customFormat="1">
      <c r="A17" s="60" t="s">
        <v>214</v>
      </c>
      <c r="B17" s="61" t="s">
        <v>215</v>
      </c>
      <c r="C17" s="62"/>
      <c r="D17" s="62"/>
      <c r="E17" s="62">
        <f>E16</f>
        <v>184500000</v>
      </c>
      <c r="F17" s="62">
        <f>F16</f>
        <v>184500000</v>
      </c>
      <c r="G17" s="62">
        <f t="shared" si="0"/>
        <v>0</v>
      </c>
      <c r="H17" s="62">
        <f t="shared" si="1"/>
        <v>0</v>
      </c>
    </row>
    <row r="18" spans="1:9" s="46" customFormat="1">
      <c r="A18" s="63" t="s">
        <v>669</v>
      </c>
      <c r="B18" s="56" t="s">
        <v>670</v>
      </c>
      <c r="C18" s="57"/>
      <c r="D18" s="57"/>
      <c r="E18" s="57">
        <f t="array" ref="E18">SUM(IF(A18=KHN,TH))</f>
        <v>18534589557</v>
      </c>
      <c r="F18" s="57">
        <f t="array" ref="F18">SUM(IF(A18=KHC,TH))</f>
        <v>0</v>
      </c>
      <c r="G18" s="58">
        <f t="shared" si="0"/>
        <v>18534589557</v>
      </c>
      <c r="H18" s="58">
        <f t="shared" si="1"/>
        <v>0</v>
      </c>
    </row>
    <row r="19" spans="1:9" s="46" customFormat="1">
      <c r="A19" s="60" t="s">
        <v>671</v>
      </c>
      <c r="B19" s="61" t="s">
        <v>672</v>
      </c>
      <c r="C19" s="62"/>
      <c r="D19" s="62"/>
      <c r="E19" s="62">
        <f>E18</f>
        <v>18534589557</v>
      </c>
      <c r="F19" s="62">
        <f>F18</f>
        <v>0</v>
      </c>
      <c r="G19" s="62">
        <f t="shared" si="0"/>
        <v>18534589557</v>
      </c>
      <c r="H19" s="62">
        <f t="shared" si="1"/>
        <v>0</v>
      </c>
    </row>
    <row r="20" spans="1:9" s="46" customFormat="1">
      <c r="A20" s="60" t="s">
        <v>18</v>
      </c>
      <c r="B20" s="61" t="s">
        <v>216</v>
      </c>
      <c r="C20" s="62"/>
      <c r="D20" s="62"/>
      <c r="E20" s="145">
        <f t="array" ref="E20">SUM(IF(A20=KHN,TH))</f>
        <v>25281697509</v>
      </c>
      <c r="F20" s="145">
        <f t="array" ref="F20">SUM(IF(A20=KHC,TH))</f>
        <v>18606095033</v>
      </c>
      <c r="G20" s="62">
        <f t="shared" si="0"/>
        <v>6675602476</v>
      </c>
      <c r="H20" s="62">
        <f t="shared" si="1"/>
        <v>0</v>
      </c>
    </row>
    <row r="21" spans="1:9" s="46" customFormat="1">
      <c r="A21" s="63" t="s">
        <v>217</v>
      </c>
      <c r="B21" s="56" t="s">
        <v>218</v>
      </c>
      <c r="C21" s="57"/>
      <c r="D21" s="57"/>
      <c r="E21" s="57">
        <f t="array" ref="E21">SUM(IF(A21=KHN,TH))</f>
        <v>0</v>
      </c>
      <c r="F21" s="57">
        <f t="array" ref="F21">SUM(IF(A21=KHC,TH))</f>
        <v>0</v>
      </c>
      <c r="G21" s="57">
        <f t="shared" si="0"/>
        <v>0</v>
      </c>
      <c r="H21" s="57">
        <f t="shared" si="1"/>
        <v>0</v>
      </c>
      <c r="I21" s="46">
        <f t="shared" ref="I21:I26" si="2">E21-F21</f>
        <v>0</v>
      </c>
    </row>
    <row r="22" spans="1:9" s="46" customFormat="1">
      <c r="A22" s="66" t="s">
        <v>219</v>
      </c>
      <c r="B22" s="67" t="s">
        <v>220</v>
      </c>
      <c r="C22" s="65"/>
      <c r="D22" s="65"/>
      <c r="E22" s="65">
        <f t="array" ref="E22">SUM(IF(A22=KHN,TH))</f>
        <v>11250000</v>
      </c>
      <c r="F22" s="65">
        <f t="array" ref="F22">SUM(IF(A22=KHC,TH))</f>
        <v>11250000</v>
      </c>
      <c r="G22" s="65">
        <f t="shared" si="0"/>
        <v>0</v>
      </c>
      <c r="H22" s="65">
        <f t="shared" si="1"/>
        <v>0</v>
      </c>
      <c r="I22" s="46">
        <f t="shared" si="2"/>
        <v>0</v>
      </c>
    </row>
    <row r="23" spans="1:9" s="46" customFormat="1">
      <c r="A23" s="63" t="s">
        <v>40</v>
      </c>
      <c r="B23" s="56" t="s">
        <v>221</v>
      </c>
      <c r="C23" s="57"/>
      <c r="D23" s="57"/>
      <c r="E23" s="57">
        <f>E22</f>
        <v>11250000</v>
      </c>
      <c r="F23" s="57">
        <f>F22</f>
        <v>11250000</v>
      </c>
      <c r="G23" s="57">
        <f>G22</f>
        <v>0</v>
      </c>
      <c r="H23" s="57">
        <f>H22</f>
        <v>0</v>
      </c>
      <c r="I23" s="46">
        <f t="shared" si="2"/>
        <v>0</v>
      </c>
    </row>
    <row r="24" spans="1:9" s="46" customFormat="1">
      <c r="A24" s="60" t="s">
        <v>222</v>
      </c>
      <c r="B24" s="61" t="s">
        <v>223</v>
      </c>
      <c r="C24" s="62"/>
      <c r="D24" s="62"/>
      <c r="E24" s="62">
        <f>E21+E23</f>
        <v>11250000</v>
      </c>
      <c r="F24" s="62">
        <f>F21+F23</f>
        <v>11250000</v>
      </c>
      <c r="G24" s="62">
        <f>G21+G23</f>
        <v>0</v>
      </c>
      <c r="H24" s="62">
        <f>H21+H23</f>
        <v>0</v>
      </c>
      <c r="I24" s="46">
        <f t="shared" si="2"/>
        <v>0</v>
      </c>
    </row>
    <row r="25" spans="1:9" s="46" customFormat="1">
      <c r="A25" s="63" t="s">
        <v>39</v>
      </c>
      <c r="B25" s="56" t="s">
        <v>224</v>
      </c>
      <c r="C25" s="57"/>
      <c r="D25" s="57"/>
      <c r="E25" s="57">
        <f t="array" ref="E25">SUM(IF(A25=KHN,TH))</f>
        <v>1566576985</v>
      </c>
      <c r="F25" s="57">
        <f t="array" ref="F25">SUM(IF(A25=KHC,TH))</f>
        <v>5566576985</v>
      </c>
      <c r="G25" s="57">
        <f>MAX(C25+E25-D25-F25,0)</f>
        <v>0</v>
      </c>
      <c r="H25" s="57">
        <f>MAX(D25+F25-E25-C25,0)</f>
        <v>4000000000</v>
      </c>
      <c r="I25" s="46">
        <f t="shared" si="2"/>
        <v>-4000000000</v>
      </c>
    </row>
    <row r="26" spans="1:9" s="46" customFormat="1">
      <c r="A26" s="60" t="s">
        <v>225</v>
      </c>
      <c r="B26" s="61" t="s">
        <v>226</v>
      </c>
      <c r="C26" s="62"/>
      <c r="D26" s="62"/>
      <c r="E26" s="62">
        <f>E25</f>
        <v>1566576985</v>
      </c>
      <c r="F26" s="62">
        <f>F25</f>
        <v>5566576985</v>
      </c>
      <c r="G26" s="62">
        <f>G25</f>
        <v>0</v>
      </c>
      <c r="H26" s="62">
        <f>H25</f>
        <v>4000000000</v>
      </c>
      <c r="I26" s="46">
        <f t="shared" si="2"/>
        <v>-4000000000</v>
      </c>
    </row>
    <row r="27" spans="1:9" s="46" customFormat="1">
      <c r="A27" s="55" t="s">
        <v>227</v>
      </c>
      <c r="B27" s="56" t="s">
        <v>228</v>
      </c>
      <c r="C27" s="57"/>
      <c r="D27" s="57"/>
      <c r="E27" s="57">
        <f t="array" ref="E27">SUM(IF(A27=KHN,TH))</f>
        <v>0</v>
      </c>
      <c r="F27" s="57">
        <f t="array" ref="F27">SUM(IF(A27=KHC,TH))</f>
        <v>20000000000</v>
      </c>
      <c r="G27" s="58">
        <f>MAX(C27+E27-D27-F27,0)</f>
        <v>0</v>
      </c>
      <c r="H27" s="58">
        <f>MAX(D27+F27-E27-C27,0)</f>
        <v>20000000000</v>
      </c>
    </row>
    <row r="28" spans="1:9" s="46" customFormat="1">
      <c r="A28" s="64" t="s">
        <v>97</v>
      </c>
      <c r="B28" s="61" t="s">
        <v>229</v>
      </c>
      <c r="C28" s="62"/>
      <c r="D28" s="62"/>
      <c r="E28" s="62">
        <f>E27</f>
        <v>0</v>
      </c>
      <c r="F28" s="62">
        <f>F27</f>
        <v>20000000000</v>
      </c>
      <c r="G28" s="62">
        <f>G27</f>
        <v>0</v>
      </c>
      <c r="H28" s="62">
        <f>H27</f>
        <v>20000000000</v>
      </c>
    </row>
    <row r="29" spans="1:9" s="46" customFormat="1">
      <c r="A29" s="63" t="s">
        <v>55</v>
      </c>
      <c r="B29" s="56" t="s">
        <v>230</v>
      </c>
      <c r="C29" s="57"/>
      <c r="D29" s="57"/>
      <c r="E29" s="57">
        <f t="array" ref="E29">SUM(IF(A29=KHN,TH))</f>
        <v>0</v>
      </c>
      <c r="F29" s="57">
        <f t="array" ref="F29">SUM(IF(A29=KHC,TH))</f>
        <v>4000000000</v>
      </c>
      <c r="G29" s="58">
        <f>MAX(C29+E29-D29-F29,0)</f>
        <v>0</v>
      </c>
      <c r="H29" s="58">
        <f>MAX(D29+F29-E29-C29,0)</f>
        <v>4000000000</v>
      </c>
    </row>
    <row r="30" spans="1:9" s="46" customFormat="1">
      <c r="A30" s="60" t="s">
        <v>231</v>
      </c>
      <c r="B30" s="61" t="s">
        <v>232</v>
      </c>
      <c r="C30" s="62"/>
      <c r="D30" s="62"/>
      <c r="E30" s="62">
        <f>E29</f>
        <v>0</v>
      </c>
      <c r="F30" s="62">
        <f>F29</f>
        <v>4000000000</v>
      </c>
      <c r="G30" s="62">
        <f>MAX(C30+E30-D30-F30,0)</f>
        <v>0</v>
      </c>
      <c r="H30" s="62">
        <f>MAX(D30+F30-E30-C30,0)</f>
        <v>4000000000</v>
      </c>
    </row>
    <row r="31" spans="1:9" s="46" customFormat="1">
      <c r="A31" s="55" t="s">
        <v>233</v>
      </c>
      <c r="B31" s="56" t="s">
        <v>234</v>
      </c>
      <c r="C31" s="57"/>
      <c r="D31" s="57"/>
      <c r="E31" s="57">
        <f t="array" ref="E31">SUM(IF(A31=KHN,TH))</f>
        <v>0</v>
      </c>
      <c r="F31" s="57">
        <f t="array" ref="F31">SUM(IF(A31=KHC,TH))</f>
        <v>0</v>
      </c>
      <c r="G31" s="58">
        <f>MAX(C31+E31-D31-F31,0)</f>
        <v>0</v>
      </c>
      <c r="H31" s="58">
        <f>MAX(D31+F31-E31-C31,0)</f>
        <v>0</v>
      </c>
    </row>
    <row r="32" spans="1:9" s="46" customFormat="1">
      <c r="A32" s="63" t="s">
        <v>235</v>
      </c>
      <c r="B32" s="56" t="s">
        <v>236</v>
      </c>
      <c r="C32" s="57"/>
      <c r="D32" s="57"/>
      <c r="E32" s="57">
        <f t="array" ref="E32">SUM(IF(A32=TH!$J$10:$J$1053,TH!$I$10:$I$1053))</f>
        <v>321663923</v>
      </c>
      <c r="F32" s="57">
        <f t="array" ref="F32">SUM(IF(A32=TH!$K$10:$K$1053,TH!$I$10:$I$1053))</f>
        <v>0</v>
      </c>
      <c r="G32" s="57">
        <f>MAX(C32+E32-D32-F32,0)</f>
        <v>321663923</v>
      </c>
      <c r="H32" s="57">
        <f>MAX(D32+F32-E32-C32,0)</f>
        <v>0</v>
      </c>
    </row>
    <row r="33" spans="1:9" s="46" customFormat="1">
      <c r="A33" s="60" t="s">
        <v>237</v>
      </c>
      <c r="B33" s="61" t="s">
        <v>238</v>
      </c>
      <c r="C33" s="62"/>
      <c r="D33" s="62"/>
      <c r="E33" s="62">
        <f>E32+E31</f>
        <v>321663923</v>
      </c>
      <c r="F33" s="62">
        <f>F32+F31</f>
        <v>0</v>
      </c>
      <c r="G33" s="62">
        <f>G32+G31</f>
        <v>321663923</v>
      </c>
      <c r="H33" s="62">
        <f>H32+H31</f>
        <v>0</v>
      </c>
    </row>
    <row r="34" spans="1:9" s="46" customFormat="1">
      <c r="A34" s="60" t="s">
        <v>99</v>
      </c>
      <c r="B34" s="61" t="s">
        <v>239</v>
      </c>
      <c r="C34" s="62"/>
      <c r="D34" s="62"/>
      <c r="E34" s="145">
        <f t="array" ref="E34">SUM(IF(A34=KHN,TH))</f>
        <v>2155456</v>
      </c>
      <c r="F34" s="145">
        <f t="array" ref="F34">SUM(IF(A34=KHC,TH))</f>
        <v>2155456</v>
      </c>
      <c r="G34" s="62"/>
      <c r="H34" s="62"/>
      <c r="I34" s="46">
        <f t="shared" ref="I34:I40" si="3">E34-F34</f>
        <v>0</v>
      </c>
    </row>
    <row r="35" spans="1:9" s="46" customFormat="1" ht="12.75" customHeight="1">
      <c r="A35" s="60" t="s">
        <v>240</v>
      </c>
      <c r="B35" s="61" t="s">
        <v>241</v>
      </c>
      <c r="C35" s="62"/>
      <c r="D35" s="62"/>
      <c r="E35" s="145">
        <f t="array" ref="E35">SUM(IF(A35=KHN,TH))</f>
        <v>1210608255</v>
      </c>
      <c r="F35" s="145">
        <f t="array" ref="F35">SUM(IF(A35=KHC,TH))</f>
        <v>1210608255</v>
      </c>
      <c r="G35" s="62"/>
      <c r="H35" s="62"/>
      <c r="I35" s="46">
        <f t="shared" si="3"/>
        <v>0</v>
      </c>
    </row>
    <row r="36" spans="1:9" s="46" customFormat="1" ht="12.75" customHeight="1">
      <c r="A36" s="60" t="s">
        <v>242</v>
      </c>
      <c r="B36" s="61" t="s">
        <v>243</v>
      </c>
      <c r="C36" s="62"/>
      <c r="D36" s="62"/>
      <c r="E36" s="145">
        <f t="array" ref="E36">SUM(IF(A36=KHN,TH))</f>
        <v>324319379</v>
      </c>
      <c r="F36" s="145">
        <f t="array" ref="F36">SUM(IF(A36=KHC,TH))</f>
        <v>324319379</v>
      </c>
      <c r="G36" s="62"/>
      <c r="H36" s="62"/>
      <c r="I36" s="46">
        <f t="shared" si="3"/>
        <v>0</v>
      </c>
    </row>
    <row r="37" spans="1:9" s="46" customFormat="1" ht="12.75" customHeight="1">
      <c r="A37" s="64" t="s">
        <v>244</v>
      </c>
      <c r="B37" s="61" t="s">
        <v>245</v>
      </c>
      <c r="C37" s="62"/>
      <c r="D37" s="62"/>
      <c r="E37" s="145">
        <f t="array" ref="E37">SUM(IF(A37=KHN,TH))</f>
        <v>500000</v>
      </c>
      <c r="F37" s="145">
        <f t="array" ref="F37">SUM(IF(A37=KHC,TH))</f>
        <v>500000</v>
      </c>
      <c r="G37" s="62"/>
      <c r="H37" s="62"/>
      <c r="I37" s="46">
        <f t="shared" si="3"/>
        <v>0</v>
      </c>
    </row>
    <row r="38" spans="1:9" s="46" customFormat="1" ht="12.75" customHeight="1">
      <c r="A38" s="60" t="s">
        <v>246</v>
      </c>
      <c r="B38" s="61" t="s">
        <v>247</v>
      </c>
      <c r="C38" s="62"/>
      <c r="D38" s="62"/>
      <c r="E38" s="145">
        <f t="array" ref="E38">SUM(IF(A38=KHN,TH))</f>
        <v>0</v>
      </c>
      <c r="F38" s="145">
        <f t="array" ref="F38">SUM(IF(A38=KHC,TH))</f>
        <v>0</v>
      </c>
      <c r="G38" s="62"/>
      <c r="H38" s="62"/>
      <c r="I38" s="46">
        <f t="shared" si="3"/>
        <v>0</v>
      </c>
    </row>
    <row r="39" spans="1:9" s="46" customFormat="1" ht="12.75" customHeight="1">
      <c r="A39" s="64" t="s">
        <v>248</v>
      </c>
      <c r="B39" s="61" t="s">
        <v>249</v>
      </c>
      <c r="C39" s="62"/>
      <c r="D39" s="62"/>
      <c r="E39" s="145">
        <f t="array" ref="E39">SUM(IF(A39=KHN,TH))</f>
        <v>0</v>
      </c>
      <c r="F39" s="145">
        <f t="array" ref="F39">SUM(IF(A39=KHC,TH))</f>
        <v>0</v>
      </c>
      <c r="G39" s="62"/>
      <c r="H39" s="62"/>
      <c r="I39" s="46">
        <f t="shared" si="3"/>
        <v>0</v>
      </c>
    </row>
    <row r="40" spans="1:9" s="46" customFormat="1">
      <c r="A40" s="60" t="s">
        <v>250</v>
      </c>
      <c r="B40" s="61" t="s">
        <v>251</v>
      </c>
      <c r="C40" s="62"/>
      <c r="D40" s="62"/>
      <c r="E40" s="146">
        <f t="array" ref="E40">SUM(IF(A40=KHN,TH))</f>
        <v>324319379</v>
      </c>
      <c r="F40" s="146">
        <f t="array" ref="F40">SUM(IF(A40=TH!$K$10:$K$1053,TH!$I$10:$I$1053))</f>
        <v>324319379</v>
      </c>
      <c r="G40" s="62"/>
      <c r="H40" s="62"/>
      <c r="I40" s="46">
        <f t="shared" si="3"/>
        <v>0</v>
      </c>
    </row>
    <row r="41" spans="1:9" s="46" customFormat="1">
      <c r="A41" s="68" t="s">
        <v>252</v>
      </c>
      <c r="B41" s="68"/>
      <c r="C41" s="68">
        <f>C11+C13+C15+C17+C20+C24+C26+C28+C30+C33+C34+C35+C36+C37+C38+C39+C40+C19</f>
        <v>0</v>
      </c>
      <c r="D41" s="68">
        <f t="shared" ref="D41:H41" si="4">D11+D13+D15+D17+D20+D24+D26+D28+D30+D33+D34+D35+D36+D37+D38+D39+D40+D19</f>
        <v>0</v>
      </c>
      <c r="E41" s="68">
        <f t="shared" si="4"/>
        <v>84350581757</v>
      </c>
      <c r="F41" s="68">
        <f t="shared" si="4"/>
        <v>84350581757</v>
      </c>
      <c r="G41" s="68">
        <f t="shared" si="4"/>
        <v>28000000000</v>
      </c>
      <c r="H41" s="68">
        <f t="shared" si="4"/>
        <v>28000000000</v>
      </c>
    </row>
    <row r="42" spans="1:9">
      <c r="E42" s="69"/>
      <c r="F42" s="70"/>
    </row>
    <row r="43" spans="1:9">
      <c r="E43" s="70">
        <f>E41-F41</f>
        <v>0</v>
      </c>
      <c r="H43" s="70">
        <f>G41-H41</f>
        <v>0</v>
      </c>
    </row>
    <row r="44" spans="1:9">
      <c r="E44" s="71"/>
      <c r="F44" s="71"/>
    </row>
    <row r="45" spans="1:9">
      <c r="E45" s="71"/>
      <c r="F45" s="71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L1053"/>
  <sheetViews>
    <sheetView tabSelected="1" topLeftCell="A7" workbookViewId="0">
      <pane ySplit="3" topLeftCell="A947" activePane="bottomLeft" state="frozen"/>
      <selection activeCell="A7" sqref="A7"/>
      <selection pane="bottomLeft" activeCell="J12" sqref="J12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62" customWidth="1"/>
    <col min="8" max="8" width="32.140625" style="249" customWidth="1"/>
    <col min="9" max="9" width="13.140625" customWidth="1"/>
    <col min="10" max="11" width="7" customWidth="1"/>
    <col min="12" max="12" width="4.42578125" customWidth="1"/>
  </cols>
  <sheetData>
    <row r="1" spans="1:12">
      <c r="A1" s="72"/>
      <c r="B1" s="72"/>
      <c r="C1" s="72" t="s">
        <v>263</v>
      </c>
      <c r="D1" s="73"/>
      <c r="E1" s="73"/>
      <c r="F1" s="74"/>
      <c r="G1" s="73"/>
      <c r="H1" s="247"/>
      <c r="I1" s="112"/>
      <c r="J1" s="75"/>
      <c r="K1" s="75"/>
      <c r="L1" s="75"/>
    </row>
    <row r="2" spans="1:12">
      <c r="A2" s="72"/>
      <c r="B2" s="72"/>
      <c r="C2" s="72" t="s">
        <v>264</v>
      </c>
      <c r="D2" s="73"/>
      <c r="E2" s="73"/>
      <c r="F2" s="73"/>
      <c r="G2" s="73"/>
      <c r="H2" s="248"/>
      <c r="I2" s="112"/>
      <c r="J2" s="75"/>
      <c r="K2" s="75"/>
      <c r="L2" s="75"/>
    </row>
    <row r="3" spans="1:12">
      <c r="A3" s="73"/>
      <c r="B3" s="73"/>
      <c r="C3" s="73"/>
      <c r="D3" s="73"/>
      <c r="E3" s="73"/>
      <c r="F3" s="73"/>
      <c r="G3" s="73"/>
      <c r="H3" s="248"/>
      <c r="I3" s="109"/>
      <c r="J3" s="76"/>
      <c r="K3" s="76"/>
      <c r="L3" s="76"/>
    </row>
    <row r="4" spans="1:12" ht="22.5">
      <c r="A4" s="112"/>
      <c r="B4" s="112"/>
      <c r="C4" s="340" t="s">
        <v>253</v>
      </c>
      <c r="D4" s="340"/>
      <c r="E4" s="340"/>
      <c r="F4" s="340"/>
      <c r="G4" s="340"/>
      <c r="H4" s="340"/>
      <c r="I4" s="340"/>
      <c r="J4" s="340"/>
      <c r="K4" s="340"/>
    </row>
    <row r="5" spans="1:12" ht="14.25">
      <c r="A5" s="112"/>
      <c r="B5" s="112"/>
      <c r="C5" s="341"/>
      <c r="D5" s="341"/>
      <c r="E5" s="341"/>
      <c r="F5" s="341"/>
      <c r="G5" s="341"/>
      <c r="H5" s="341"/>
      <c r="I5" s="341"/>
      <c r="J5" s="341"/>
      <c r="K5" s="341"/>
    </row>
    <row r="6" spans="1:12">
      <c r="A6" s="112"/>
      <c r="B6" s="112"/>
      <c r="C6" s="112"/>
      <c r="D6" s="112"/>
      <c r="E6" s="112"/>
      <c r="F6" s="112"/>
      <c r="G6" s="112"/>
      <c r="H6" s="121"/>
      <c r="I6" s="112"/>
      <c r="J6" s="75"/>
      <c r="K6" s="75"/>
      <c r="L6" s="75"/>
    </row>
    <row r="7" spans="1:12">
      <c r="A7" s="336" t="s">
        <v>265</v>
      </c>
      <c r="B7" s="336" t="s">
        <v>266</v>
      </c>
      <c r="C7" s="342" t="s">
        <v>50</v>
      </c>
      <c r="D7" s="343" t="s">
        <v>10</v>
      </c>
      <c r="E7" s="344"/>
      <c r="F7" s="342" t="s">
        <v>0</v>
      </c>
      <c r="G7" s="345" t="s">
        <v>526</v>
      </c>
      <c r="H7" s="338" t="s">
        <v>184</v>
      </c>
      <c r="I7" s="342" t="s">
        <v>254</v>
      </c>
      <c r="J7" s="339" t="s">
        <v>255</v>
      </c>
      <c r="K7" s="339"/>
      <c r="L7" s="339">
        <v>331</v>
      </c>
    </row>
    <row r="8" spans="1:12" ht="25.5">
      <c r="A8" s="337"/>
      <c r="B8" s="337"/>
      <c r="C8" s="342"/>
      <c r="D8" s="110" t="s">
        <v>32</v>
      </c>
      <c r="E8" s="108" t="s">
        <v>70</v>
      </c>
      <c r="F8" s="342"/>
      <c r="G8" s="346"/>
      <c r="H8" s="338"/>
      <c r="I8" s="342"/>
      <c r="J8" s="111" t="s">
        <v>52</v>
      </c>
      <c r="K8" s="111" t="s">
        <v>53</v>
      </c>
      <c r="L8" s="339"/>
    </row>
    <row r="9" spans="1:12">
      <c r="A9" s="77">
        <v>2</v>
      </c>
      <c r="B9" s="263">
        <v>3</v>
      </c>
      <c r="C9" s="77">
        <v>4</v>
      </c>
      <c r="D9" s="263">
        <v>5</v>
      </c>
      <c r="E9" s="77">
        <v>6</v>
      </c>
      <c r="F9" s="263">
        <v>7</v>
      </c>
      <c r="G9" s="77">
        <v>8</v>
      </c>
      <c r="H9" s="263">
        <v>9</v>
      </c>
      <c r="I9" s="77">
        <v>10</v>
      </c>
      <c r="J9" s="263">
        <v>11</v>
      </c>
      <c r="K9" s="77">
        <v>12</v>
      </c>
      <c r="L9" s="263">
        <v>13</v>
      </c>
    </row>
    <row r="10" spans="1:12" s="115" customFormat="1">
      <c r="A10" s="78">
        <f>IF(C10&lt;&gt;"",YEAR(C10),"")</f>
        <v>2015</v>
      </c>
      <c r="B10" s="78">
        <f>IF(C10&lt;&gt;"",MONTH(C10),"")</f>
        <v>12</v>
      </c>
      <c r="C10" s="136">
        <v>42369</v>
      </c>
      <c r="D10" s="136" t="s">
        <v>256</v>
      </c>
      <c r="E10" s="136">
        <v>42369</v>
      </c>
      <c r="F10" s="137" t="s">
        <v>259</v>
      </c>
      <c r="G10" s="274"/>
      <c r="H10" s="138"/>
      <c r="I10" s="139">
        <f>MAX(SUMIF(KHN,"911",TH)-SUMIF(KHC,"911",TH),SUMIF(KHC,"911",TH)-SUMIF(KHN,"911",TH))</f>
        <v>321663923</v>
      </c>
      <c r="J10" s="140" t="s">
        <v>235</v>
      </c>
      <c r="K10" s="140" t="s">
        <v>250</v>
      </c>
      <c r="L10" s="140" t="str">
        <f>IF(AND('331-CT'!$E$7=TH!H10,OR(J10="331",K10="331")),"x","")</f>
        <v/>
      </c>
    </row>
    <row r="11" spans="1:12" s="115" customFormat="1">
      <c r="A11" s="78">
        <f>IF(C11&lt;&gt;"",YEAR(C11),"")</f>
        <v>2015</v>
      </c>
      <c r="B11" s="78">
        <f>IF(C11&lt;&gt;"",MONTH(C11),"")</f>
        <v>12</v>
      </c>
      <c r="C11" s="136">
        <v>42369</v>
      </c>
      <c r="D11" s="136" t="s">
        <v>256</v>
      </c>
      <c r="E11" s="136">
        <v>42369</v>
      </c>
      <c r="F11" s="137" t="s">
        <v>257</v>
      </c>
      <c r="G11" s="274"/>
      <c r="H11" s="138"/>
      <c r="I11" s="139">
        <f>SUMIF(KHN,"635",TH)</f>
        <v>1210608255</v>
      </c>
      <c r="J11" s="147" t="s">
        <v>669</v>
      </c>
      <c r="K11" s="140" t="s">
        <v>240</v>
      </c>
      <c r="L11" s="140" t="str">
        <f>IF(AND('331-CT'!$E$7=TH!H11,OR(J11="331",K11="331")),"x","")</f>
        <v/>
      </c>
    </row>
    <row r="12" spans="1:12" s="115" customFormat="1">
      <c r="A12" s="78">
        <f>IF(C12&lt;&gt;"",YEAR(C12),"")</f>
        <v>2015</v>
      </c>
      <c r="B12" s="78">
        <f>IF(C12&lt;&gt;"",MONTH(C12),"")</f>
        <v>12</v>
      </c>
      <c r="C12" s="136">
        <v>42369</v>
      </c>
      <c r="D12" s="136" t="s">
        <v>256</v>
      </c>
      <c r="E12" s="136">
        <v>42369</v>
      </c>
      <c r="F12" s="137" t="s">
        <v>258</v>
      </c>
      <c r="G12" s="274"/>
      <c r="H12" s="138"/>
      <c r="I12" s="139">
        <f>SUMIF(KHN,"642",TH)</f>
        <v>324319379</v>
      </c>
      <c r="J12" s="147" t="s">
        <v>250</v>
      </c>
      <c r="K12" s="140" t="s">
        <v>242</v>
      </c>
      <c r="L12" s="140" t="str">
        <f>IF(AND('331-CT'!$E$7=TH!H12,OR(J12="331",K12="331")),"x","")</f>
        <v/>
      </c>
    </row>
    <row r="13" spans="1:12" s="115" customFormat="1">
      <c r="A13" s="78">
        <f t="shared" ref="A13:A14" si="0">IF(C13&lt;&gt;"",YEAR(C13),"")</f>
        <v>2015</v>
      </c>
      <c r="B13" s="78">
        <f t="shared" ref="B13:B14" si="1">IF(C13&lt;&gt;"",MONTH(C13),"")</f>
        <v>12</v>
      </c>
      <c r="C13" s="136">
        <v>42369</v>
      </c>
      <c r="D13" s="136" t="s">
        <v>256</v>
      </c>
      <c r="E13" s="136">
        <v>42369</v>
      </c>
      <c r="F13" s="137" t="s">
        <v>260</v>
      </c>
      <c r="G13" s="274"/>
      <c r="H13" s="148"/>
      <c r="I13" s="139">
        <f>SUMIF(KHC,"515",TH)</f>
        <v>2155456</v>
      </c>
      <c r="J13" s="140" t="s">
        <v>99</v>
      </c>
      <c r="K13" s="140" t="s">
        <v>250</v>
      </c>
      <c r="L13" s="140" t="str">
        <f>IF(AND('331-CT'!$E$7=TH!H13,OR(J13="331",K13="331")),"x","")</f>
        <v/>
      </c>
    </row>
    <row r="14" spans="1:12" s="115" customFormat="1">
      <c r="A14" s="78">
        <f t="shared" si="0"/>
        <v>2015</v>
      </c>
      <c r="B14" s="78">
        <f t="shared" si="1"/>
        <v>12</v>
      </c>
      <c r="C14" s="136">
        <v>42369</v>
      </c>
      <c r="D14" s="136" t="s">
        <v>256</v>
      </c>
      <c r="E14" s="136">
        <v>42369</v>
      </c>
      <c r="F14" s="137" t="s">
        <v>261</v>
      </c>
      <c r="G14" s="274"/>
      <c r="H14" s="138"/>
      <c r="I14" s="139">
        <f>SUMIF(KHC,"711",TH)</f>
        <v>500000</v>
      </c>
      <c r="J14" s="140" t="s">
        <v>244</v>
      </c>
      <c r="K14" s="140" t="s">
        <v>250</v>
      </c>
      <c r="L14" s="140" t="str">
        <f>IF(AND('331-CT'!$E$7=TH!H14,OR(J14="331",K14="331")),"x","")</f>
        <v/>
      </c>
    </row>
    <row r="15" spans="1:12" s="115" customFormat="1">
      <c r="A15" s="78">
        <f t="shared" ref="A15" si="2">IF(C15&lt;&gt;"",YEAR(C15),"")</f>
        <v>2015</v>
      </c>
      <c r="B15" s="78">
        <f t="shared" ref="B15" si="3">IF(C15&lt;&gt;"",MONTH(C15),"")</f>
        <v>12</v>
      </c>
      <c r="C15" s="136">
        <v>42369</v>
      </c>
      <c r="D15" s="136" t="s">
        <v>256</v>
      </c>
      <c r="E15" s="136">
        <v>42369</v>
      </c>
      <c r="F15" s="137" t="s">
        <v>262</v>
      </c>
      <c r="G15" s="274"/>
      <c r="H15" s="138"/>
      <c r="I15" s="139">
        <f>SUMIF(KHN,"811",TH)</f>
        <v>0</v>
      </c>
      <c r="J15" s="140" t="s">
        <v>250</v>
      </c>
      <c r="K15" s="140" t="s">
        <v>246</v>
      </c>
      <c r="L15" s="140" t="str">
        <f>IF(AND('331-CT'!$E$7=TH!H15,OR(J15="331",K15="331")),"x","")</f>
        <v/>
      </c>
    </row>
    <row r="16" spans="1:12" s="115" customFormat="1">
      <c r="A16" s="78">
        <f t="shared" ref="A16:A75" si="4">IF(C16&lt;&gt;"",YEAR(C16),"")</f>
        <v>2008</v>
      </c>
      <c r="B16" s="78">
        <f t="shared" ref="B16:B75" si="5">IF(C16&lt;&gt;"",MONTH(C16),"")</f>
        <v>2</v>
      </c>
      <c r="C16" s="85">
        <v>39479</v>
      </c>
      <c r="D16" s="85" t="s">
        <v>20</v>
      </c>
      <c r="E16" s="85">
        <f t="shared" ref="E16:E30" si="6">C16</f>
        <v>39479</v>
      </c>
      <c r="F16" s="86" t="s">
        <v>592</v>
      </c>
      <c r="G16" s="282"/>
      <c r="H16" s="122" t="s">
        <v>445</v>
      </c>
      <c r="I16" s="87">
        <v>2400000000</v>
      </c>
      <c r="J16" s="88" t="s">
        <v>203</v>
      </c>
      <c r="K16" s="89" t="s">
        <v>55</v>
      </c>
      <c r="L16" s="140" t="str">
        <f>IF(AND('331-CT'!$E$7=TH!H16,OR(J16="331",K16="331")),"x","")</f>
        <v/>
      </c>
    </row>
    <row r="17" spans="1:12" s="115" customFormat="1">
      <c r="A17" s="78">
        <f t="shared" si="4"/>
        <v>2008</v>
      </c>
      <c r="B17" s="78">
        <f t="shared" si="5"/>
        <v>2</v>
      </c>
      <c r="C17" s="85">
        <v>39479</v>
      </c>
      <c r="D17" s="85" t="s">
        <v>22</v>
      </c>
      <c r="E17" s="85">
        <f t="shared" si="6"/>
        <v>39479</v>
      </c>
      <c r="F17" s="86" t="s">
        <v>592</v>
      </c>
      <c r="G17" s="282"/>
      <c r="H17" s="122" t="s">
        <v>588</v>
      </c>
      <c r="I17" s="87">
        <v>1600000000</v>
      </c>
      <c r="J17" s="88" t="s">
        <v>203</v>
      </c>
      <c r="K17" s="89" t="s">
        <v>55</v>
      </c>
      <c r="L17" s="140" t="str">
        <f>IF(AND('331-CT'!$E$7=TH!H17,OR(J17="331",K17="331")),"x","")</f>
        <v/>
      </c>
    </row>
    <row r="18" spans="1:12" s="115" customFormat="1">
      <c r="A18" s="78">
        <f t="shared" si="4"/>
        <v>2009</v>
      </c>
      <c r="B18" s="78">
        <f t="shared" si="5"/>
        <v>1</v>
      </c>
      <c r="C18" s="90">
        <v>39834</v>
      </c>
      <c r="D18" s="90" t="s">
        <v>73</v>
      </c>
      <c r="E18" s="90">
        <f t="shared" si="6"/>
        <v>39834</v>
      </c>
      <c r="F18" s="91" t="s">
        <v>60</v>
      </c>
      <c r="G18" s="269" t="s">
        <v>528</v>
      </c>
      <c r="H18" s="123" t="s">
        <v>527</v>
      </c>
      <c r="I18" s="92">
        <v>1500000</v>
      </c>
      <c r="J18" s="93" t="s">
        <v>219</v>
      </c>
      <c r="K18" s="93" t="s">
        <v>203</v>
      </c>
      <c r="L18" s="140" t="str">
        <f>IF(AND('331-CT'!$E$7=TH!H18,OR(J18="331",K18="331")),"x","")</f>
        <v/>
      </c>
    </row>
    <row r="19" spans="1:12" s="115" customFormat="1">
      <c r="A19" s="78">
        <f t="shared" si="4"/>
        <v>2009</v>
      </c>
      <c r="B19" s="78">
        <f t="shared" si="5"/>
        <v>1</v>
      </c>
      <c r="C19" s="90">
        <v>39834</v>
      </c>
      <c r="D19" s="90" t="s">
        <v>78</v>
      </c>
      <c r="E19" s="90">
        <f t="shared" si="6"/>
        <v>39834</v>
      </c>
      <c r="F19" s="91" t="s">
        <v>60</v>
      </c>
      <c r="G19" s="270"/>
      <c r="H19" s="124"/>
      <c r="I19" s="92">
        <v>1500000</v>
      </c>
      <c r="J19" s="93" t="s">
        <v>242</v>
      </c>
      <c r="K19" s="93" t="s">
        <v>219</v>
      </c>
      <c r="L19" s="140" t="str">
        <f>IF(AND('331-CT'!$E$7=TH!H19,OR(J19="331",K19="331")),"x","")</f>
        <v/>
      </c>
    </row>
    <row r="20" spans="1:12" s="115" customFormat="1">
      <c r="A20" s="78">
        <f t="shared" si="4"/>
        <v>2009</v>
      </c>
      <c r="B20" s="78">
        <f t="shared" si="5"/>
        <v>5</v>
      </c>
      <c r="C20" s="90">
        <v>39959</v>
      </c>
      <c r="D20" s="90" t="s">
        <v>92</v>
      </c>
      <c r="E20" s="90">
        <f t="shared" si="6"/>
        <v>39959</v>
      </c>
      <c r="F20" s="91" t="s">
        <v>57</v>
      </c>
      <c r="G20" s="270" t="s">
        <v>530</v>
      </c>
      <c r="H20" s="123" t="s">
        <v>529</v>
      </c>
      <c r="I20" s="92">
        <v>1000000</v>
      </c>
      <c r="J20" s="93" t="s">
        <v>242</v>
      </c>
      <c r="K20" s="93" t="s">
        <v>203</v>
      </c>
      <c r="L20" s="140" t="str">
        <f>IF(AND('331-CT'!$E$7=TH!H20,OR(J20="331",K20="331")),"x","")</f>
        <v/>
      </c>
    </row>
    <row r="21" spans="1:12" s="115" customFormat="1">
      <c r="A21" s="78">
        <f t="shared" si="4"/>
        <v>2009</v>
      </c>
      <c r="B21" s="78">
        <f t="shared" si="5"/>
        <v>5</v>
      </c>
      <c r="C21" s="90">
        <v>39959</v>
      </c>
      <c r="D21" s="90" t="s">
        <v>92</v>
      </c>
      <c r="E21" s="90">
        <f t="shared" si="6"/>
        <v>39959</v>
      </c>
      <c r="F21" s="91" t="s">
        <v>58</v>
      </c>
      <c r="G21" s="270"/>
      <c r="H21" s="123"/>
      <c r="I21" s="92">
        <v>25000</v>
      </c>
      <c r="J21" s="93" t="s">
        <v>242</v>
      </c>
      <c r="K21" s="93" t="s">
        <v>203</v>
      </c>
      <c r="L21" s="140" t="str">
        <f>IF(AND('331-CT'!$E$7=TH!H21,OR(J21="331",K21="331")),"x","")</f>
        <v/>
      </c>
    </row>
    <row r="22" spans="1:12" s="115" customFormat="1">
      <c r="A22" s="78">
        <f t="shared" si="4"/>
        <v>2009</v>
      </c>
      <c r="B22" s="78">
        <f t="shared" si="5"/>
        <v>9</v>
      </c>
      <c r="C22" s="90">
        <v>40079</v>
      </c>
      <c r="D22" s="90" t="s">
        <v>93</v>
      </c>
      <c r="E22" s="90">
        <f t="shared" si="6"/>
        <v>40079</v>
      </c>
      <c r="F22" s="91" t="s">
        <v>59</v>
      </c>
      <c r="G22" s="270" t="s">
        <v>530</v>
      </c>
      <c r="H22" s="123" t="s">
        <v>529</v>
      </c>
      <c r="I22" s="92">
        <v>750000</v>
      </c>
      <c r="J22" s="93" t="s">
        <v>219</v>
      </c>
      <c r="K22" s="93" t="s">
        <v>203</v>
      </c>
      <c r="L22" s="140" t="str">
        <f>IF(AND('331-CT'!$E$7=TH!H22,OR(J22="331",K22="331")),"x","")</f>
        <v/>
      </c>
    </row>
    <row r="23" spans="1:12" s="115" customFormat="1">
      <c r="A23" s="78">
        <f t="shared" si="4"/>
        <v>2009</v>
      </c>
      <c r="B23" s="78">
        <f t="shared" si="5"/>
        <v>9</v>
      </c>
      <c r="C23" s="90">
        <v>40079</v>
      </c>
      <c r="D23" s="90" t="s">
        <v>78</v>
      </c>
      <c r="E23" s="90">
        <f t="shared" si="6"/>
        <v>40079</v>
      </c>
      <c r="F23" s="91" t="s">
        <v>59</v>
      </c>
      <c r="G23" s="270"/>
      <c r="H23" s="123"/>
      <c r="I23" s="92">
        <v>750000</v>
      </c>
      <c r="J23" s="93" t="s">
        <v>242</v>
      </c>
      <c r="K23" s="93" t="s">
        <v>219</v>
      </c>
      <c r="L23" s="140" t="str">
        <f>IF(AND('331-CT'!$E$7=TH!H23,OR(J23="331",K23="331")),"x","")</f>
        <v/>
      </c>
    </row>
    <row r="24" spans="1:12" s="115" customFormat="1">
      <c r="A24" s="78">
        <f t="shared" si="4"/>
        <v>2009</v>
      </c>
      <c r="B24" s="78">
        <f t="shared" si="5"/>
        <v>9</v>
      </c>
      <c r="C24" s="90">
        <v>40079</v>
      </c>
      <c r="D24" s="90" t="s">
        <v>93</v>
      </c>
      <c r="E24" s="90">
        <f t="shared" si="6"/>
        <v>40079</v>
      </c>
      <c r="F24" s="91" t="s">
        <v>58</v>
      </c>
      <c r="G24" s="270"/>
      <c r="H24" s="123"/>
      <c r="I24" s="92">
        <v>25000</v>
      </c>
      <c r="J24" s="93" t="s">
        <v>242</v>
      </c>
      <c r="K24" s="93" t="s">
        <v>203</v>
      </c>
      <c r="L24" s="140" t="str">
        <f>IF(AND('331-CT'!$E$7=TH!H24,OR(J24="331",K24="331")),"x","")</f>
        <v/>
      </c>
    </row>
    <row r="25" spans="1:12" s="115" customFormat="1">
      <c r="A25" s="78">
        <f t="shared" si="4"/>
        <v>2010</v>
      </c>
      <c r="B25" s="78">
        <f t="shared" si="5"/>
        <v>5</v>
      </c>
      <c r="C25" s="94">
        <v>40317</v>
      </c>
      <c r="D25" s="94" t="s">
        <v>73</v>
      </c>
      <c r="E25" s="94">
        <f t="shared" si="6"/>
        <v>40317</v>
      </c>
      <c r="F25" s="95" t="s">
        <v>153</v>
      </c>
      <c r="G25" s="270" t="s">
        <v>530</v>
      </c>
      <c r="H25" s="123" t="s">
        <v>529</v>
      </c>
      <c r="I25" s="96">
        <v>1500000</v>
      </c>
      <c r="J25" s="97" t="s">
        <v>219</v>
      </c>
      <c r="K25" s="97" t="s">
        <v>203</v>
      </c>
      <c r="L25" s="140" t="str">
        <f>IF(AND('331-CT'!$E$7=TH!H25,OR(J25="331",K25="331")),"x","")</f>
        <v/>
      </c>
    </row>
    <row r="26" spans="1:12" s="115" customFormat="1">
      <c r="A26" s="78">
        <f t="shared" si="4"/>
        <v>2010</v>
      </c>
      <c r="B26" s="78">
        <f t="shared" si="5"/>
        <v>5</v>
      </c>
      <c r="C26" s="94">
        <v>40317</v>
      </c>
      <c r="D26" s="94" t="s">
        <v>78</v>
      </c>
      <c r="E26" s="94">
        <f t="shared" si="6"/>
        <v>40317</v>
      </c>
      <c r="F26" s="95" t="s">
        <v>153</v>
      </c>
      <c r="G26" s="271"/>
      <c r="H26" s="125"/>
      <c r="I26" s="96">
        <v>1500000</v>
      </c>
      <c r="J26" s="97" t="s">
        <v>242</v>
      </c>
      <c r="K26" s="97" t="s">
        <v>219</v>
      </c>
      <c r="L26" s="140" t="str">
        <f>IF(AND('331-CT'!$E$7=TH!H26,OR(J26="331",K26="331")),"x","")</f>
        <v/>
      </c>
    </row>
    <row r="27" spans="1:12" s="115" customFormat="1">
      <c r="A27" s="78">
        <f t="shared" si="4"/>
        <v>2010</v>
      </c>
      <c r="B27" s="78">
        <f t="shared" si="5"/>
        <v>9</v>
      </c>
      <c r="C27" s="94">
        <v>40437</v>
      </c>
      <c r="D27" s="94" t="s">
        <v>92</v>
      </c>
      <c r="E27" s="94">
        <f t="shared" si="6"/>
        <v>40437</v>
      </c>
      <c r="F27" s="95" t="s">
        <v>61</v>
      </c>
      <c r="G27" s="276" t="s">
        <v>531</v>
      </c>
      <c r="H27" s="123" t="s">
        <v>445</v>
      </c>
      <c r="I27" s="96">
        <v>390000</v>
      </c>
      <c r="J27" s="97" t="s">
        <v>242</v>
      </c>
      <c r="K27" s="97" t="s">
        <v>203</v>
      </c>
      <c r="L27" s="140" t="str">
        <f>IF(AND('331-CT'!$E$7=TH!H27,OR(J27="331",K27="331")),"x","")</f>
        <v/>
      </c>
    </row>
    <row r="28" spans="1:12" s="115" customFormat="1">
      <c r="A28" s="78">
        <f t="shared" si="4"/>
        <v>2010</v>
      </c>
      <c r="B28" s="78">
        <f t="shared" si="5"/>
        <v>9</v>
      </c>
      <c r="C28" s="94">
        <v>40451</v>
      </c>
      <c r="D28" s="94" t="s">
        <v>93</v>
      </c>
      <c r="E28" s="94">
        <f t="shared" si="6"/>
        <v>40451</v>
      </c>
      <c r="F28" s="95" t="s">
        <v>56</v>
      </c>
      <c r="G28" s="276" t="s">
        <v>532</v>
      </c>
      <c r="H28" s="123" t="s">
        <v>445</v>
      </c>
      <c r="I28" s="96">
        <v>20000</v>
      </c>
      <c r="J28" s="97" t="s">
        <v>242</v>
      </c>
      <c r="K28" s="97" t="s">
        <v>203</v>
      </c>
      <c r="L28" s="140" t="str">
        <f>IF(AND('331-CT'!$E$7=TH!H28,OR(J28="331",K28="331")),"x","")</f>
        <v/>
      </c>
    </row>
    <row r="29" spans="1:12" s="115" customFormat="1">
      <c r="A29" s="78">
        <f t="shared" si="4"/>
        <v>2011</v>
      </c>
      <c r="B29" s="78">
        <f t="shared" si="5"/>
        <v>1</v>
      </c>
      <c r="C29" s="98">
        <v>40570</v>
      </c>
      <c r="D29" s="98" t="s">
        <v>73</v>
      </c>
      <c r="E29" s="98">
        <f t="shared" si="6"/>
        <v>40570</v>
      </c>
      <c r="F29" s="99" t="s">
        <v>590</v>
      </c>
      <c r="G29" s="272"/>
      <c r="H29" s="122" t="s">
        <v>445</v>
      </c>
      <c r="I29" s="100">
        <v>100000000</v>
      </c>
      <c r="J29" s="101" t="s">
        <v>54</v>
      </c>
      <c r="K29" s="101" t="s">
        <v>203</v>
      </c>
      <c r="L29" s="140" t="str">
        <f>IF(AND('331-CT'!$E$7=TH!H29,OR(J29="331",K29="331")),"x","")</f>
        <v/>
      </c>
    </row>
    <row r="30" spans="1:12" s="115" customFormat="1">
      <c r="A30" s="78">
        <f t="shared" si="4"/>
        <v>2011</v>
      </c>
      <c r="B30" s="78">
        <f t="shared" si="5"/>
        <v>1</v>
      </c>
      <c r="C30" s="98">
        <v>40570</v>
      </c>
      <c r="D30" s="98" t="s">
        <v>73</v>
      </c>
      <c r="E30" s="98">
        <f t="shared" si="6"/>
        <v>40570</v>
      </c>
      <c r="F30" s="99" t="s">
        <v>590</v>
      </c>
      <c r="G30" s="272"/>
      <c r="H30" s="122" t="s">
        <v>445</v>
      </c>
      <c r="I30" s="100">
        <v>100000</v>
      </c>
      <c r="J30" s="101" t="s">
        <v>54</v>
      </c>
      <c r="K30" s="101" t="s">
        <v>203</v>
      </c>
      <c r="L30" s="140" t="str">
        <f>IF(AND('331-CT'!$E$7=TH!H30,OR(J30="331",K30="331")),"x","")</f>
        <v/>
      </c>
    </row>
    <row r="31" spans="1:12" s="115" customFormat="1">
      <c r="A31" s="78">
        <f t="shared" si="4"/>
        <v>2011</v>
      </c>
      <c r="B31" s="78">
        <f t="shared" si="5"/>
        <v>1</v>
      </c>
      <c r="C31" s="116">
        <f>E31</f>
        <v>40570</v>
      </c>
      <c r="D31" s="98" t="s">
        <v>17</v>
      </c>
      <c r="E31" s="98">
        <v>40570</v>
      </c>
      <c r="F31" s="99" t="s">
        <v>112</v>
      </c>
      <c r="G31" s="272"/>
      <c r="H31" s="126" t="s">
        <v>85</v>
      </c>
      <c r="I31" s="100">
        <v>100000000</v>
      </c>
      <c r="J31" s="101" t="s">
        <v>18</v>
      </c>
      <c r="K31" s="101" t="s">
        <v>54</v>
      </c>
      <c r="L31" s="140" t="str">
        <f>IF(AND('331-CT'!$E$7=TH!H31,OR(J31="331",K31="331")),"x","")</f>
        <v/>
      </c>
    </row>
    <row r="32" spans="1:12" s="115" customFormat="1">
      <c r="A32" s="78">
        <f t="shared" si="4"/>
        <v>2011</v>
      </c>
      <c r="B32" s="78">
        <f t="shared" si="5"/>
        <v>1</v>
      </c>
      <c r="C32" s="116">
        <v>40570</v>
      </c>
      <c r="D32" s="98" t="s">
        <v>17</v>
      </c>
      <c r="E32" s="98">
        <v>40570</v>
      </c>
      <c r="F32" s="99" t="s">
        <v>34</v>
      </c>
      <c r="G32" s="272"/>
      <c r="H32" s="126"/>
      <c r="I32" s="100">
        <v>50000</v>
      </c>
      <c r="J32" s="101" t="s">
        <v>242</v>
      </c>
      <c r="K32" s="101" t="s">
        <v>54</v>
      </c>
      <c r="L32" s="140" t="str">
        <f>IF(AND('331-CT'!$E$7=TH!H32,OR(J32="331",K32="331")),"x","")</f>
        <v/>
      </c>
    </row>
    <row r="33" spans="1:12" s="115" customFormat="1">
      <c r="A33" s="78">
        <f t="shared" si="4"/>
        <v>2011</v>
      </c>
      <c r="B33" s="78">
        <f t="shared" si="5"/>
        <v>1</v>
      </c>
      <c r="C33" s="116">
        <v>40570</v>
      </c>
      <c r="D33" s="98" t="s">
        <v>17</v>
      </c>
      <c r="E33" s="98">
        <v>40570</v>
      </c>
      <c r="F33" s="99" t="s">
        <v>35</v>
      </c>
      <c r="G33" s="272"/>
      <c r="H33" s="126"/>
      <c r="I33" s="100">
        <v>5000</v>
      </c>
      <c r="J33" s="101" t="s">
        <v>242</v>
      </c>
      <c r="K33" s="101" t="s">
        <v>54</v>
      </c>
      <c r="L33" s="140" t="str">
        <f>IF(AND('331-CT'!$E$7=TH!H33,OR(J33="331",K33="331")),"x","")</f>
        <v/>
      </c>
    </row>
    <row r="34" spans="1:12" s="115" customFormat="1">
      <c r="A34" s="78">
        <f t="shared" si="4"/>
        <v>2011</v>
      </c>
      <c r="B34" s="78">
        <f t="shared" si="5"/>
        <v>1</v>
      </c>
      <c r="C34" s="116">
        <v>40570</v>
      </c>
      <c r="D34" s="98" t="s">
        <v>17</v>
      </c>
      <c r="E34" s="98">
        <v>40570</v>
      </c>
      <c r="F34" s="99" t="s">
        <v>23</v>
      </c>
      <c r="G34" s="272"/>
      <c r="H34" s="126"/>
      <c r="I34" s="100">
        <v>30000</v>
      </c>
      <c r="J34" s="101" t="s">
        <v>242</v>
      </c>
      <c r="K34" s="101" t="s">
        <v>54</v>
      </c>
      <c r="L34" s="140" t="str">
        <f>IF(AND('331-CT'!$E$7=TH!H34,OR(J34="331",K34="331")),"x","")</f>
        <v/>
      </c>
    </row>
    <row r="35" spans="1:12" s="115" customFormat="1">
      <c r="A35" s="78">
        <f t="shared" si="4"/>
        <v>2011</v>
      </c>
      <c r="B35" s="78">
        <f t="shared" si="5"/>
        <v>1</v>
      </c>
      <c r="C35" s="116">
        <v>40570</v>
      </c>
      <c r="D35" s="98" t="s">
        <v>17</v>
      </c>
      <c r="E35" s="98">
        <v>40570</v>
      </c>
      <c r="F35" s="99" t="s">
        <v>24</v>
      </c>
      <c r="G35" s="272"/>
      <c r="H35" s="126"/>
      <c r="I35" s="100">
        <v>3000</v>
      </c>
      <c r="J35" s="101" t="s">
        <v>242</v>
      </c>
      <c r="K35" s="101" t="s">
        <v>54</v>
      </c>
      <c r="L35" s="140" t="str">
        <f>IF(AND('331-CT'!$E$7=TH!H35,OR(J35="331",K35="331")),"x","")</f>
        <v/>
      </c>
    </row>
    <row r="36" spans="1:12" s="115" customFormat="1">
      <c r="A36" s="78">
        <f t="shared" si="4"/>
        <v>2011</v>
      </c>
      <c r="B36" s="78">
        <f t="shared" si="5"/>
        <v>1</v>
      </c>
      <c r="C36" s="116">
        <v>40571</v>
      </c>
      <c r="D36" s="98" t="s">
        <v>17</v>
      </c>
      <c r="E36" s="98">
        <v>40571</v>
      </c>
      <c r="F36" s="99" t="s">
        <v>36</v>
      </c>
      <c r="G36" s="272"/>
      <c r="H36" s="126"/>
      <c r="I36" s="100">
        <v>10000</v>
      </c>
      <c r="J36" s="101" t="s">
        <v>242</v>
      </c>
      <c r="K36" s="101" t="s">
        <v>54</v>
      </c>
      <c r="L36" s="140" t="str">
        <f>IF(AND('331-CT'!$E$7=TH!H36,OR(J36="331",K36="331")),"x","")</f>
        <v/>
      </c>
    </row>
    <row r="37" spans="1:12" s="115" customFormat="1">
      <c r="A37" s="78">
        <f t="shared" si="4"/>
        <v>2011</v>
      </c>
      <c r="B37" s="78">
        <f t="shared" si="5"/>
        <v>1</v>
      </c>
      <c r="C37" s="116">
        <v>40571</v>
      </c>
      <c r="D37" s="98" t="s">
        <v>17</v>
      </c>
      <c r="E37" s="98">
        <v>40571</v>
      </c>
      <c r="F37" s="99" t="s">
        <v>37</v>
      </c>
      <c r="G37" s="272"/>
      <c r="H37" s="126"/>
      <c r="I37" s="100">
        <v>1000</v>
      </c>
      <c r="J37" s="101" t="s">
        <v>242</v>
      </c>
      <c r="K37" s="101" t="s">
        <v>54</v>
      </c>
      <c r="L37" s="140" t="str">
        <f>IF(AND('331-CT'!$E$7=TH!H37,OR(J37="331",K37="331")),"x","")</f>
        <v/>
      </c>
    </row>
    <row r="38" spans="1:12" s="115" customFormat="1">
      <c r="A38" s="78">
        <f t="shared" si="4"/>
        <v>2011</v>
      </c>
      <c r="B38" s="78">
        <f t="shared" si="5"/>
        <v>1</v>
      </c>
      <c r="C38" s="98">
        <v>40572</v>
      </c>
      <c r="D38" s="98" t="s">
        <v>92</v>
      </c>
      <c r="E38" s="98">
        <f>C38</f>
        <v>40572</v>
      </c>
      <c r="F38" s="99" t="s">
        <v>591</v>
      </c>
      <c r="G38" s="272"/>
      <c r="H38" s="126" t="s">
        <v>268</v>
      </c>
      <c r="I38" s="100">
        <v>2000000</v>
      </c>
      <c r="J38" s="101" t="s">
        <v>39</v>
      </c>
      <c r="K38" s="101" t="s">
        <v>203</v>
      </c>
      <c r="L38" s="140" t="str">
        <f>IF(AND('331-CT'!$E$7=TH!H38,OR(J38="331",K38="331")),"x","")</f>
        <v/>
      </c>
    </row>
    <row r="39" spans="1:12" s="115" customFormat="1">
      <c r="A39" s="78">
        <f t="shared" si="4"/>
        <v>2011</v>
      </c>
      <c r="B39" s="78">
        <f t="shared" si="5"/>
        <v>1</v>
      </c>
      <c r="C39" s="116">
        <v>40572</v>
      </c>
      <c r="D39" s="98" t="s">
        <v>21</v>
      </c>
      <c r="E39" s="98">
        <v>40572</v>
      </c>
      <c r="F39" s="99" t="s">
        <v>38</v>
      </c>
      <c r="G39" s="272"/>
      <c r="H39" s="126" t="s">
        <v>268</v>
      </c>
      <c r="I39" s="100">
        <v>2000000</v>
      </c>
      <c r="J39" s="101" t="s">
        <v>54</v>
      </c>
      <c r="K39" s="101" t="s">
        <v>39</v>
      </c>
      <c r="L39" s="140" t="str">
        <f>IF(AND('331-CT'!$E$7=TH!H39,OR(J39="331",K39="331")),"x","")</f>
        <v/>
      </c>
    </row>
    <row r="40" spans="1:12" s="115" customFormat="1">
      <c r="A40" s="78">
        <f t="shared" si="4"/>
        <v>2011</v>
      </c>
      <c r="B40" s="78">
        <f t="shared" si="5"/>
        <v>1</v>
      </c>
      <c r="C40" s="98">
        <v>40572</v>
      </c>
      <c r="D40" s="98" t="s">
        <v>78</v>
      </c>
      <c r="E40" s="98">
        <v>40572</v>
      </c>
      <c r="F40" s="99" t="s">
        <v>4</v>
      </c>
      <c r="G40" s="272"/>
      <c r="H40" s="126"/>
      <c r="I40" s="100">
        <v>1500000</v>
      </c>
      <c r="J40" s="101" t="s">
        <v>242</v>
      </c>
      <c r="K40" s="101" t="s">
        <v>219</v>
      </c>
      <c r="L40" s="140" t="str">
        <f>IF(AND('331-CT'!$E$7=TH!H40,OR(J40="331",K40="331")),"x","")</f>
        <v/>
      </c>
    </row>
    <row r="41" spans="1:12" s="115" customFormat="1">
      <c r="A41" s="78">
        <f t="shared" si="4"/>
        <v>2011</v>
      </c>
      <c r="B41" s="78">
        <f t="shared" si="5"/>
        <v>1</v>
      </c>
      <c r="C41" s="116">
        <v>40572</v>
      </c>
      <c r="D41" s="98" t="s">
        <v>17</v>
      </c>
      <c r="E41" s="98">
        <v>40572</v>
      </c>
      <c r="F41" s="99" t="s">
        <v>4</v>
      </c>
      <c r="G41" s="272"/>
      <c r="H41" s="126"/>
      <c r="I41" s="100">
        <v>1500000</v>
      </c>
      <c r="J41" s="101" t="s">
        <v>219</v>
      </c>
      <c r="K41" s="101" t="s">
        <v>54</v>
      </c>
      <c r="L41" s="140" t="str">
        <f>IF(AND('331-CT'!$E$7=TH!H41,OR(J41="331",K41="331")),"x","")</f>
        <v/>
      </c>
    </row>
    <row r="42" spans="1:12" s="115" customFormat="1">
      <c r="A42" s="78">
        <f t="shared" si="4"/>
        <v>2011</v>
      </c>
      <c r="B42" s="78">
        <f t="shared" si="5"/>
        <v>1</v>
      </c>
      <c r="C42" s="116">
        <v>40572</v>
      </c>
      <c r="D42" s="98" t="s">
        <v>17</v>
      </c>
      <c r="E42" s="98">
        <v>40572</v>
      </c>
      <c r="F42" s="99" t="s">
        <v>34</v>
      </c>
      <c r="G42" s="272"/>
      <c r="H42" s="126"/>
      <c r="I42" s="100">
        <v>20000</v>
      </c>
      <c r="J42" s="101" t="s">
        <v>242</v>
      </c>
      <c r="K42" s="101" t="s">
        <v>54</v>
      </c>
      <c r="L42" s="140" t="str">
        <f>IF(AND('331-CT'!$E$7=TH!H42,OR(J42="331",K42="331")),"x","")</f>
        <v/>
      </c>
    </row>
    <row r="43" spans="1:12" s="115" customFormat="1">
      <c r="A43" s="78">
        <f t="shared" si="4"/>
        <v>2011</v>
      </c>
      <c r="B43" s="78">
        <f t="shared" si="5"/>
        <v>1</v>
      </c>
      <c r="C43" s="116">
        <v>40572</v>
      </c>
      <c r="D43" s="98" t="s">
        <v>17</v>
      </c>
      <c r="E43" s="98">
        <v>40572</v>
      </c>
      <c r="F43" s="99" t="s">
        <v>35</v>
      </c>
      <c r="G43" s="272"/>
      <c r="H43" s="126"/>
      <c r="I43" s="100">
        <v>2000</v>
      </c>
      <c r="J43" s="101" t="s">
        <v>242</v>
      </c>
      <c r="K43" s="101" t="s">
        <v>54</v>
      </c>
      <c r="L43" s="140" t="str">
        <f>IF(AND('331-CT'!$E$7=TH!H43,OR(J43="331",K43="331")),"x","")</f>
        <v/>
      </c>
    </row>
    <row r="44" spans="1:12" s="115" customFormat="1">
      <c r="A44" s="78">
        <f t="shared" si="4"/>
        <v>2011</v>
      </c>
      <c r="B44" s="78">
        <f t="shared" si="5"/>
        <v>1</v>
      </c>
      <c r="C44" s="116">
        <v>40572</v>
      </c>
      <c r="D44" s="98" t="s">
        <v>17</v>
      </c>
      <c r="E44" s="98">
        <v>40572</v>
      </c>
      <c r="F44" s="99" t="s">
        <v>36</v>
      </c>
      <c r="G44" s="272"/>
      <c r="H44" s="126"/>
      <c r="I44" s="100">
        <v>10000</v>
      </c>
      <c r="J44" s="101" t="s">
        <v>242</v>
      </c>
      <c r="K44" s="101" t="s">
        <v>54</v>
      </c>
      <c r="L44" s="140" t="str">
        <f>IF(AND('331-CT'!$E$7=TH!H44,OR(J44="331",K44="331")),"x","")</f>
        <v/>
      </c>
    </row>
    <row r="45" spans="1:12" s="115" customFormat="1">
      <c r="A45" s="78">
        <f t="shared" si="4"/>
        <v>2011</v>
      </c>
      <c r="B45" s="78">
        <f t="shared" si="5"/>
        <v>1</v>
      </c>
      <c r="C45" s="116">
        <v>40572</v>
      </c>
      <c r="D45" s="98" t="s">
        <v>17</v>
      </c>
      <c r="E45" s="98">
        <v>40572</v>
      </c>
      <c r="F45" s="99" t="s">
        <v>37</v>
      </c>
      <c r="G45" s="272"/>
      <c r="H45" s="126"/>
      <c r="I45" s="100">
        <v>1000</v>
      </c>
      <c r="J45" s="101" t="s">
        <v>242</v>
      </c>
      <c r="K45" s="101" t="s">
        <v>54</v>
      </c>
      <c r="L45" s="140" t="str">
        <f>IF(AND('331-CT'!$E$7=TH!H45,OR(J45="331",K45="331")),"x","")</f>
        <v/>
      </c>
    </row>
    <row r="46" spans="1:12" s="115" customFormat="1">
      <c r="A46" s="78">
        <f t="shared" si="4"/>
        <v>2011</v>
      </c>
      <c r="B46" s="78">
        <f t="shared" si="5"/>
        <v>2</v>
      </c>
      <c r="C46" s="98">
        <v>40588</v>
      </c>
      <c r="D46" s="98" t="s">
        <v>93</v>
      </c>
      <c r="E46" s="98">
        <f>C46</f>
        <v>40588</v>
      </c>
      <c r="F46" s="99" t="s">
        <v>591</v>
      </c>
      <c r="G46" s="272"/>
      <c r="H46" s="126" t="s">
        <v>267</v>
      </c>
      <c r="I46" s="100">
        <v>50000000</v>
      </c>
      <c r="J46" s="101" t="s">
        <v>39</v>
      </c>
      <c r="K46" s="101" t="s">
        <v>203</v>
      </c>
      <c r="L46" s="140" t="str">
        <f>IF(AND('331-CT'!$E$7=TH!H46,OR(J46="331",K46="331")),"x","")</f>
        <v/>
      </c>
    </row>
    <row r="47" spans="1:12" s="115" customFormat="1">
      <c r="A47" s="78">
        <f t="shared" si="4"/>
        <v>2011</v>
      </c>
      <c r="B47" s="78">
        <f t="shared" si="5"/>
        <v>2</v>
      </c>
      <c r="C47" s="116">
        <v>40588</v>
      </c>
      <c r="D47" s="98" t="s">
        <v>21</v>
      </c>
      <c r="E47" s="98">
        <v>40588</v>
      </c>
      <c r="F47" s="99" t="s">
        <v>45</v>
      </c>
      <c r="G47" s="272"/>
      <c r="H47" s="126" t="s">
        <v>267</v>
      </c>
      <c r="I47" s="100">
        <v>50000000</v>
      </c>
      <c r="J47" s="101" t="s">
        <v>54</v>
      </c>
      <c r="K47" s="101" t="s">
        <v>39</v>
      </c>
      <c r="L47" s="140" t="str">
        <f>IF(AND('331-CT'!$E$7=TH!H47,OR(J47="331",K47="331")),"x","")</f>
        <v/>
      </c>
    </row>
    <row r="48" spans="1:12" s="115" customFormat="1">
      <c r="A48" s="78">
        <f t="shared" si="4"/>
        <v>2011</v>
      </c>
      <c r="B48" s="78">
        <f t="shared" si="5"/>
        <v>2</v>
      </c>
      <c r="C48" s="116">
        <f>E48</f>
        <v>40588</v>
      </c>
      <c r="D48" s="98" t="s">
        <v>17</v>
      </c>
      <c r="E48" s="98">
        <v>40588</v>
      </c>
      <c r="F48" s="99" t="s">
        <v>112</v>
      </c>
      <c r="G48" s="272"/>
      <c r="H48" s="126" t="s">
        <v>85</v>
      </c>
      <c r="I48" s="100">
        <v>50000000</v>
      </c>
      <c r="J48" s="101" t="s">
        <v>18</v>
      </c>
      <c r="K48" s="101" t="s">
        <v>54</v>
      </c>
      <c r="L48" s="140" t="str">
        <f>IF(AND('331-CT'!$E$7=TH!H48,OR(J48="331",K48="331")),"x","")</f>
        <v/>
      </c>
    </row>
    <row r="49" spans="1:12" s="115" customFormat="1">
      <c r="A49" s="78">
        <f t="shared" si="4"/>
        <v>2011</v>
      </c>
      <c r="B49" s="78">
        <f t="shared" si="5"/>
        <v>2</v>
      </c>
      <c r="C49" s="116">
        <v>40588</v>
      </c>
      <c r="D49" s="98" t="s">
        <v>17</v>
      </c>
      <c r="E49" s="98">
        <v>40588</v>
      </c>
      <c r="F49" s="99" t="s">
        <v>34</v>
      </c>
      <c r="G49" s="272"/>
      <c r="H49" s="126"/>
      <c r="I49" s="100">
        <v>25000</v>
      </c>
      <c r="J49" s="101" t="s">
        <v>242</v>
      </c>
      <c r="K49" s="101" t="s">
        <v>54</v>
      </c>
      <c r="L49" s="140" t="str">
        <f>IF(AND('331-CT'!$E$7=TH!H49,OR(J49="331",K49="331")),"x","")</f>
        <v/>
      </c>
    </row>
    <row r="50" spans="1:12" s="115" customFormat="1">
      <c r="A50" s="78">
        <f t="shared" si="4"/>
        <v>2011</v>
      </c>
      <c r="B50" s="78">
        <f t="shared" si="5"/>
        <v>2</v>
      </c>
      <c r="C50" s="116">
        <v>40588</v>
      </c>
      <c r="D50" s="98" t="s">
        <v>17</v>
      </c>
      <c r="E50" s="98">
        <v>40588</v>
      </c>
      <c r="F50" s="99" t="s">
        <v>35</v>
      </c>
      <c r="G50" s="272"/>
      <c r="H50" s="126"/>
      <c r="I50" s="100">
        <v>2500</v>
      </c>
      <c r="J50" s="101" t="s">
        <v>242</v>
      </c>
      <c r="K50" s="101" t="s">
        <v>54</v>
      </c>
      <c r="L50" s="140" t="str">
        <f>IF(AND('331-CT'!$E$7=TH!H50,OR(J50="331",K50="331")),"x","")</f>
        <v/>
      </c>
    </row>
    <row r="51" spans="1:12" s="115" customFormat="1">
      <c r="A51" s="78">
        <f t="shared" si="4"/>
        <v>2011</v>
      </c>
      <c r="B51" s="78">
        <f t="shared" si="5"/>
        <v>2</v>
      </c>
      <c r="C51" s="116">
        <v>40590</v>
      </c>
      <c r="D51" s="98" t="s">
        <v>17</v>
      </c>
      <c r="E51" s="98">
        <v>40590</v>
      </c>
      <c r="F51" s="99" t="s">
        <v>41</v>
      </c>
      <c r="G51" s="272"/>
      <c r="H51" s="126"/>
      <c r="I51" s="100">
        <v>5500</v>
      </c>
      <c r="J51" s="101" t="s">
        <v>242</v>
      </c>
      <c r="K51" s="101" t="s">
        <v>54</v>
      </c>
      <c r="L51" s="140" t="str">
        <f>IF(AND('331-CT'!$E$7=TH!H51,OR(J51="331",K51="331")),"x","")</f>
        <v/>
      </c>
    </row>
    <row r="52" spans="1:12" s="115" customFormat="1">
      <c r="A52" s="78">
        <f t="shared" si="4"/>
        <v>2011</v>
      </c>
      <c r="B52" s="78">
        <f t="shared" si="5"/>
        <v>2</v>
      </c>
      <c r="C52" s="116">
        <v>40591</v>
      </c>
      <c r="D52" s="98" t="s">
        <v>17</v>
      </c>
      <c r="E52" s="98">
        <v>40591</v>
      </c>
      <c r="F52" s="99" t="s">
        <v>41</v>
      </c>
      <c r="G52" s="272"/>
      <c r="H52" s="126"/>
      <c r="I52" s="100">
        <v>5500</v>
      </c>
      <c r="J52" s="101" t="s">
        <v>242</v>
      </c>
      <c r="K52" s="101" t="s">
        <v>54</v>
      </c>
      <c r="L52" s="140" t="str">
        <f>IF(AND('331-CT'!$E$7=TH!H52,OR(J52="331",K52="331")),"x","")</f>
        <v/>
      </c>
    </row>
    <row r="53" spans="1:12" s="115" customFormat="1">
      <c r="A53" s="78">
        <f t="shared" si="4"/>
        <v>2011</v>
      </c>
      <c r="B53" s="78">
        <f t="shared" si="5"/>
        <v>3</v>
      </c>
      <c r="C53" s="98">
        <v>40605</v>
      </c>
      <c r="D53" s="98" t="s">
        <v>72</v>
      </c>
      <c r="E53" s="98">
        <f>C53</f>
        <v>40605</v>
      </c>
      <c r="F53" s="99" t="s">
        <v>591</v>
      </c>
      <c r="G53" s="272"/>
      <c r="H53" s="126" t="s">
        <v>268</v>
      </c>
      <c r="I53" s="100">
        <v>100000000</v>
      </c>
      <c r="J53" s="101" t="s">
        <v>39</v>
      </c>
      <c r="K53" s="101" t="s">
        <v>203</v>
      </c>
      <c r="L53" s="140" t="str">
        <f>IF(AND('331-CT'!$E$7=TH!H53,OR(J53="331",K53="331")),"x","")</f>
        <v/>
      </c>
    </row>
    <row r="54" spans="1:12" s="115" customFormat="1">
      <c r="A54" s="78">
        <f t="shared" si="4"/>
        <v>2011</v>
      </c>
      <c r="B54" s="78">
        <f t="shared" si="5"/>
        <v>3</v>
      </c>
      <c r="C54" s="116">
        <v>40605</v>
      </c>
      <c r="D54" s="98" t="s">
        <v>21</v>
      </c>
      <c r="E54" s="98">
        <v>40605</v>
      </c>
      <c r="F54" s="99" t="s">
        <v>38</v>
      </c>
      <c r="G54" s="272"/>
      <c r="H54" s="126" t="s">
        <v>268</v>
      </c>
      <c r="I54" s="100">
        <v>100000000</v>
      </c>
      <c r="J54" s="101" t="s">
        <v>54</v>
      </c>
      <c r="K54" s="101" t="s">
        <v>39</v>
      </c>
      <c r="L54" s="140" t="str">
        <f>IF(AND('331-CT'!$E$7=TH!H54,OR(J54="331",K54="331")),"x","")</f>
        <v/>
      </c>
    </row>
    <row r="55" spans="1:12" s="115" customFormat="1">
      <c r="A55" s="78">
        <f t="shared" si="4"/>
        <v>2011</v>
      </c>
      <c r="B55" s="78">
        <f t="shared" si="5"/>
        <v>3</v>
      </c>
      <c r="C55" s="116">
        <f>E55</f>
        <v>40605</v>
      </c>
      <c r="D55" s="98" t="s">
        <v>17</v>
      </c>
      <c r="E55" s="98">
        <v>40605</v>
      </c>
      <c r="F55" s="99" t="s">
        <v>112</v>
      </c>
      <c r="G55" s="272"/>
      <c r="H55" s="126" t="s">
        <v>85</v>
      </c>
      <c r="I55" s="100">
        <v>100000000</v>
      </c>
      <c r="J55" s="101" t="s">
        <v>18</v>
      </c>
      <c r="K55" s="101" t="s">
        <v>54</v>
      </c>
      <c r="L55" s="140" t="str">
        <f>IF(AND('331-CT'!$E$7=TH!H55,OR(J55="331",K55="331")),"x","")</f>
        <v/>
      </c>
    </row>
    <row r="56" spans="1:12" s="115" customFormat="1">
      <c r="A56" s="78">
        <f t="shared" si="4"/>
        <v>2011</v>
      </c>
      <c r="B56" s="78">
        <f t="shared" si="5"/>
        <v>3</v>
      </c>
      <c r="C56" s="116">
        <v>40605</v>
      </c>
      <c r="D56" s="98" t="s">
        <v>17</v>
      </c>
      <c r="E56" s="98">
        <v>40605</v>
      </c>
      <c r="F56" s="99" t="s">
        <v>34</v>
      </c>
      <c r="G56" s="272"/>
      <c r="H56" s="126"/>
      <c r="I56" s="100">
        <v>50000</v>
      </c>
      <c r="J56" s="101" t="s">
        <v>242</v>
      </c>
      <c r="K56" s="101" t="s">
        <v>54</v>
      </c>
      <c r="L56" s="140" t="str">
        <f>IF(AND('331-CT'!$E$7=TH!H56,OR(J56="331",K56="331")),"x","")</f>
        <v/>
      </c>
    </row>
    <row r="57" spans="1:12" s="115" customFormat="1">
      <c r="A57" s="78">
        <f t="shared" si="4"/>
        <v>2011</v>
      </c>
      <c r="B57" s="78">
        <f t="shared" si="5"/>
        <v>3</v>
      </c>
      <c r="C57" s="116">
        <v>40605</v>
      </c>
      <c r="D57" s="98" t="s">
        <v>17</v>
      </c>
      <c r="E57" s="98">
        <v>40605</v>
      </c>
      <c r="F57" s="99" t="s">
        <v>35</v>
      </c>
      <c r="G57" s="272"/>
      <c r="H57" s="126"/>
      <c r="I57" s="100">
        <v>5000</v>
      </c>
      <c r="J57" s="101" t="s">
        <v>242</v>
      </c>
      <c r="K57" s="101" t="s">
        <v>54</v>
      </c>
      <c r="L57" s="140" t="str">
        <f>IF(AND('331-CT'!$E$7=TH!H57,OR(J57="331",K57="331")),"x","")</f>
        <v/>
      </c>
    </row>
    <row r="58" spans="1:12" s="115" customFormat="1">
      <c r="A58" s="78">
        <f t="shared" si="4"/>
        <v>2011</v>
      </c>
      <c r="B58" s="78">
        <f t="shared" si="5"/>
        <v>3</v>
      </c>
      <c r="C58" s="116">
        <v>40618</v>
      </c>
      <c r="D58" s="98" t="s">
        <v>17</v>
      </c>
      <c r="E58" s="98">
        <v>40618</v>
      </c>
      <c r="F58" s="117" t="s">
        <v>41</v>
      </c>
      <c r="G58" s="103"/>
      <c r="H58" s="126"/>
      <c r="I58" s="100">
        <v>5500</v>
      </c>
      <c r="J58" s="101" t="s">
        <v>242</v>
      </c>
      <c r="K58" s="101" t="s">
        <v>54</v>
      </c>
      <c r="L58" s="140" t="str">
        <f>IF(AND('331-CT'!$E$7=TH!H58,OR(J58="331",K58="331")),"x","")</f>
        <v/>
      </c>
    </row>
    <row r="59" spans="1:12" s="115" customFormat="1">
      <c r="A59" s="78">
        <f t="shared" si="4"/>
        <v>2011</v>
      </c>
      <c r="B59" s="78">
        <f t="shared" si="5"/>
        <v>3</v>
      </c>
      <c r="C59" s="116">
        <v>40619</v>
      </c>
      <c r="D59" s="98" t="s">
        <v>17</v>
      </c>
      <c r="E59" s="98">
        <v>40619</v>
      </c>
      <c r="F59" s="99" t="s">
        <v>41</v>
      </c>
      <c r="G59" s="272"/>
      <c r="H59" s="126"/>
      <c r="I59" s="100">
        <v>5500</v>
      </c>
      <c r="J59" s="101" t="s">
        <v>242</v>
      </c>
      <c r="K59" s="101" t="s">
        <v>54</v>
      </c>
      <c r="L59" s="140" t="str">
        <f>IF(AND('331-CT'!$E$7=TH!H59,OR(J59="331",K59="331")),"x","")</f>
        <v/>
      </c>
    </row>
    <row r="60" spans="1:12" s="115" customFormat="1">
      <c r="A60" s="78">
        <f t="shared" si="4"/>
        <v>2011</v>
      </c>
      <c r="B60" s="78">
        <f t="shared" si="5"/>
        <v>3</v>
      </c>
      <c r="C60" s="98">
        <v>40623</v>
      </c>
      <c r="D60" s="98" t="s">
        <v>71</v>
      </c>
      <c r="E60" s="98">
        <f>C60</f>
        <v>40623</v>
      </c>
      <c r="F60" s="99" t="s">
        <v>591</v>
      </c>
      <c r="G60" s="272"/>
      <c r="H60" s="126" t="s">
        <v>267</v>
      </c>
      <c r="I60" s="100">
        <v>232500000</v>
      </c>
      <c r="J60" s="101" t="s">
        <v>39</v>
      </c>
      <c r="K60" s="101" t="s">
        <v>203</v>
      </c>
      <c r="L60" s="140" t="str">
        <f>IF(AND('331-CT'!$E$7=TH!H60,OR(J60="331",K60="331")),"x","")</f>
        <v/>
      </c>
    </row>
    <row r="61" spans="1:12" s="115" customFormat="1">
      <c r="A61" s="78">
        <f t="shared" si="4"/>
        <v>2011</v>
      </c>
      <c r="B61" s="78">
        <f t="shared" si="5"/>
        <v>3</v>
      </c>
      <c r="C61" s="116">
        <v>40623</v>
      </c>
      <c r="D61" s="98" t="s">
        <v>21</v>
      </c>
      <c r="E61" s="98">
        <v>40623</v>
      </c>
      <c r="F61" s="99" t="s">
        <v>45</v>
      </c>
      <c r="G61" s="272"/>
      <c r="H61" s="126" t="s">
        <v>267</v>
      </c>
      <c r="I61" s="100">
        <v>232500000</v>
      </c>
      <c r="J61" s="101" t="s">
        <v>54</v>
      </c>
      <c r="K61" s="101" t="s">
        <v>39</v>
      </c>
      <c r="L61" s="140" t="str">
        <f>IF(AND('331-CT'!$E$7=TH!H61,OR(J61="331",K61="331")),"x","")</f>
        <v/>
      </c>
    </row>
    <row r="62" spans="1:12" s="115" customFormat="1">
      <c r="A62" s="78">
        <f t="shared" si="4"/>
        <v>2011</v>
      </c>
      <c r="B62" s="78">
        <f t="shared" si="5"/>
        <v>3</v>
      </c>
      <c r="C62" s="116">
        <f>E62</f>
        <v>40623</v>
      </c>
      <c r="D62" s="98" t="s">
        <v>17</v>
      </c>
      <c r="E62" s="98">
        <v>40623</v>
      </c>
      <c r="F62" s="99" t="s">
        <v>112</v>
      </c>
      <c r="G62" s="272"/>
      <c r="H62" s="126" t="s">
        <v>85</v>
      </c>
      <c r="I62" s="100">
        <v>200000000</v>
      </c>
      <c r="J62" s="101" t="s">
        <v>18</v>
      </c>
      <c r="K62" s="101" t="s">
        <v>54</v>
      </c>
      <c r="L62" s="140" t="str">
        <f>IF(AND('331-CT'!$E$7=TH!H62,OR(J62="331",K62="331")),"x","")</f>
        <v/>
      </c>
    </row>
    <row r="63" spans="1:12" s="115" customFormat="1">
      <c r="A63" s="78">
        <f t="shared" si="4"/>
        <v>2011</v>
      </c>
      <c r="B63" s="78">
        <f t="shared" si="5"/>
        <v>3</v>
      </c>
      <c r="C63" s="116">
        <v>40623</v>
      </c>
      <c r="D63" s="98" t="s">
        <v>17</v>
      </c>
      <c r="E63" s="98">
        <v>40623</v>
      </c>
      <c r="F63" s="99" t="s">
        <v>34</v>
      </c>
      <c r="G63" s="272"/>
      <c r="H63" s="126"/>
      <c r="I63" s="100">
        <v>100000</v>
      </c>
      <c r="J63" s="101" t="s">
        <v>242</v>
      </c>
      <c r="K63" s="101" t="s">
        <v>54</v>
      </c>
      <c r="L63" s="140" t="str">
        <f>IF(AND('331-CT'!$E$7=TH!H63,OR(J63="331",K63="331")),"x","")</f>
        <v/>
      </c>
    </row>
    <row r="64" spans="1:12" s="115" customFormat="1">
      <c r="A64" s="78">
        <f t="shared" si="4"/>
        <v>2011</v>
      </c>
      <c r="B64" s="78">
        <f t="shared" si="5"/>
        <v>3</v>
      </c>
      <c r="C64" s="116">
        <v>40623</v>
      </c>
      <c r="D64" s="98" t="s">
        <v>17</v>
      </c>
      <c r="E64" s="98">
        <v>40623</v>
      </c>
      <c r="F64" s="99" t="s">
        <v>35</v>
      </c>
      <c r="G64" s="272"/>
      <c r="H64" s="126"/>
      <c r="I64" s="100">
        <v>10000</v>
      </c>
      <c r="J64" s="101" t="s">
        <v>242</v>
      </c>
      <c r="K64" s="101" t="s">
        <v>54</v>
      </c>
      <c r="L64" s="140" t="str">
        <f>IF(AND('331-CT'!$E$7=TH!H64,OR(J64="331",K64="331")),"x","")</f>
        <v/>
      </c>
    </row>
    <row r="65" spans="1:12" s="115" customFormat="1">
      <c r="A65" s="78">
        <f t="shared" si="4"/>
        <v>2011</v>
      </c>
      <c r="B65" s="78">
        <f t="shared" si="5"/>
        <v>3</v>
      </c>
      <c r="C65" s="98">
        <f>E65</f>
        <v>40623</v>
      </c>
      <c r="D65" s="98" t="s">
        <v>78</v>
      </c>
      <c r="E65" s="98">
        <v>40623</v>
      </c>
      <c r="F65" s="99" t="s">
        <v>115</v>
      </c>
      <c r="G65" s="277" t="s">
        <v>575</v>
      </c>
      <c r="H65" s="127" t="s">
        <v>83</v>
      </c>
      <c r="I65" s="100">
        <v>32288666</v>
      </c>
      <c r="J65" s="101" t="s">
        <v>242</v>
      </c>
      <c r="K65" s="101" t="s">
        <v>18</v>
      </c>
      <c r="L65" s="140" t="str">
        <f>IF(AND('331-CT'!$E$7=TH!H65,OR(J65="331",K65="331")),"x","")</f>
        <v/>
      </c>
    </row>
    <row r="66" spans="1:12" s="115" customFormat="1">
      <c r="A66" s="78">
        <f t="shared" si="4"/>
        <v>2011</v>
      </c>
      <c r="B66" s="78">
        <f t="shared" si="5"/>
        <v>3</v>
      </c>
      <c r="C66" s="116">
        <f>E66</f>
        <v>40623</v>
      </c>
      <c r="D66" s="98" t="s">
        <v>17</v>
      </c>
      <c r="E66" s="98">
        <v>40623</v>
      </c>
      <c r="F66" s="99" t="s">
        <v>114</v>
      </c>
      <c r="G66" s="272"/>
      <c r="H66" s="126" t="s">
        <v>83</v>
      </c>
      <c r="I66" s="100">
        <v>32288666</v>
      </c>
      <c r="J66" s="101" t="s">
        <v>18</v>
      </c>
      <c r="K66" s="101" t="s">
        <v>54</v>
      </c>
      <c r="L66" s="140" t="str">
        <f>IF(AND('331-CT'!$E$7=TH!H66,OR(J66="331",K66="331")),"x","")</f>
        <v/>
      </c>
    </row>
    <row r="67" spans="1:12" s="115" customFormat="1">
      <c r="A67" s="78">
        <f t="shared" si="4"/>
        <v>2011</v>
      </c>
      <c r="B67" s="78">
        <f t="shared" si="5"/>
        <v>3</v>
      </c>
      <c r="C67" s="116">
        <v>40623</v>
      </c>
      <c r="D67" s="98" t="s">
        <v>17</v>
      </c>
      <c r="E67" s="98">
        <v>40623</v>
      </c>
      <c r="F67" s="99" t="s">
        <v>34</v>
      </c>
      <c r="G67" s="272"/>
      <c r="H67" s="126"/>
      <c r="I67" s="100">
        <v>20000</v>
      </c>
      <c r="J67" s="101" t="s">
        <v>242</v>
      </c>
      <c r="K67" s="101" t="s">
        <v>54</v>
      </c>
      <c r="L67" s="140" t="str">
        <f>IF(AND('331-CT'!$E$7=TH!H67,OR(J67="331",K67="331")),"x","")</f>
        <v/>
      </c>
    </row>
    <row r="68" spans="1:12" s="115" customFormat="1">
      <c r="A68" s="78">
        <f t="shared" si="4"/>
        <v>2011</v>
      </c>
      <c r="B68" s="78">
        <f t="shared" si="5"/>
        <v>3</v>
      </c>
      <c r="C68" s="116">
        <v>40623</v>
      </c>
      <c r="D68" s="98" t="s">
        <v>17</v>
      </c>
      <c r="E68" s="98">
        <v>40623</v>
      </c>
      <c r="F68" s="99" t="s">
        <v>35</v>
      </c>
      <c r="G68" s="272"/>
      <c r="H68" s="126"/>
      <c r="I68" s="100">
        <v>2000</v>
      </c>
      <c r="J68" s="101" t="s">
        <v>242</v>
      </c>
      <c r="K68" s="101" t="s">
        <v>54</v>
      </c>
      <c r="L68" s="140" t="str">
        <f>IF(AND('331-CT'!$E$7=TH!H68,OR(J68="331",K68="331")),"x","")</f>
        <v/>
      </c>
    </row>
    <row r="69" spans="1:12" s="115" customFormat="1">
      <c r="A69" s="78">
        <f t="shared" si="4"/>
        <v>2011</v>
      </c>
      <c r="B69" s="78">
        <f t="shared" si="5"/>
        <v>3</v>
      </c>
      <c r="C69" s="98">
        <v>40630</v>
      </c>
      <c r="D69" s="98" t="s">
        <v>133</v>
      </c>
      <c r="E69" s="98">
        <f>C69</f>
        <v>40630</v>
      </c>
      <c r="F69" s="99" t="s">
        <v>591</v>
      </c>
      <c r="G69" s="272"/>
      <c r="H69" s="126" t="s">
        <v>268</v>
      </c>
      <c r="I69" s="100">
        <v>100000000</v>
      </c>
      <c r="J69" s="101" t="s">
        <v>39</v>
      </c>
      <c r="K69" s="101" t="s">
        <v>203</v>
      </c>
      <c r="L69" s="140" t="str">
        <f>IF(AND('331-CT'!$E$7=TH!H69,OR(J69="331",K69="331")),"x","")</f>
        <v/>
      </c>
    </row>
    <row r="70" spans="1:12" s="115" customFormat="1">
      <c r="A70" s="78">
        <f t="shared" si="4"/>
        <v>2011</v>
      </c>
      <c r="B70" s="78">
        <f t="shared" si="5"/>
        <v>3</v>
      </c>
      <c r="C70" s="116">
        <v>40630</v>
      </c>
      <c r="D70" s="98" t="s">
        <v>21</v>
      </c>
      <c r="E70" s="98">
        <v>40630</v>
      </c>
      <c r="F70" s="99" t="s">
        <v>38</v>
      </c>
      <c r="G70" s="272"/>
      <c r="H70" s="126" t="s">
        <v>268</v>
      </c>
      <c r="I70" s="100">
        <v>100000000</v>
      </c>
      <c r="J70" s="101" t="s">
        <v>54</v>
      </c>
      <c r="K70" s="101" t="s">
        <v>39</v>
      </c>
      <c r="L70" s="140" t="str">
        <f>IF(AND('331-CT'!$E$7=TH!H70,OR(J70="331",K70="331")),"x","")</f>
        <v/>
      </c>
    </row>
    <row r="71" spans="1:12" s="115" customFormat="1">
      <c r="A71" s="78">
        <f t="shared" si="4"/>
        <v>2011</v>
      </c>
      <c r="B71" s="78">
        <f t="shared" si="5"/>
        <v>3</v>
      </c>
      <c r="C71" s="116">
        <f>E71</f>
        <v>40630</v>
      </c>
      <c r="D71" s="98" t="s">
        <v>17</v>
      </c>
      <c r="E71" s="98">
        <v>40630</v>
      </c>
      <c r="F71" s="99" t="s">
        <v>112</v>
      </c>
      <c r="G71" s="272"/>
      <c r="H71" s="126" t="s">
        <v>85</v>
      </c>
      <c r="I71" s="100">
        <v>100000000</v>
      </c>
      <c r="J71" s="101" t="s">
        <v>18</v>
      </c>
      <c r="K71" s="101" t="s">
        <v>54</v>
      </c>
      <c r="L71" s="140" t="str">
        <f>IF(AND('331-CT'!$E$7=TH!H71,OR(J71="331",K71="331")),"x","")</f>
        <v/>
      </c>
    </row>
    <row r="72" spans="1:12" s="115" customFormat="1">
      <c r="A72" s="78">
        <f t="shared" si="4"/>
        <v>2011</v>
      </c>
      <c r="B72" s="78">
        <f t="shared" si="5"/>
        <v>3</v>
      </c>
      <c r="C72" s="116">
        <v>40630</v>
      </c>
      <c r="D72" s="98" t="s">
        <v>17</v>
      </c>
      <c r="E72" s="98">
        <v>40630</v>
      </c>
      <c r="F72" s="99" t="s">
        <v>34</v>
      </c>
      <c r="G72" s="272"/>
      <c r="H72" s="126"/>
      <c r="I72" s="100">
        <v>50000</v>
      </c>
      <c r="J72" s="101" t="s">
        <v>242</v>
      </c>
      <c r="K72" s="101" t="s">
        <v>54</v>
      </c>
      <c r="L72" s="140" t="str">
        <f>IF(AND('331-CT'!$E$7=TH!H72,OR(J72="331",K72="331")),"x","")</f>
        <v/>
      </c>
    </row>
    <row r="73" spans="1:12" s="115" customFormat="1">
      <c r="A73" s="78">
        <f t="shared" si="4"/>
        <v>2011</v>
      </c>
      <c r="B73" s="78">
        <f t="shared" si="5"/>
        <v>3</v>
      </c>
      <c r="C73" s="116">
        <v>40630</v>
      </c>
      <c r="D73" s="98" t="s">
        <v>17</v>
      </c>
      <c r="E73" s="98">
        <v>40630</v>
      </c>
      <c r="F73" s="99" t="s">
        <v>35</v>
      </c>
      <c r="G73" s="272"/>
      <c r="H73" s="126"/>
      <c r="I73" s="100">
        <v>5000</v>
      </c>
      <c r="J73" s="101" t="s">
        <v>242</v>
      </c>
      <c r="K73" s="101" t="s">
        <v>54</v>
      </c>
      <c r="L73" s="140" t="str">
        <f>IF(AND('331-CT'!$E$7=TH!H73,OR(J73="331",K73="331")),"x","")</f>
        <v/>
      </c>
    </row>
    <row r="74" spans="1:12" s="115" customFormat="1">
      <c r="A74" s="78">
        <f t="shared" si="4"/>
        <v>2011</v>
      </c>
      <c r="B74" s="78">
        <f t="shared" si="5"/>
        <v>4</v>
      </c>
      <c r="C74" s="116">
        <v>40649</v>
      </c>
      <c r="D74" s="98" t="s">
        <v>17</v>
      </c>
      <c r="E74" s="98">
        <v>40649</v>
      </c>
      <c r="F74" s="99" t="s">
        <v>41</v>
      </c>
      <c r="G74" s="272"/>
      <c r="H74" s="126"/>
      <c r="I74" s="100">
        <v>5500</v>
      </c>
      <c r="J74" s="101" t="s">
        <v>242</v>
      </c>
      <c r="K74" s="101" t="s">
        <v>54</v>
      </c>
      <c r="L74" s="140" t="str">
        <f>IF(AND('331-CT'!$E$7=TH!H74,OR(J74="331",K74="331")),"x","")</f>
        <v/>
      </c>
    </row>
    <row r="75" spans="1:12" s="115" customFormat="1">
      <c r="A75" s="78">
        <f t="shared" si="4"/>
        <v>2011</v>
      </c>
      <c r="B75" s="78">
        <f t="shared" si="5"/>
        <v>4</v>
      </c>
      <c r="C75" s="116">
        <v>40651</v>
      </c>
      <c r="D75" s="98" t="s">
        <v>17</v>
      </c>
      <c r="E75" s="98">
        <v>40651</v>
      </c>
      <c r="F75" s="99" t="s">
        <v>41</v>
      </c>
      <c r="G75" s="272"/>
      <c r="H75" s="126"/>
      <c r="I75" s="100">
        <v>5500</v>
      </c>
      <c r="J75" s="101" t="s">
        <v>242</v>
      </c>
      <c r="K75" s="101" t="s">
        <v>54</v>
      </c>
      <c r="L75" s="140" t="str">
        <f>IF(AND('331-CT'!$E$7=TH!H75,OR(J75="331",K75="331")),"x","")</f>
        <v/>
      </c>
    </row>
    <row r="76" spans="1:12" s="115" customFormat="1">
      <c r="A76" s="78">
        <f t="shared" ref="A76:A139" si="7">IF(C76&lt;&gt;"",YEAR(C76),"")</f>
        <v>2011</v>
      </c>
      <c r="B76" s="78">
        <f t="shared" ref="B76:B139" si="8">IF(C76&lt;&gt;"",MONTH(C76),"")</f>
        <v>5</v>
      </c>
      <c r="C76" s="116">
        <v>40679</v>
      </c>
      <c r="D76" s="98" t="s">
        <v>17</v>
      </c>
      <c r="E76" s="98">
        <v>40679</v>
      </c>
      <c r="F76" s="99" t="s">
        <v>41</v>
      </c>
      <c r="G76" s="272"/>
      <c r="H76" s="126"/>
      <c r="I76" s="100">
        <v>5500</v>
      </c>
      <c r="J76" s="101" t="s">
        <v>242</v>
      </c>
      <c r="K76" s="101" t="s">
        <v>54</v>
      </c>
      <c r="L76" s="140" t="str">
        <f>IF(AND('331-CT'!$E$7=TH!H76,OR(J76="331",K76="331")),"x","")</f>
        <v/>
      </c>
    </row>
    <row r="77" spans="1:12" s="115" customFormat="1">
      <c r="A77" s="78">
        <f t="shared" si="7"/>
        <v>2011</v>
      </c>
      <c r="B77" s="78">
        <f t="shared" si="8"/>
        <v>5</v>
      </c>
      <c r="C77" s="116">
        <v>40680</v>
      </c>
      <c r="D77" s="98" t="s">
        <v>17</v>
      </c>
      <c r="E77" s="98">
        <v>40680</v>
      </c>
      <c r="F77" s="99" t="s">
        <v>41</v>
      </c>
      <c r="G77" s="272"/>
      <c r="H77" s="126"/>
      <c r="I77" s="100">
        <v>5500</v>
      </c>
      <c r="J77" s="101" t="s">
        <v>242</v>
      </c>
      <c r="K77" s="101" t="s">
        <v>54</v>
      </c>
      <c r="L77" s="140" t="str">
        <f>IF(AND('331-CT'!$E$7=TH!H77,OR(J77="331",K77="331")),"x","")</f>
        <v/>
      </c>
    </row>
    <row r="78" spans="1:12" s="115" customFormat="1">
      <c r="A78" s="78">
        <f t="shared" si="7"/>
        <v>2011</v>
      </c>
      <c r="B78" s="78">
        <f t="shared" si="8"/>
        <v>5</v>
      </c>
      <c r="C78" s="98">
        <v>40686</v>
      </c>
      <c r="D78" s="98" t="s">
        <v>134</v>
      </c>
      <c r="E78" s="98">
        <f>C78</f>
        <v>40686</v>
      </c>
      <c r="F78" s="99" t="s">
        <v>591</v>
      </c>
      <c r="G78" s="272"/>
      <c r="H78" s="126" t="s">
        <v>268</v>
      </c>
      <c r="I78" s="100">
        <v>100000000</v>
      </c>
      <c r="J78" s="101" t="s">
        <v>39</v>
      </c>
      <c r="K78" s="101" t="s">
        <v>203</v>
      </c>
      <c r="L78" s="140" t="str">
        <f>IF(AND('331-CT'!$E$7=TH!H78,OR(J78="331",K78="331")),"x","")</f>
        <v/>
      </c>
    </row>
    <row r="79" spans="1:12" s="115" customFormat="1">
      <c r="A79" s="78">
        <f t="shared" si="7"/>
        <v>2011</v>
      </c>
      <c r="B79" s="78">
        <f t="shared" si="8"/>
        <v>5</v>
      </c>
      <c r="C79" s="116">
        <v>40686</v>
      </c>
      <c r="D79" s="98" t="s">
        <v>21</v>
      </c>
      <c r="E79" s="98">
        <v>40686</v>
      </c>
      <c r="F79" s="99" t="s">
        <v>38</v>
      </c>
      <c r="G79" s="272"/>
      <c r="H79" s="126" t="s">
        <v>268</v>
      </c>
      <c r="I79" s="100">
        <v>100000000</v>
      </c>
      <c r="J79" s="101" t="s">
        <v>54</v>
      </c>
      <c r="K79" s="101" t="s">
        <v>39</v>
      </c>
      <c r="L79" s="140" t="str">
        <f>IF(AND('331-CT'!$E$7=TH!H79,OR(J79="331",K79="331")),"x","")</f>
        <v/>
      </c>
    </row>
    <row r="80" spans="1:12" s="115" customFormat="1">
      <c r="A80" s="78">
        <f t="shared" si="7"/>
        <v>2011</v>
      </c>
      <c r="B80" s="78">
        <f t="shared" si="8"/>
        <v>5</v>
      </c>
      <c r="C80" s="116">
        <f>E80</f>
        <v>40686</v>
      </c>
      <c r="D80" s="98" t="s">
        <v>17</v>
      </c>
      <c r="E80" s="98">
        <v>40686</v>
      </c>
      <c r="F80" s="99" t="s">
        <v>112</v>
      </c>
      <c r="G80" s="272"/>
      <c r="H80" s="126" t="s">
        <v>85</v>
      </c>
      <c r="I80" s="100">
        <v>100000000</v>
      </c>
      <c r="J80" s="101" t="s">
        <v>18</v>
      </c>
      <c r="K80" s="101" t="s">
        <v>54</v>
      </c>
      <c r="L80" s="140" t="str">
        <f>IF(AND('331-CT'!$E$7=TH!H80,OR(J80="331",K80="331")),"x","")</f>
        <v/>
      </c>
    </row>
    <row r="81" spans="1:12" s="115" customFormat="1">
      <c r="A81" s="78">
        <f t="shared" si="7"/>
        <v>2011</v>
      </c>
      <c r="B81" s="78">
        <f t="shared" si="8"/>
        <v>5</v>
      </c>
      <c r="C81" s="116">
        <v>40686</v>
      </c>
      <c r="D81" s="98" t="s">
        <v>17</v>
      </c>
      <c r="E81" s="98">
        <v>40686</v>
      </c>
      <c r="F81" s="99" t="s">
        <v>34</v>
      </c>
      <c r="G81" s="272"/>
      <c r="H81" s="126"/>
      <c r="I81" s="100">
        <v>50000</v>
      </c>
      <c r="J81" s="101" t="s">
        <v>242</v>
      </c>
      <c r="K81" s="101" t="s">
        <v>54</v>
      </c>
      <c r="L81" s="140" t="str">
        <f>IF(AND('331-CT'!$E$7=TH!H81,OR(J81="331",K81="331")),"x","")</f>
        <v/>
      </c>
    </row>
    <row r="82" spans="1:12" s="115" customFormat="1">
      <c r="A82" s="78">
        <f t="shared" si="7"/>
        <v>2011</v>
      </c>
      <c r="B82" s="78">
        <f t="shared" si="8"/>
        <v>5</v>
      </c>
      <c r="C82" s="116">
        <v>40686</v>
      </c>
      <c r="D82" s="98" t="s">
        <v>17</v>
      </c>
      <c r="E82" s="98">
        <v>40686</v>
      </c>
      <c r="F82" s="99" t="s">
        <v>35</v>
      </c>
      <c r="G82" s="272"/>
      <c r="H82" s="126"/>
      <c r="I82" s="100">
        <v>5000</v>
      </c>
      <c r="J82" s="101" t="s">
        <v>242</v>
      </c>
      <c r="K82" s="101" t="s">
        <v>54</v>
      </c>
      <c r="L82" s="140" t="str">
        <f>IF(AND('331-CT'!$E$7=TH!H82,OR(J82="331",K82="331")),"x","")</f>
        <v/>
      </c>
    </row>
    <row r="83" spans="1:12" s="115" customFormat="1">
      <c r="A83" s="78">
        <f t="shared" si="7"/>
        <v>2011</v>
      </c>
      <c r="B83" s="78">
        <f t="shared" si="8"/>
        <v>5</v>
      </c>
      <c r="C83" s="98">
        <v>40690</v>
      </c>
      <c r="D83" s="98" t="s">
        <v>135</v>
      </c>
      <c r="E83" s="98">
        <f>C83</f>
        <v>40690</v>
      </c>
      <c r="F83" s="99" t="s">
        <v>590</v>
      </c>
      <c r="G83" s="272"/>
      <c r="H83" s="122" t="s">
        <v>445</v>
      </c>
      <c r="I83" s="100">
        <v>50000000</v>
      </c>
      <c r="J83" s="101" t="s">
        <v>54</v>
      </c>
      <c r="K83" s="101" t="s">
        <v>203</v>
      </c>
      <c r="L83" s="140" t="str">
        <f>IF(AND('331-CT'!$E$7=TH!H83,OR(J83="331",K83="331")),"x","")</f>
        <v/>
      </c>
    </row>
    <row r="84" spans="1:12" s="115" customFormat="1">
      <c r="A84" s="78">
        <f t="shared" si="7"/>
        <v>2011</v>
      </c>
      <c r="B84" s="78">
        <f t="shared" si="8"/>
        <v>5</v>
      </c>
      <c r="C84" s="116">
        <f>E84</f>
        <v>40690</v>
      </c>
      <c r="D84" s="98" t="s">
        <v>17</v>
      </c>
      <c r="E84" s="98">
        <v>40690</v>
      </c>
      <c r="F84" s="99" t="s">
        <v>112</v>
      </c>
      <c r="G84" s="272"/>
      <c r="H84" s="126" t="s">
        <v>85</v>
      </c>
      <c r="I84" s="100">
        <v>50000000</v>
      </c>
      <c r="J84" s="101" t="s">
        <v>18</v>
      </c>
      <c r="K84" s="101" t="s">
        <v>54</v>
      </c>
      <c r="L84" s="140" t="str">
        <f>IF(AND('331-CT'!$E$7=TH!H84,OR(J84="331",K84="331")),"x","")</f>
        <v/>
      </c>
    </row>
    <row r="85" spans="1:12" s="115" customFormat="1">
      <c r="A85" s="78">
        <f t="shared" si="7"/>
        <v>2011</v>
      </c>
      <c r="B85" s="78">
        <f t="shared" si="8"/>
        <v>5</v>
      </c>
      <c r="C85" s="116">
        <v>40690</v>
      </c>
      <c r="D85" s="98" t="s">
        <v>17</v>
      </c>
      <c r="E85" s="98">
        <v>40690</v>
      </c>
      <c r="F85" s="99" t="s">
        <v>34</v>
      </c>
      <c r="G85" s="272"/>
      <c r="H85" s="126"/>
      <c r="I85" s="100">
        <v>25000</v>
      </c>
      <c r="J85" s="101" t="s">
        <v>242</v>
      </c>
      <c r="K85" s="101" t="s">
        <v>54</v>
      </c>
      <c r="L85" s="140" t="str">
        <f>IF(AND('331-CT'!$E$7=TH!H85,OR(J85="331",K85="331")),"x","")</f>
        <v/>
      </c>
    </row>
    <row r="86" spans="1:12" s="115" customFormat="1">
      <c r="A86" s="78">
        <f t="shared" si="7"/>
        <v>2011</v>
      </c>
      <c r="B86" s="78">
        <f t="shared" si="8"/>
        <v>5</v>
      </c>
      <c r="C86" s="116">
        <v>40690</v>
      </c>
      <c r="D86" s="98" t="s">
        <v>17</v>
      </c>
      <c r="E86" s="98">
        <v>40690</v>
      </c>
      <c r="F86" s="99" t="s">
        <v>35</v>
      </c>
      <c r="G86" s="272"/>
      <c r="H86" s="126"/>
      <c r="I86" s="100">
        <v>14907</v>
      </c>
      <c r="J86" s="101" t="s">
        <v>242</v>
      </c>
      <c r="K86" s="101" t="s">
        <v>54</v>
      </c>
      <c r="L86" s="140" t="str">
        <f>IF(AND('331-CT'!$E$7=TH!H86,OR(J86="331",K86="331")),"x","")</f>
        <v/>
      </c>
    </row>
    <row r="87" spans="1:12" s="115" customFormat="1">
      <c r="A87" s="78">
        <f t="shared" si="7"/>
        <v>2011</v>
      </c>
      <c r="B87" s="78">
        <f t="shared" si="8"/>
        <v>5</v>
      </c>
      <c r="C87" s="116">
        <v>40690</v>
      </c>
      <c r="D87" s="98" t="s">
        <v>17</v>
      </c>
      <c r="E87" s="98">
        <v>40690</v>
      </c>
      <c r="F87" s="99" t="s">
        <v>23</v>
      </c>
      <c r="G87" s="272"/>
      <c r="H87" s="126"/>
      <c r="I87" s="100">
        <v>2500</v>
      </c>
      <c r="J87" s="101" t="s">
        <v>242</v>
      </c>
      <c r="K87" s="101" t="s">
        <v>54</v>
      </c>
      <c r="L87" s="140" t="str">
        <f>IF(AND('331-CT'!$E$7=TH!H87,OR(J87="331",K87="331")),"x","")</f>
        <v/>
      </c>
    </row>
    <row r="88" spans="1:12" s="115" customFormat="1">
      <c r="A88" s="78">
        <f t="shared" si="7"/>
        <v>2011</v>
      </c>
      <c r="B88" s="78">
        <f t="shared" si="8"/>
        <v>5</v>
      </c>
      <c r="C88" s="116">
        <v>40690</v>
      </c>
      <c r="D88" s="98" t="s">
        <v>17</v>
      </c>
      <c r="E88" s="98">
        <v>40690</v>
      </c>
      <c r="F88" s="99" t="s">
        <v>24</v>
      </c>
      <c r="G88" s="272"/>
      <c r="H88" s="126"/>
      <c r="I88" s="100">
        <v>1491</v>
      </c>
      <c r="J88" s="101" t="s">
        <v>242</v>
      </c>
      <c r="K88" s="101" t="s">
        <v>54</v>
      </c>
      <c r="L88" s="140" t="str">
        <f>IF(AND('331-CT'!$E$7=TH!H88,OR(J88="331",K88="331")),"x","")</f>
        <v/>
      </c>
    </row>
    <row r="89" spans="1:12" s="115" customFormat="1">
      <c r="A89" s="78">
        <f t="shared" si="7"/>
        <v>2011</v>
      </c>
      <c r="B89" s="78">
        <f t="shared" si="8"/>
        <v>6</v>
      </c>
      <c r="C89" s="102">
        <v>40710</v>
      </c>
      <c r="D89" s="103" t="s">
        <v>17</v>
      </c>
      <c r="E89" s="102">
        <v>40710</v>
      </c>
      <c r="F89" s="117" t="s">
        <v>41</v>
      </c>
      <c r="G89" s="103"/>
      <c r="H89" s="126"/>
      <c r="I89" s="118">
        <v>5500</v>
      </c>
      <c r="J89" s="101" t="s">
        <v>242</v>
      </c>
      <c r="K89" s="101" t="s">
        <v>54</v>
      </c>
      <c r="L89" s="140" t="str">
        <f>IF(AND('331-CT'!$E$7=TH!H89,OR(J89="331",K89="331")),"x","")</f>
        <v/>
      </c>
    </row>
    <row r="90" spans="1:12" s="115" customFormat="1">
      <c r="A90" s="78">
        <f t="shared" si="7"/>
        <v>2011</v>
      </c>
      <c r="B90" s="78">
        <f t="shared" si="8"/>
        <v>6</v>
      </c>
      <c r="C90" s="116">
        <v>40711</v>
      </c>
      <c r="D90" s="98" t="s">
        <v>17</v>
      </c>
      <c r="E90" s="98">
        <v>40711</v>
      </c>
      <c r="F90" s="99" t="s">
        <v>41</v>
      </c>
      <c r="G90" s="272"/>
      <c r="H90" s="126"/>
      <c r="I90" s="100">
        <v>5500</v>
      </c>
      <c r="J90" s="101" t="s">
        <v>242</v>
      </c>
      <c r="K90" s="101" t="s">
        <v>54</v>
      </c>
      <c r="L90" s="140" t="str">
        <f>IF(AND('331-CT'!$E$7=TH!H90,OR(J90="331",K90="331")),"x","")</f>
        <v/>
      </c>
    </row>
    <row r="91" spans="1:12" s="115" customFormat="1">
      <c r="A91" s="78">
        <f t="shared" si="7"/>
        <v>2011</v>
      </c>
      <c r="B91" s="78">
        <f t="shared" si="8"/>
        <v>6</v>
      </c>
      <c r="C91" s="98">
        <v>40724</v>
      </c>
      <c r="D91" s="98" t="s">
        <v>154</v>
      </c>
      <c r="E91" s="98">
        <f>C91</f>
        <v>40724</v>
      </c>
      <c r="F91" s="99" t="s">
        <v>590</v>
      </c>
      <c r="G91" s="272"/>
      <c r="H91" s="126" t="s">
        <v>527</v>
      </c>
      <c r="I91" s="100">
        <v>100000000</v>
      </c>
      <c r="J91" s="101" t="s">
        <v>54</v>
      </c>
      <c r="K91" s="101" t="s">
        <v>203</v>
      </c>
      <c r="L91" s="140" t="str">
        <f>IF(AND('331-CT'!$E$7=TH!H91,OR(J91="331",K91="331")),"x","")</f>
        <v/>
      </c>
    </row>
    <row r="92" spans="1:12" s="115" customFormat="1">
      <c r="A92" s="78">
        <f t="shared" si="7"/>
        <v>2011</v>
      </c>
      <c r="B92" s="78">
        <f t="shared" si="8"/>
        <v>6</v>
      </c>
      <c r="C92" s="116">
        <f>E92</f>
        <v>40724</v>
      </c>
      <c r="D92" s="103" t="s">
        <v>17</v>
      </c>
      <c r="E92" s="102">
        <v>40724</v>
      </c>
      <c r="F92" s="117" t="s">
        <v>112</v>
      </c>
      <c r="G92" s="103"/>
      <c r="H92" s="126" t="s">
        <v>85</v>
      </c>
      <c r="I92" s="118">
        <v>100000000</v>
      </c>
      <c r="J92" s="101" t="s">
        <v>18</v>
      </c>
      <c r="K92" s="101" t="s">
        <v>54</v>
      </c>
      <c r="L92" s="140" t="str">
        <f>IF(AND('331-CT'!$E$7=TH!H92,OR(J92="331",K92="331")),"x","")</f>
        <v/>
      </c>
    </row>
    <row r="93" spans="1:12" s="115" customFormat="1">
      <c r="A93" s="78">
        <f t="shared" si="7"/>
        <v>2011</v>
      </c>
      <c r="B93" s="78">
        <f t="shared" si="8"/>
        <v>6</v>
      </c>
      <c r="C93" s="102">
        <v>40724</v>
      </c>
      <c r="D93" s="103" t="s">
        <v>17</v>
      </c>
      <c r="E93" s="102">
        <v>40724</v>
      </c>
      <c r="F93" s="117" t="s">
        <v>34</v>
      </c>
      <c r="G93" s="103"/>
      <c r="H93" s="126"/>
      <c r="I93" s="118">
        <v>50000</v>
      </c>
      <c r="J93" s="101" t="s">
        <v>242</v>
      </c>
      <c r="K93" s="101" t="s">
        <v>54</v>
      </c>
      <c r="L93" s="140" t="str">
        <f>IF(AND('331-CT'!$E$7=TH!H93,OR(J93="331",K93="331")),"x","")</f>
        <v/>
      </c>
    </row>
    <row r="94" spans="1:12" s="115" customFormat="1">
      <c r="A94" s="78">
        <f t="shared" si="7"/>
        <v>2011</v>
      </c>
      <c r="B94" s="78">
        <f t="shared" si="8"/>
        <v>6</v>
      </c>
      <c r="C94" s="102">
        <v>40724</v>
      </c>
      <c r="D94" s="103" t="s">
        <v>17</v>
      </c>
      <c r="E94" s="102">
        <v>40724</v>
      </c>
      <c r="F94" s="117" t="s">
        <v>35</v>
      </c>
      <c r="G94" s="103"/>
      <c r="H94" s="126"/>
      <c r="I94" s="118">
        <v>5000</v>
      </c>
      <c r="J94" s="101" t="s">
        <v>242</v>
      </c>
      <c r="K94" s="101" t="s">
        <v>54</v>
      </c>
      <c r="L94" s="140" t="str">
        <f>IF(AND('331-CT'!$E$7=TH!H94,OR(J94="331",K94="331")),"x","")</f>
        <v/>
      </c>
    </row>
    <row r="95" spans="1:12" s="115" customFormat="1">
      <c r="A95" s="78">
        <f t="shared" si="7"/>
        <v>2011</v>
      </c>
      <c r="B95" s="78">
        <f t="shared" si="8"/>
        <v>6</v>
      </c>
      <c r="C95" s="102">
        <v>40724</v>
      </c>
      <c r="D95" s="103" t="s">
        <v>17</v>
      </c>
      <c r="E95" s="102">
        <v>40724</v>
      </c>
      <c r="F95" s="117" t="s">
        <v>23</v>
      </c>
      <c r="G95" s="103"/>
      <c r="H95" s="126"/>
      <c r="I95" s="118">
        <v>29923</v>
      </c>
      <c r="J95" s="101" t="s">
        <v>242</v>
      </c>
      <c r="K95" s="101" t="s">
        <v>54</v>
      </c>
      <c r="L95" s="140" t="str">
        <f>IF(AND('331-CT'!$E$7=TH!H95,OR(J95="331",K95="331")),"x","")</f>
        <v/>
      </c>
    </row>
    <row r="96" spans="1:12" s="115" customFormat="1">
      <c r="A96" s="78">
        <f t="shared" si="7"/>
        <v>2011</v>
      </c>
      <c r="B96" s="78">
        <f t="shared" si="8"/>
        <v>6</v>
      </c>
      <c r="C96" s="116">
        <v>40724</v>
      </c>
      <c r="D96" s="98" t="s">
        <v>17</v>
      </c>
      <c r="E96" s="102">
        <v>40724</v>
      </c>
      <c r="F96" s="99" t="s">
        <v>24</v>
      </c>
      <c r="G96" s="272"/>
      <c r="H96" s="126"/>
      <c r="I96" s="100">
        <v>2992</v>
      </c>
      <c r="J96" s="101" t="s">
        <v>242</v>
      </c>
      <c r="K96" s="101" t="s">
        <v>54</v>
      </c>
      <c r="L96" s="140" t="str">
        <f>IF(AND('331-CT'!$E$7=TH!H96,OR(J96="331",K96="331")),"x","")</f>
        <v/>
      </c>
    </row>
    <row r="97" spans="1:12" s="115" customFormat="1">
      <c r="A97" s="78">
        <f t="shared" si="7"/>
        <v>2011</v>
      </c>
      <c r="B97" s="78">
        <f t="shared" si="8"/>
        <v>7</v>
      </c>
      <c r="C97" s="116">
        <v>40740</v>
      </c>
      <c r="D97" s="104" t="s">
        <v>17</v>
      </c>
      <c r="E97" s="105">
        <v>40740</v>
      </c>
      <c r="F97" s="106" t="s">
        <v>41</v>
      </c>
      <c r="G97" s="283"/>
      <c r="H97" s="126"/>
      <c r="I97" s="100">
        <v>5500</v>
      </c>
      <c r="J97" s="101" t="s">
        <v>242</v>
      </c>
      <c r="K97" s="101" t="s">
        <v>54</v>
      </c>
      <c r="L97" s="140" t="str">
        <f>IF(AND('331-CT'!$E$7=TH!H97,OR(J97="331",K97="331")),"x","")</f>
        <v/>
      </c>
    </row>
    <row r="98" spans="1:12" s="115" customFormat="1">
      <c r="A98" s="78">
        <f t="shared" si="7"/>
        <v>2011</v>
      </c>
      <c r="B98" s="78">
        <f t="shared" si="8"/>
        <v>7</v>
      </c>
      <c r="C98" s="116">
        <v>40742</v>
      </c>
      <c r="D98" s="98" t="s">
        <v>17</v>
      </c>
      <c r="E98" s="102">
        <v>40742</v>
      </c>
      <c r="F98" s="99" t="s">
        <v>41</v>
      </c>
      <c r="G98" s="272"/>
      <c r="H98" s="126"/>
      <c r="I98" s="100">
        <v>5500</v>
      </c>
      <c r="J98" s="101" t="s">
        <v>242</v>
      </c>
      <c r="K98" s="101" t="s">
        <v>54</v>
      </c>
      <c r="L98" s="140" t="str">
        <f>IF(AND('331-CT'!$E$7=TH!H98,OR(J98="331",K98="331")),"x","")</f>
        <v/>
      </c>
    </row>
    <row r="99" spans="1:12" s="115" customFormat="1">
      <c r="A99" s="78">
        <f t="shared" si="7"/>
        <v>2011</v>
      </c>
      <c r="B99" s="78">
        <f t="shared" si="8"/>
        <v>8</v>
      </c>
      <c r="C99" s="116">
        <v>40771</v>
      </c>
      <c r="D99" s="98" t="s">
        <v>17</v>
      </c>
      <c r="E99" s="102">
        <v>40771</v>
      </c>
      <c r="F99" s="99" t="s">
        <v>41</v>
      </c>
      <c r="G99" s="272"/>
      <c r="H99" s="126"/>
      <c r="I99" s="100">
        <v>5500</v>
      </c>
      <c r="J99" s="101" t="s">
        <v>242</v>
      </c>
      <c r="K99" s="101" t="s">
        <v>54</v>
      </c>
      <c r="L99" s="140" t="str">
        <f>IF(AND('331-CT'!$E$7=TH!H99,OR(J99="331",K99="331")),"x","")</f>
        <v/>
      </c>
    </row>
    <row r="100" spans="1:12" s="115" customFormat="1">
      <c r="A100" s="78">
        <f t="shared" si="7"/>
        <v>2011</v>
      </c>
      <c r="B100" s="78">
        <f t="shared" si="8"/>
        <v>8</v>
      </c>
      <c r="C100" s="98">
        <v>40772</v>
      </c>
      <c r="D100" s="98" t="s">
        <v>17</v>
      </c>
      <c r="E100" s="102">
        <v>40772</v>
      </c>
      <c r="F100" s="99" t="s">
        <v>41</v>
      </c>
      <c r="G100" s="272"/>
      <c r="H100" s="126"/>
      <c r="I100" s="100">
        <v>5500</v>
      </c>
      <c r="J100" s="101" t="s">
        <v>242</v>
      </c>
      <c r="K100" s="101" t="s">
        <v>54</v>
      </c>
      <c r="L100" s="140" t="str">
        <f>IF(AND('331-CT'!$E$7=TH!H100,OR(J100="331",K100="331")),"x","")</f>
        <v/>
      </c>
    </row>
    <row r="101" spans="1:12" s="115" customFormat="1">
      <c r="A101" s="78">
        <f t="shared" si="7"/>
        <v>2011</v>
      </c>
      <c r="B101" s="78">
        <f t="shared" si="8"/>
        <v>9</v>
      </c>
      <c r="C101" s="116">
        <v>40802</v>
      </c>
      <c r="D101" s="104" t="s">
        <v>17</v>
      </c>
      <c r="E101" s="98">
        <v>40802</v>
      </c>
      <c r="F101" s="106" t="s">
        <v>49</v>
      </c>
      <c r="G101" s="283"/>
      <c r="H101" s="126"/>
      <c r="I101" s="107">
        <v>24000</v>
      </c>
      <c r="J101" s="101" t="s">
        <v>242</v>
      </c>
      <c r="K101" s="101" t="s">
        <v>54</v>
      </c>
      <c r="L101" s="140" t="str">
        <f>IF(AND('331-CT'!$E$7=TH!H101,OR(J101="331",K101="331")),"x","")</f>
        <v/>
      </c>
    </row>
    <row r="102" spans="1:12" s="115" customFormat="1">
      <c r="A102" s="78">
        <f t="shared" si="7"/>
        <v>2011</v>
      </c>
      <c r="B102" s="78">
        <f t="shared" si="8"/>
        <v>9</v>
      </c>
      <c r="C102" s="116">
        <v>40802</v>
      </c>
      <c r="D102" s="98" t="s">
        <v>17</v>
      </c>
      <c r="E102" s="98">
        <v>40802</v>
      </c>
      <c r="F102" s="99" t="s">
        <v>44</v>
      </c>
      <c r="G102" s="272"/>
      <c r="H102" s="126"/>
      <c r="I102" s="100">
        <v>2400</v>
      </c>
      <c r="J102" s="101" t="s">
        <v>242</v>
      </c>
      <c r="K102" s="101" t="s">
        <v>54</v>
      </c>
      <c r="L102" s="140" t="str">
        <f>IF(AND('331-CT'!$E$7=TH!H102,OR(J102="331",K102="331")),"x","")</f>
        <v/>
      </c>
    </row>
    <row r="103" spans="1:12" s="115" customFormat="1">
      <c r="A103" s="78">
        <f t="shared" si="7"/>
        <v>2011</v>
      </c>
      <c r="B103" s="78">
        <f t="shared" si="8"/>
        <v>9</v>
      </c>
      <c r="C103" s="116">
        <v>40802</v>
      </c>
      <c r="D103" s="104" t="s">
        <v>17</v>
      </c>
      <c r="E103" s="98">
        <v>40802</v>
      </c>
      <c r="F103" s="106" t="s">
        <v>48</v>
      </c>
      <c r="G103" s="283"/>
      <c r="H103" s="126"/>
      <c r="I103" s="107">
        <v>24000</v>
      </c>
      <c r="J103" s="101" t="s">
        <v>242</v>
      </c>
      <c r="K103" s="101" t="s">
        <v>54</v>
      </c>
      <c r="L103" s="140" t="str">
        <f>IF(AND('331-CT'!$E$7=TH!H103,OR(J103="331",K103="331")),"x","")</f>
        <v/>
      </c>
    </row>
    <row r="104" spans="1:12" s="115" customFormat="1">
      <c r="A104" s="78">
        <f t="shared" si="7"/>
        <v>2011</v>
      </c>
      <c r="B104" s="78">
        <f t="shared" si="8"/>
        <v>9</v>
      </c>
      <c r="C104" s="116">
        <v>40802</v>
      </c>
      <c r="D104" s="98" t="s">
        <v>17</v>
      </c>
      <c r="E104" s="98">
        <v>40802</v>
      </c>
      <c r="F104" s="99" t="s">
        <v>44</v>
      </c>
      <c r="G104" s="272"/>
      <c r="H104" s="126"/>
      <c r="I104" s="100">
        <v>2400</v>
      </c>
      <c r="J104" s="101" t="s">
        <v>242</v>
      </c>
      <c r="K104" s="101" t="s">
        <v>54</v>
      </c>
      <c r="L104" s="140" t="str">
        <f>IF(AND('331-CT'!$E$7=TH!H104,OR(J104="331",K104="331")),"x","")</f>
        <v/>
      </c>
    </row>
    <row r="105" spans="1:12" s="115" customFormat="1">
      <c r="A105" s="78">
        <f t="shared" si="7"/>
        <v>2011</v>
      </c>
      <c r="B105" s="78">
        <f t="shared" si="8"/>
        <v>9</v>
      </c>
      <c r="C105" s="98">
        <v>40802</v>
      </c>
      <c r="D105" s="98" t="s">
        <v>17</v>
      </c>
      <c r="E105" s="102">
        <v>40802</v>
      </c>
      <c r="F105" s="99" t="s">
        <v>47</v>
      </c>
      <c r="G105" s="272"/>
      <c r="H105" s="126"/>
      <c r="I105" s="100">
        <v>24000</v>
      </c>
      <c r="J105" s="101" t="s">
        <v>242</v>
      </c>
      <c r="K105" s="101" t="s">
        <v>54</v>
      </c>
      <c r="L105" s="140" t="str">
        <f>IF(AND('331-CT'!$E$7=TH!H105,OR(J105="331",K105="331")),"x","")</f>
        <v/>
      </c>
    </row>
    <row r="106" spans="1:12" s="115" customFormat="1">
      <c r="A106" s="78">
        <f t="shared" si="7"/>
        <v>2011</v>
      </c>
      <c r="B106" s="78">
        <f t="shared" si="8"/>
        <v>9</v>
      </c>
      <c r="C106" s="116">
        <v>40802</v>
      </c>
      <c r="D106" s="98" t="s">
        <v>17</v>
      </c>
      <c r="E106" s="98">
        <v>40802</v>
      </c>
      <c r="F106" s="99" t="s">
        <v>44</v>
      </c>
      <c r="G106" s="272"/>
      <c r="H106" s="126"/>
      <c r="I106" s="100">
        <v>2400</v>
      </c>
      <c r="J106" s="101" t="s">
        <v>242</v>
      </c>
      <c r="K106" s="101" t="s">
        <v>54</v>
      </c>
      <c r="L106" s="140" t="str">
        <f>IF(AND('331-CT'!$E$7=TH!H106,OR(J106="331",K106="331")),"x","")</f>
        <v/>
      </c>
    </row>
    <row r="107" spans="1:12" s="115" customFormat="1">
      <c r="A107" s="78">
        <f t="shared" si="7"/>
        <v>2011</v>
      </c>
      <c r="B107" s="78">
        <f t="shared" si="8"/>
        <v>9</v>
      </c>
      <c r="C107" s="116">
        <v>40803</v>
      </c>
      <c r="D107" s="98" t="s">
        <v>17</v>
      </c>
      <c r="E107" s="98">
        <v>40803</v>
      </c>
      <c r="F107" s="99" t="s">
        <v>43</v>
      </c>
      <c r="G107" s="272"/>
      <c r="H107" s="126"/>
      <c r="I107" s="100">
        <v>24000</v>
      </c>
      <c r="J107" s="101" t="s">
        <v>242</v>
      </c>
      <c r="K107" s="101" t="s">
        <v>54</v>
      </c>
      <c r="L107" s="140" t="str">
        <f>IF(AND('331-CT'!$E$7=TH!H107,OR(J107="331",K107="331")),"x","")</f>
        <v/>
      </c>
    </row>
    <row r="108" spans="1:12" s="115" customFormat="1">
      <c r="A108" s="78">
        <f t="shared" si="7"/>
        <v>2011</v>
      </c>
      <c r="B108" s="78">
        <f t="shared" si="8"/>
        <v>9</v>
      </c>
      <c r="C108" s="116">
        <v>40803</v>
      </c>
      <c r="D108" s="98" t="s">
        <v>17</v>
      </c>
      <c r="E108" s="98">
        <v>40803</v>
      </c>
      <c r="F108" s="119" t="s">
        <v>44</v>
      </c>
      <c r="G108" s="284"/>
      <c r="H108" s="126"/>
      <c r="I108" s="120">
        <v>2400</v>
      </c>
      <c r="J108" s="101" t="s">
        <v>242</v>
      </c>
      <c r="K108" s="101" t="s">
        <v>54</v>
      </c>
      <c r="L108" s="140" t="str">
        <f>IF(AND('331-CT'!$E$7=TH!H108,OR(J108="331",K108="331")),"x","")</f>
        <v/>
      </c>
    </row>
    <row r="109" spans="1:12" s="115" customFormat="1">
      <c r="A109" s="78">
        <f t="shared" si="7"/>
        <v>2011</v>
      </c>
      <c r="B109" s="78">
        <f t="shared" si="8"/>
        <v>9</v>
      </c>
      <c r="C109" s="116">
        <v>40803</v>
      </c>
      <c r="D109" s="98" t="s">
        <v>17</v>
      </c>
      <c r="E109" s="98">
        <v>40803</v>
      </c>
      <c r="F109" s="119" t="s">
        <v>23</v>
      </c>
      <c r="G109" s="284"/>
      <c r="H109" s="126"/>
      <c r="I109" s="120">
        <v>12746</v>
      </c>
      <c r="J109" s="101" t="s">
        <v>242</v>
      </c>
      <c r="K109" s="101" t="s">
        <v>54</v>
      </c>
      <c r="L109" s="140" t="str">
        <f>IF(AND('331-CT'!$E$7=TH!H109,OR(J109="331",K109="331")),"x","")</f>
        <v/>
      </c>
    </row>
    <row r="110" spans="1:12" s="115" customFormat="1">
      <c r="A110" s="78">
        <f t="shared" si="7"/>
        <v>2011</v>
      </c>
      <c r="B110" s="78">
        <f t="shared" si="8"/>
        <v>9</v>
      </c>
      <c r="C110" s="116">
        <v>40803</v>
      </c>
      <c r="D110" s="98" t="s">
        <v>17</v>
      </c>
      <c r="E110" s="98">
        <v>40803</v>
      </c>
      <c r="F110" s="119" t="s">
        <v>24</v>
      </c>
      <c r="G110" s="284"/>
      <c r="H110" s="126"/>
      <c r="I110" s="120">
        <v>1275</v>
      </c>
      <c r="J110" s="101" t="s">
        <v>242</v>
      </c>
      <c r="K110" s="101" t="s">
        <v>54</v>
      </c>
      <c r="L110" s="140" t="str">
        <f>IF(AND('331-CT'!$E$7=TH!H110,OR(J110="331",K110="331")),"x","")</f>
        <v/>
      </c>
    </row>
    <row r="111" spans="1:12" s="115" customFormat="1">
      <c r="A111" s="78">
        <f t="shared" si="7"/>
        <v>2011</v>
      </c>
      <c r="B111" s="78">
        <f t="shared" si="8"/>
        <v>9</v>
      </c>
      <c r="C111" s="116">
        <v>40803</v>
      </c>
      <c r="D111" s="98" t="s">
        <v>17</v>
      </c>
      <c r="E111" s="98">
        <v>40803</v>
      </c>
      <c r="F111" s="99" t="s">
        <v>41</v>
      </c>
      <c r="G111" s="272"/>
      <c r="H111" s="126"/>
      <c r="I111" s="100">
        <v>14021</v>
      </c>
      <c r="J111" s="101" t="s">
        <v>242</v>
      </c>
      <c r="K111" s="101" t="s">
        <v>54</v>
      </c>
      <c r="L111" s="140" t="str">
        <f>IF(AND('331-CT'!$E$7=TH!H111,OR(J111="331",K111="331")),"x","")</f>
        <v/>
      </c>
    </row>
    <row r="112" spans="1:12" s="115" customFormat="1">
      <c r="A112" s="78">
        <f t="shared" si="7"/>
        <v>2011</v>
      </c>
      <c r="B112" s="78">
        <f t="shared" si="8"/>
        <v>9</v>
      </c>
      <c r="C112" s="98">
        <v>40803</v>
      </c>
      <c r="D112" s="98" t="s">
        <v>17</v>
      </c>
      <c r="E112" s="98">
        <v>40803</v>
      </c>
      <c r="F112" s="99" t="s">
        <v>41</v>
      </c>
      <c r="G112" s="272"/>
      <c r="H112" s="126"/>
      <c r="I112" s="100">
        <v>12379</v>
      </c>
      <c r="J112" s="101" t="s">
        <v>242</v>
      </c>
      <c r="K112" s="101" t="s">
        <v>54</v>
      </c>
      <c r="L112" s="140" t="str">
        <f>IF(AND('331-CT'!$E$7=TH!H112,OR(J112="331",K112="331")),"x","")</f>
        <v/>
      </c>
    </row>
    <row r="113" spans="1:12" s="115" customFormat="1">
      <c r="A113" s="78">
        <f t="shared" si="7"/>
        <v>2011</v>
      </c>
      <c r="B113" s="78">
        <f t="shared" si="8"/>
        <v>11</v>
      </c>
      <c r="C113" s="98">
        <v>40872</v>
      </c>
      <c r="D113" s="98" t="s">
        <v>157</v>
      </c>
      <c r="E113" s="98">
        <f>C113</f>
        <v>40872</v>
      </c>
      <c r="F113" s="99" t="s">
        <v>591</v>
      </c>
      <c r="G113" s="272"/>
      <c r="H113" s="126" t="s">
        <v>267</v>
      </c>
      <c r="I113" s="100">
        <v>30000000</v>
      </c>
      <c r="J113" s="101" t="s">
        <v>39</v>
      </c>
      <c r="K113" s="101" t="s">
        <v>203</v>
      </c>
      <c r="L113" s="140" t="str">
        <f>IF(AND('331-CT'!$E$7=TH!H113,OR(J113="331",K113="331")),"x","")</f>
        <v/>
      </c>
    </row>
    <row r="114" spans="1:12" s="115" customFormat="1">
      <c r="A114" s="78">
        <f t="shared" si="7"/>
        <v>2011</v>
      </c>
      <c r="B114" s="78">
        <f t="shared" si="8"/>
        <v>11</v>
      </c>
      <c r="C114" s="116">
        <v>40872</v>
      </c>
      <c r="D114" s="98" t="s">
        <v>21</v>
      </c>
      <c r="E114" s="98">
        <v>40872</v>
      </c>
      <c r="F114" s="99" t="s">
        <v>45</v>
      </c>
      <c r="G114" s="272"/>
      <c r="H114" s="126" t="s">
        <v>267</v>
      </c>
      <c r="I114" s="100">
        <v>30000000</v>
      </c>
      <c r="J114" s="101" t="s">
        <v>54</v>
      </c>
      <c r="K114" s="101" t="s">
        <v>39</v>
      </c>
      <c r="L114" s="140" t="str">
        <f>IF(AND('331-CT'!$E$7=TH!H114,OR(J114="331",K114="331")),"x","")</f>
        <v/>
      </c>
    </row>
    <row r="115" spans="1:12" s="115" customFormat="1">
      <c r="A115" s="78">
        <f t="shared" si="7"/>
        <v>2011</v>
      </c>
      <c r="B115" s="78">
        <f t="shared" si="8"/>
        <v>11</v>
      </c>
      <c r="C115" s="116">
        <f>E115</f>
        <v>40872</v>
      </c>
      <c r="D115" s="98" t="s">
        <v>17</v>
      </c>
      <c r="E115" s="98">
        <v>40872</v>
      </c>
      <c r="F115" s="99" t="s">
        <v>114</v>
      </c>
      <c r="G115" s="272"/>
      <c r="H115" s="126" t="s">
        <v>83</v>
      </c>
      <c r="I115" s="100">
        <v>29920000</v>
      </c>
      <c r="J115" s="101" t="s">
        <v>18</v>
      </c>
      <c r="K115" s="101" t="s">
        <v>54</v>
      </c>
      <c r="L115" s="140" t="str">
        <f>IF(AND('331-CT'!$E$7=TH!H115,OR(J115="331",K115="331")),"x","")</f>
        <v/>
      </c>
    </row>
    <row r="116" spans="1:12" s="115" customFormat="1">
      <c r="A116" s="78">
        <f t="shared" si="7"/>
        <v>2011</v>
      </c>
      <c r="B116" s="78">
        <f t="shared" si="8"/>
        <v>11</v>
      </c>
      <c r="C116" s="98">
        <v>40872</v>
      </c>
      <c r="D116" s="98" t="s">
        <v>17</v>
      </c>
      <c r="E116" s="98">
        <v>40872</v>
      </c>
      <c r="F116" s="99" t="s">
        <v>34</v>
      </c>
      <c r="G116" s="272"/>
      <c r="H116" s="126"/>
      <c r="I116" s="100">
        <v>20000</v>
      </c>
      <c r="J116" s="101" t="s">
        <v>242</v>
      </c>
      <c r="K116" s="101" t="s">
        <v>54</v>
      </c>
      <c r="L116" s="140" t="str">
        <f>IF(AND('331-CT'!$E$7=TH!H116,OR(J116="331",K116="331")),"x","")</f>
        <v/>
      </c>
    </row>
    <row r="117" spans="1:12" s="115" customFormat="1">
      <c r="A117" s="78">
        <f t="shared" si="7"/>
        <v>2011</v>
      </c>
      <c r="B117" s="78">
        <f t="shared" si="8"/>
        <v>11</v>
      </c>
      <c r="C117" s="98">
        <v>40872</v>
      </c>
      <c r="D117" s="98" t="s">
        <v>17</v>
      </c>
      <c r="E117" s="98">
        <v>40872</v>
      </c>
      <c r="F117" s="99" t="s">
        <v>35</v>
      </c>
      <c r="G117" s="272"/>
      <c r="H117" s="126"/>
      <c r="I117" s="100">
        <v>2000</v>
      </c>
      <c r="J117" s="101" t="s">
        <v>242</v>
      </c>
      <c r="K117" s="101" t="s">
        <v>54</v>
      </c>
      <c r="L117" s="140" t="str">
        <f>IF(AND('331-CT'!$E$7=TH!H117,OR(J117="331",K117="331")),"x","")</f>
        <v/>
      </c>
    </row>
    <row r="118" spans="1:12" s="115" customFormat="1">
      <c r="A118" s="78">
        <f t="shared" si="7"/>
        <v>2011</v>
      </c>
      <c r="B118" s="78">
        <f t="shared" si="8"/>
        <v>11</v>
      </c>
      <c r="C118" s="98">
        <f>E118</f>
        <v>40875</v>
      </c>
      <c r="D118" s="98" t="s">
        <v>78</v>
      </c>
      <c r="E118" s="98">
        <v>40875</v>
      </c>
      <c r="F118" s="99" t="s">
        <v>116</v>
      </c>
      <c r="G118" s="277" t="s">
        <v>574</v>
      </c>
      <c r="H118" s="126" t="s">
        <v>83</v>
      </c>
      <c r="I118" s="100">
        <v>29920000</v>
      </c>
      <c r="J118" s="101" t="s">
        <v>242</v>
      </c>
      <c r="K118" s="101" t="s">
        <v>18</v>
      </c>
      <c r="L118" s="140" t="str">
        <f>IF(AND('331-CT'!$E$7=TH!H118,OR(J118="331",K118="331")),"x","")</f>
        <v/>
      </c>
    </row>
    <row r="119" spans="1:12" s="115" customFormat="1">
      <c r="A119" s="78">
        <f t="shared" si="7"/>
        <v>2011</v>
      </c>
      <c r="B119" s="78">
        <f t="shared" si="8"/>
        <v>12</v>
      </c>
      <c r="C119" s="98">
        <v>40893</v>
      </c>
      <c r="D119" s="98" t="s">
        <v>17</v>
      </c>
      <c r="E119" s="98">
        <v>40893</v>
      </c>
      <c r="F119" s="99" t="s">
        <v>43</v>
      </c>
      <c r="G119" s="272"/>
      <c r="H119" s="126"/>
      <c r="I119" s="100">
        <v>24000</v>
      </c>
      <c r="J119" s="101" t="s">
        <v>242</v>
      </c>
      <c r="K119" s="101" t="s">
        <v>54</v>
      </c>
      <c r="L119" s="140" t="str">
        <f>IF(AND('331-CT'!$E$7=TH!H119,OR(J119="331",K119="331")),"x","")</f>
        <v/>
      </c>
    </row>
    <row r="120" spans="1:12" s="115" customFormat="1">
      <c r="A120" s="78">
        <f t="shared" si="7"/>
        <v>2011</v>
      </c>
      <c r="B120" s="78">
        <f t="shared" si="8"/>
        <v>12</v>
      </c>
      <c r="C120" s="98">
        <v>40893</v>
      </c>
      <c r="D120" s="98" t="s">
        <v>17</v>
      </c>
      <c r="E120" s="98">
        <v>40893</v>
      </c>
      <c r="F120" s="99" t="s">
        <v>44</v>
      </c>
      <c r="G120" s="272"/>
      <c r="H120" s="126"/>
      <c r="I120" s="100">
        <v>2400</v>
      </c>
      <c r="J120" s="101" t="s">
        <v>242</v>
      </c>
      <c r="K120" s="101" t="s">
        <v>54</v>
      </c>
      <c r="L120" s="140" t="str">
        <f>IF(AND('331-CT'!$E$7=TH!H120,OR(J120="331",K120="331")),"x","")</f>
        <v/>
      </c>
    </row>
    <row r="121" spans="1:12" s="115" customFormat="1">
      <c r="A121" s="78">
        <f t="shared" si="7"/>
        <v>2011</v>
      </c>
      <c r="B121" s="78">
        <f t="shared" si="8"/>
        <v>12</v>
      </c>
      <c r="C121" s="98">
        <v>40893</v>
      </c>
      <c r="D121" s="98" t="s">
        <v>17</v>
      </c>
      <c r="E121" s="98">
        <v>40893</v>
      </c>
      <c r="F121" s="99" t="s">
        <v>43</v>
      </c>
      <c r="G121" s="272"/>
      <c r="H121" s="126"/>
      <c r="I121" s="100">
        <v>24000</v>
      </c>
      <c r="J121" s="101" t="s">
        <v>242</v>
      </c>
      <c r="K121" s="101" t="s">
        <v>54</v>
      </c>
      <c r="L121" s="140" t="str">
        <f>IF(AND('331-CT'!$E$7=TH!H121,OR(J121="331",K121="331")),"x","")</f>
        <v/>
      </c>
    </row>
    <row r="122" spans="1:12" s="115" customFormat="1">
      <c r="A122" s="78">
        <f t="shared" si="7"/>
        <v>2011</v>
      </c>
      <c r="B122" s="78">
        <f t="shared" si="8"/>
        <v>12</v>
      </c>
      <c r="C122" s="98">
        <v>40893</v>
      </c>
      <c r="D122" s="98" t="s">
        <v>17</v>
      </c>
      <c r="E122" s="98">
        <v>40893</v>
      </c>
      <c r="F122" s="99" t="s">
        <v>44</v>
      </c>
      <c r="G122" s="272"/>
      <c r="H122" s="126"/>
      <c r="I122" s="100">
        <v>2400</v>
      </c>
      <c r="J122" s="101" t="s">
        <v>242</v>
      </c>
      <c r="K122" s="101" t="s">
        <v>54</v>
      </c>
      <c r="L122" s="140" t="str">
        <f>IF(AND('331-CT'!$E$7=TH!H122,OR(J122="331",K122="331")),"x","")</f>
        <v/>
      </c>
    </row>
    <row r="123" spans="1:12" s="115" customFormat="1">
      <c r="A123" s="78">
        <f t="shared" si="7"/>
        <v>2011</v>
      </c>
      <c r="B123" s="78">
        <f t="shared" si="8"/>
        <v>12</v>
      </c>
      <c r="C123" s="98">
        <v>40893</v>
      </c>
      <c r="D123" s="98" t="s">
        <v>17</v>
      </c>
      <c r="E123" s="98">
        <v>40893</v>
      </c>
      <c r="F123" s="99" t="s">
        <v>23</v>
      </c>
      <c r="G123" s="272"/>
      <c r="H123" s="126"/>
      <c r="I123" s="100">
        <v>4727</v>
      </c>
      <c r="J123" s="101" t="s">
        <v>242</v>
      </c>
      <c r="K123" s="101" t="s">
        <v>54</v>
      </c>
      <c r="L123" s="140" t="str">
        <f>IF(AND('331-CT'!$E$7=TH!H123,OR(J123="331",K123="331")),"x","")</f>
        <v/>
      </c>
    </row>
    <row r="124" spans="1:12" s="115" customFormat="1">
      <c r="A124" s="78">
        <f t="shared" si="7"/>
        <v>2011</v>
      </c>
      <c r="B124" s="78">
        <f t="shared" si="8"/>
        <v>12</v>
      </c>
      <c r="C124" s="98">
        <v>40893</v>
      </c>
      <c r="D124" s="98" t="s">
        <v>17</v>
      </c>
      <c r="E124" s="98">
        <v>40893</v>
      </c>
      <c r="F124" s="99" t="s">
        <v>24</v>
      </c>
      <c r="G124" s="272"/>
      <c r="H124" s="126"/>
      <c r="I124" s="100">
        <v>473</v>
      </c>
      <c r="J124" s="101" t="s">
        <v>242</v>
      </c>
      <c r="K124" s="101" t="s">
        <v>54</v>
      </c>
      <c r="L124" s="140" t="str">
        <f>IF(AND('331-CT'!$E$7=TH!H124,OR(J124="331",K124="331")),"x","")</f>
        <v/>
      </c>
    </row>
    <row r="125" spans="1:12" s="115" customFormat="1">
      <c r="A125" s="78">
        <f t="shared" si="7"/>
        <v>2011</v>
      </c>
      <c r="B125" s="78">
        <f t="shared" si="8"/>
        <v>12</v>
      </c>
      <c r="C125" s="98">
        <v>40896</v>
      </c>
      <c r="D125" s="98" t="s">
        <v>158</v>
      </c>
      <c r="E125" s="98">
        <f>C125</f>
        <v>40896</v>
      </c>
      <c r="F125" s="99" t="s">
        <v>63</v>
      </c>
      <c r="G125" s="277" t="s">
        <v>533</v>
      </c>
      <c r="H125" s="128" t="s">
        <v>534</v>
      </c>
      <c r="I125" s="100">
        <v>150000</v>
      </c>
      <c r="J125" s="101" t="s">
        <v>242</v>
      </c>
      <c r="K125" s="101" t="s">
        <v>203</v>
      </c>
      <c r="L125" s="140" t="str">
        <f>IF(AND('331-CT'!$E$7=TH!H125,OR(J125="331",K125="331")),"x","")</f>
        <v/>
      </c>
    </row>
    <row r="126" spans="1:12" s="115" customFormat="1">
      <c r="A126" s="78">
        <f t="shared" si="7"/>
        <v>2012</v>
      </c>
      <c r="B126" s="78">
        <f t="shared" si="8"/>
        <v>1</v>
      </c>
      <c r="C126" s="79">
        <v>40913</v>
      </c>
      <c r="D126" s="79" t="s">
        <v>73</v>
      </c>
      <c r="E126" s="79">
        <f>C126</f>
        <v>40913</v>
      </c>
      <c r="F126" s="99" t="s">
        <v>591</v>
      </c>
      <c r="G126" s="273"/>
      <c r="H126" s="126" t="s">
        <v>267</v>
      </c>
      <c r="I126" s="80">
        <v>20000000</v>
      </c>
      <c r="J126" s="81" t="s">
        <v>39</v>
      </c>
      <c r="K126" s="81" t="s">
        <v>203</v>
      </c>
      <c r="L126" s="140" t="str">
        <f>IF(AND('331-CT'!$E$7=TH!H126,OR(J126="331",K126="331")),"x","")</f>
        <v/>
      </c>
    </row>
    <row r="127" spans="1:12" s="115" customFormat="1">
      <c r="A127" s="78">
        <f t="shared" si="7"/>
        <v>2012</v>
      </c>
      <c r="B127" s="78">
        <f t="shared" si="8"/>
        <v>1</v>
      </c>
      <c r="C127" s="79">
        <v>40913</v>
      </c>
      <c r="D127" s="79" t="s">
        <v>92</v>
      </c>
      <c r="E127" s="79">
        <f>C127</f>
        <v>40913</v>
      </c>
      <c r="F127" s="99" t="s">
        <v>591</v>
      </c>
      <c r="G127" s="273"/>
      <c r="H127" s="126" t="s">
        <v>267</v>
      </c>
      <c r="I127" s="80">
        <v>500000</v>
      </c>
      <c r="J127" s="81" t="s">
        <v>39</v>
      </c>
      <c r="K127" s="81" t="s">
        <v>203</v>
      </c>
      <c r="L127" s="140" t="str">
        <f>IF(AND('331-CT'!$E$7=TH!H127,OR(J127="331",K127="331")),"x","")</f>
        <v/>
      </c>
    </row>
    <row r="128" spans="1:12" s="115" customFormat="1">
      <c r="A128" s="78">
        <f t="shared" si="7"/>
        <v>2012</v>
      </c>
      <c r="B128" s="78">
        <f t="shared" si="8"/>
        <v>1</v>
      </c>
      <c r="C128" s="113">
        <v>40913</v>
      </c>
      <c r="D128" s="79" t="s">
        <v>21</v>
      </c>
      <c r="E128" s="79">
        <v>40913</v>
      </c>
      <c r="F128" s="82" t="s">
        <v>45</v>
      </c>
      <c r="G128" s="273"/>
      <c r="H128" s="126" t="s">
        <v>267</v>
      </c>
      <c r="I128" s="80">
        <v>20000000</v>
      </c>
      <c r="J128" s="81" t="s">
        <v>54</v>
      </c>
      <c r="K128" s="81" t="s">
        <v>39</v>
      </c>
      <c r="L128" s="140" t="str">
        <f>IF(AND('331-CT'!$E$7=TH!H128,OR(J128="331",K128="331")),"x","")</f>
        <v/>
      </c>
    </row>
    <row r="129" spans="1:12" s="115" customFormat="1">
      <c r="A129" s="78">
        <f t="shared" si="7"/>
        <v>2012</v>
      </c>
      <c r="B129" s="78">
        <f t="shared" si="8"/>
        <v>1</v>
      </c>
      <c r="C129" s="113">
        <v>40913</v>
      </c>
      <c r="D129" s="79" t="s">
        <v>21</v>
      </c>
      <c r="E129" s="79">
        <v>40913</v>
      </c>
      <c r="F129" s="82" t="s">
        <v>45</v>
      </c>
      <c r="G129" s="273"/>
      <c r="H129" s="126" t="s">
        <v>267</v>
      </c>
      <c r="I129" s="80">
        <v>500000</v>
      </c>
      <c r="J129" s="81" t="s">
        <v>54</v>
      </c>
      <c r="K129" s="81" t="s">
        <v>39</v>
      </c>
      <c r="L129" s="140" t="str">
        <f>IF(AND('331-CT'!$E$7=TH!H129,OR(J129="331",K129="331")),"x","")</f>
        <v/>
      </c>
    </row>
    <row r="130" spans="1:12" s="115" customFormat="1">
      <c r="A130" s="78">
        <f t="shared" si="7"/>
        <v>2012</v>
      </c>
      <c r="B130" s="78">
        <f t="shared" si="8"/>
        <v>1</v>
      </c>
      <c r="C130" s="79">
        <v>40913</v>
      </c>
      <c r="D130" s="79" t="s">
        <v>17</v>
      </c>
      <c r="E130" s="79">
        <v>40913</v>
      </c>
      <c r="F130" s="82" t="s">
        <v>1</v>
      </c>
      <c r="G130" s="273"/>
      <c r="H130" s="128"/>
      <c r="I130" s="80">
        <v>20000000</v>
      </c>
      <c r="J130" s="81" t="s">
        <v>242</v>
      </c>
      <c r="K130" s="81" t="s">
        <v>54</v>
      </c>
      <c r="L130" s="140" t="str">
        <f>IF(AND('331-CT'!$E$7=TH!H130,OR(J130="331",K130="331")),"x","")</f>
        <v/>
      </c>
    </row>
    <row r="131" spans="1:12" s="115" customFormat="1">
      <c r="A131" s="78">
        <f t="shared" si="7"/>
        <v>2012</v>
      </c>
      <c r="B131" s="78">
        <f t="shared" si="8"/>
        <v>1</v>
      </c>
      <c r="C131" s="79">
        <v>40913</v>
      </c>
      <c r="D131" s="79" t="s">
        <v>17</v>
      </c>
      <c r="E131" s="79">
        <v>40913</v>
      </c>
      <c r="F131" s="82" t="s">
        <v>34</v>
      </c>
      <c r="G131" s="273"/>
      <c r="H131" s="128"/>
      <c r="I131" s="80">
        <v>20000</v>
      </c>
      <c r="J131" s="81" t="s">
        <v>242</v>
      </c>
      <c r="K131" s="81" t="s">
        <v>54</v>
      </c>
      <c r="L131" s="140" t="str">
        <f>IF(AND('331-CT'!$E$7=TH!H131,OR(J131="331",K131="331")),"x","")</f>
        <v/>
      </c>
    </row>
    <row r="132" spans="1:12" s="115" customFormat="1">
      <c r="A132" s="78">
        <f t="shared" si="7"/>
        <v>2012</v>
      </c>
      <c r="B132" s="78">
        <f t="shared" si="8"/>
        <v>1</v>
      </c>
      <c r="C132" s="113">
        <v>40913</v>
      </c>
      <c r="D132" s="79" t="s">
        <v>17</v>
      </c>
      <c r="E132" s="79">
        <v>40913</v>
      </c>
      <c r="F132" s="82" t="s">
        <v>35</v>
      </c>
      <c r="G132" s="273"/>
      <c r="H132" s="128"/>
      <c r="I132" s="80">
        <v>2000</v>
      </c>
      <c r="J132" s="101" t="s">
        <v>242</v>
      </c>
      <c r="K132" s="81" t="s">
        <v>54</v>
      </c>
      <c r="L132" s="140" t="str">
        <f>IF(AND('331-CT'!$E$7=TH!H132,OR(J132="331",K132="331")),"x","")</f>
        <v/>
      </c>
    </row>
    <row r="133" spans="1:12" s="115" customFormat="1">
      <c r="A133" s="78">
        <f t="shared" si="7"/>
        <v>2012</v>
      </c>
      <c r="B133" s="78">
        <f t="shared" si="8"/>
        <v>1</v>
      </c>
      <c r="C133" s="79">
        <v>40925</v>
      </c>
      <c r="D133" s="79" t="s">
        <v>93</v>
      </c>
      <c r="E133" s="79">
        <f>C133</f>
        <v>40925</v>
      </c>
      <c r="F133" s="99" t="s">
        <v>590</v>
      </c>
      <c r="G133" s="273"/>
      <c r="H133" s="123" t="s">
        <v>445</v>
      </c>
      <c r="I133" s="80">
        <v>1500000</v>
      </c>
      <c r="J133" s="81" t="s">
        <v>54</v>
      </c>
      <c r="K133" s="81" t="s">
        <v>203</v>
      </c>
      <c r="L133" s="140" t="str">
        <f>IF(AND('331-CT'!$E$7=TH!H133,OR(J133="331",K133="331")),"x","")</f>
        <v/>
      </c>
    </row>
    <row r="134" spans="1:12" s="115" customFormat="1">
      <c r="A134" s="78">
        <f t="shared" si="7"/>
        <v>2012</v>
      </c>
      <c r="B134" s="78">
        <f t="shared" si="8"/>
        <v>1</v>
      </c>
      <c r="C134" s="79">
        <v>40925</v>
      </c>
      <c r="D134" s="79" t="s">
        <v>78</v>
      </c>
      <c r="E134" s="79">
        <v>40925</v>
      </c>
      <c r="F134" s="82" t="s">
        <v>2</v>
      </c>
      <c r="G134" s="273"/>
      <c r="H134" s="128"/>
      <c r="I134" s="80">
        <v>1500000</v>
      </c>
      <c r="J134" s="81" t="s">
        <v>242</v>
      </c>
      <c r="K134" s="81" t="s">
        <v>219</v>
      </c>
      <c r="L134" s="140" t="str">
        <f>IF(AND('331-CT'!$E$7=TH!H134,OR(J134="331",K134="331")),"x","")</f>
        <v/>
      </c>
    </row>
    <row r="135" spans="1:12" s="115" customFormat="1">
      <c r="A135" s="78">
        <f t="shared" si="7"/>
        <v>2012</v>
      </c>
      <c r="B135" s="78">
        <f t="shared" si="8"/>
        <v>1</v>
      </c>
      <c r="C135" s="113">
        <v>40925</v>
      </c>
      <c r="D135" s="79" t="s">
        <v>17</v>
      </c>
      <c r="E135" s="79">
        <v>40925</v>
      </c>
      <c r="F135" s="82" t="s">
        <v>2</v>
      </c>
      <c r="G135" s="273"/>
      <c r="H135" s="128"/>
      <c r="I135" s="80">
        <v>1500000</v>
      </c>
      <c r="J135" s="81" t="s">
        <v>219</v>
      </c>
      <c r="K135" s="81" t="s">
        <v>54</v>
      </c>
      <c r="L135" s="140" t="str">
        <f>IF(AND('331-CT'!$E$7=TH!H135,OR(J135="331",K135="331")),"x","")</f>
        <v/>
      </c>
    </row>
    <row r="136" spans="1:12" s="115" customFormat="1">
      <c r="A136" s="78">
        <f t="shared" si="7"/>
        <v>2012</v>
      </c>
      <c r="B136" s="78">
        <f t="shared" si="8"/>
        <v>1</v>
      </c>
      <c r="C136" s="113">
        <v>40925</v>
      </c>
      <c r="D136" s="79" t="s">
        <v>17</v>
      </c>
      <c r="E136" s="79">
        <v>40925</v>
      </c>
      <c r="F136" s="82" t="s">
        <v>34</v>
      </c>
      <c r="G136" s="273"/>
      <c r="H136" s="128"/>
      <c r="I136" s="80">
        <v>20000</v>
      </c>
      <c r="J136" s="81" t="s">
        <v>242</v>
      </c>
      <c r="K136" s="81" t="s">
        <v>54</v>
      </c>
      <c r="L136" s="140" t="str">
        <f>IF(AND('331-CT'!$E$7=TH!H136,OR(J136="331",K136="331")),"x","")</f>
        <v/>
      </c>
    </row>
    <row r="137" spans="1:12" s="115" customFormat="1">
      <c r="A137" s="78">
        <f t="shared" si="7"/>
        <v>2012</v>
      </c>
      <c r="B137" s="78">
        <f t="shared" si="8"/>
        <v>1</v>
      </c>
      <c r="C137" s="113">
        <v>40925</v>
      </c>
      <c r="D137" s="79" t="s">
        <v>17</v>
      </c>
      <c r="E137" s="79">
        <v>40925</v>
      </c>
      <c r="F137" s="82" t="s">
        <v>35</v>
      </c>
      <c r="G137" s="273"/>
      <c r="H137" s="128"/>
      <c r="I137" s="80">
        <v>2000</v>
      </c>
      <c r="J137" s="101" t="s">
        <v>242</v>
      </c>
      <c r="K137" s="81" t="s">
        <v>54</v>
      </c>
      <c r="L137" s="140" t="str">
        <f>IF(AND('331-CT'!$E$7=TH!H137,OR(J137="331",K137="331")),"x","")</f>
        <v/>
      </c>
    </row>
    <row r="138" spans="1:12" s="115" customFormat="1">
      <c r="A138" s="78">
        <f t="shared" si="7"/>
        <v>2012</v>
      </c>
      <c r="B138" s="78">
        <f t="shared" si="8"/>
        <v>3</v>
      </c>
      <c r="C138" s="113">
        <v>40984</v>
      </c>
      <c r="D138" s="79" t="s">
        <v>17</v>
      </c>
      <c r="E138" s="79">
        <v>40984</v>
      </c>
      <c r="F138" s="82" t="s">
        <v>49</v>
      </c>
      <c r="G138" s="273"/>
      <c r="H138" s="128"/>
      <c r="I138" s="80">
        <v>24000</v>
      </c>
      <c r="J138" s="81" t="s">
        <v>242</v>
      </c>
      <c r="K138" s="81" t="s">
        <v>54</v>
      </c>
      <c r="L138" s="140" t="str">
        <f>IF(AND('331-CT'!$E$7=TH!H138,OR(J138="331",K138="331")),"x","")</f>
        <v/>
      </c>
    </row>
    <row r="139" spans="1:12" s="115" customFormat="1">
      <c r="A139" s="78">
        <f t="shared" si="7"/>
        <v>2012</v>
      </c>
      <c r="B139" s="78">
        <f t="shared" si="8"/>
        <v>3</v>
      </c>
      <c r="C139" s="113">
        <v>40984</v>
      </c>
      <c r="D139" s="79" t="s">
        <v>17</v>
      </c>
      <c r="E139" s="79">
        <v>40984</v>
      </c>
      <c r="F139" s="82" t="s">
        <v>44</v>
      </c>
      <c r="G139" s="273"/>
      <c r="H139" s="128"/>
      <c r="I139" s="80">
        <v>2400</v>
      </c>
      <c r="J139" s="101" t="s">
        <v>242</v>
      </c>
      <c r="K139" s="81" t="s">
        <v>54</v>
      </c>
      <c r="L139" s="140" t="str">
        <f>IF(AND('331-CT'!$E$7=TH!H139,OR(J139="331",K139="331")),"x","")</f>
        <v/>
      </c>
    </row>
    <row r="140" spans="1:12" s="115" customFormat="1">
      <c r="A140" s="78">
        <f t="shared" ref="A140:A203" si="9">IF(C140&lt;&gt;"",YEAR(C140),"")</f>
        <v>2012</v>
      </c>
      <c r="B140" s="78">
        <f t="shared" ref="B140:B203" si="10">IF(C140&lt;&gt;"",MONTH(C140),"")</f>
        <v>3</v>
      </c>
      <c r="C140" s="113">
        <v>40984</v>
      </c>
      <c r="D140" s="79" t="s">
        <v>17</v>
      </c>
      <c r="E140" s="79">
        <v>40984</v>
      </c>
      <c r="F140" s="82" t="s">
        <v>48</v>
      </c>
      <c r="G140" s="273"/>
      <c r="H140" s="128"/>
      <c r="I140" s="80">
        <v>24000</v>
      </c>
      <c r="J140" s="81" t="s">
        <v>242</v>
      </c>
      <c r="K140" s="81" t="s">
        <v>54</v>
      </c>
      <c r="L140" s="140" t="str">
        <f>IF(AND('331-CT'!$E$7=TH!H140,OR(J140="331",K140="331")),"x","")</f>
        <v/>
      </c>
    </row>
    <row r="141" spans="1:12" s="115" customFormat="1">
      <c r="A141" s="78">
        <f t="shared" si="9"/>
        <v>2012</v>
      </c>
      <c r="B141" s="78">
        <f t="shared" si="10"/>
        <v>3</v>
      </c>
      <c r="C141" s="113">
        <v>40984</v>
      </c>
      <c r="D141" s="79" t="s">
        <v>17</v>
      </c>
      <c r="E141" s="79">
        <v>40984</v>
      </c>
      <c r="F141" s="82" t="s">
        <v>44</v>
      </c>
      <c r="G141" s="273"/>
      <c r="H141" s="128"/>
      <c r="I141" s="80">
        <v>2400</v>
      </c>
      <c r="J141" s="101" t="s">
        <v>242</v>
      </c>
      <c r="K141" s="81" t="s">
        <v>54</v>
      </c>
      <c r="L141" s="140" t="str">
        <f>IF(AND('331-CT'!$E$7=TH!H141,OR(J141="331",K141="331")),"x","")</f>
        <v/>
      </c>
    </row>
    <row r="142" spans="1:12" s="115" customFormat="1">
      <c r="A142" s="78">
        <f t="shared" si="9"/>
        <v>2012</v>
      </c>
      <c r="B142" s="78">
        <f t="shared" si="10"/>
        <v>3</v>
      </c>
      <c r="C142" s="113">
        <v>40984</v>
      </c>
      <c r="D142" s="79" t="s">
        <v>17</v>
      </c>
      <c r="E142" s="79">
        <v>40984</v>
      </c>
      <c r="F142" s="82" t="s">
        <v>47</v>
      </c>
      <c r="G142" s="273"/>
      <c r="H142" s="128"/>
      <c r="I142" s="80">
        <v>24000</v>
      </c>
      <c r="J142" s="81" t="s">
        <v>242</v>
      </c>
      <c r="K142" s="81" t="s">
        <v>54</v>
      </c>
      <c r="L142" s="140" t="str">
        <f>IF(AND('331-CT'!$E$7=TH!H142,OR(J142="331",K142="331")),"x","")</f>
        <v/>
      </c>
    </row>
    <row r="143" spans="1:12" s="115" customFormat="1">
      <c r="A143" s="78">
        <f t="shared" si="9"/>
        <v>2012</v>
      </c>
      <c r="B143" s="78">
        <f t="shared" si="10"/>
        <v>3</v>
      </c>
      <c r="C143" s="113">
        <v>40984</v>
      </c>
      <c r="D143" s="79" t="s">
        <v>17</v>
      </c>
      <c r="E143" s="79">
        <v>40984</v>
      </c>
      <c r="F143" s="82" t="s">
        <v>44</v>
      </c>
      <c r="G143" s="273"/>
      <c r="H143" s="128"/>
      <c r="I143" s="80">
        <v>2400</v>
      </c>
      <c r="J143" s="101" t="s">
        <v>242</v>
      </c>
      <c r="K143" s="81" t="s">
        <v>54</v>
      </c>
      <c r="L143" s="140" t="str">
        <f>IF(AND('331-CT'!$E$7=TH!H143,OR(J143="331",K143="331")),"x","")</f>
        <v/>
      </c>
    </row>
    <row r="144" spans="1:12" s="115" customFormat="1">
      <c r="A144" s="78">
        <f t="shared" si="9"/>
        <v>2012</v>
      </c>
      <c r="B144" s="78">
        <f t="shared" si="10"/>
        <v>3</v>
      </c>
      <c r="C144" s="79">
        <v>40995</v>
      </c>
      <c r="D144" s="79" t="s">
        <v>72</v>
      </c>
      <c r="E144" s="79">
        <f>C144</f>
        <v>40995</v>
      </c>
      <c r="F144" s="82" t="s">
        <v>62</v>
      </c>
      <c r="G144" s="278" t="s">
        <v>536</v>
      </c>
      <c r="H144" s="128" t="s">
        <v>534</v>
      </c>
      <c r="I144" s="80">
        <v>896500</v>
      </c>
      <c r="J144" s="81" t="s">
        <v>242</v>
      </c>
      <c r="K144" s="81" t="s">
        <v>203</v>
      </c>
      <c r="L144" s="140" t="str">
        <f>IF(AND('331-CT'!$E$7=TH!H144,OR(J144="331",K144="331")),"x","")</f>
        <v/>
      </c>
    </row>
    <row r="145" spans="1:12" s="115" customFormat="1">
      <c r="A145" s="78">
        <f t="shared" si="9"/>
        <v>2012</v>
      </c>
      <c r="B145" s="78">
        <f t="shared" si="10"/>
        <v>6</v>
      </c>
      <c r="C145" s="79">
        <v>41076</v>
      </c>
      <c r="D145" s="79" t="s">
        <v>17</v>
      </c>
      <c r="E145" s="79">
        <v>41076</v>
      </c>
      <c r="F145" s="82" t="s">
        <v>49</v>
      </c>
      <c r="G145" s="273"/>
      <c r="H145" s="128"/>
      <c r="I145" s="80">
        <v>24000</v>
      </c>
      <c r="J145" s="81" t="s">
        <v>242</v>
      </c>
      <c r="K145" s="81" t="s">
        <v>54</v>
      </c>
      <c r="L145" s="140" t="str">
        <f>IF(AND('331-CT'!$E$7=TH!H145,OR(J145="331",K145="331")),"x","")</f>
        <v/>
      </c>
    </row>
    <row r="146" spans="1:12" s="115" customFormat="1">
      <c r="A146" s="78">
        <f t="shared" si="9"/>
        <v>2012</v>
      </c>
      <c r="B146" s="78">
        <f t="shared" si="10"/>
        <v>6</v>
      </c>
      <c r="C146" s="113">
        <v>41076</v>
      </c>
      <c r="D146" s="79" t="s">
        <v>17</v>
      </c>
      <c r="E146" s="79">
        <v>41076</v>
      </c>
      <c r="F146" s="82" t="s">
        <v>44</v>
      </c>
      <c r="G146" s="273"/>
      <c r="H146" s="128"/>
      <c r="I146" s="80">
        <v>2400</v>
      </c>
      <c r="J146" s="101" t="s">
        <v>242</v>
      </c>
      <c r="K146" s="81" t="s">
        <v>54</v>
      </c>
      <c r="L146" s="140" t="str">
        <f>IF(AND('331-CT'!$E$7=TH!H146,OR(J146="331",K146="331")),"x","")</f>
        <v/>
      </c>
    </row>
    <row r="147" spans="1:12" s="115" customFormat="1">
      <c r="A147" s="78">
        <f t="shared" si="9"/>
        <v>2012</v>
      </c>
      <c r="B147" s="78">
        <f t="shared" si="10"/>
        <v>6</v>
      </c>
      <c r="C147" s="79">
        <v>41076</v>
      </c>
      <c r="D147" s="79" t="s">
        <v>17</v>
      </c>
      <c r="E147" s="79">
        <v>41076</v>
      </c>
      <c r="F147" s="82" t="s">
        <v>48</v>
      </c>
      <c r="G147" s="273"/>
      <c r="H147" s="128"/>
      <c r="I147" s="80">
        <v>24000</v>
      </c>
      <c r="J147" s="81" t="s">
        <v>242</v>
      </c>
      <c r="K147" s="81" t="s">
        <v>54</v>
      </c>
      <c r="L147" s="140" t="str">
        <f>IF(AND('331-CT'!$E$7=TH!H147,OR(J147="331",K147="331")),"x","")</f>
        <v/>
      </c>
    </row>
    <row r="148" spans="1:12" s="115" customFormat="1">
      <c r="A148" s="78">
        <f t="shared" si="9"/>
        <v>2012</v>
      </c>
      <c r="B148" s="78">
        <f t="shared" si="10"/>
        <v>6</v>
      </c>
      <c r="C148" s="79">
        <v>41076</v>
      </c>
      <c r="D148" s="79" t="s">
        <v>17</v>
      </c>
      <c r="E148" s="79">
        <v>41076</v>
      </c>
      <c r="F148" s="82" t="s">
        <v>44</v>
      </c>
      <c r="G148" s="273"/>
      <c r="H148" s="128"/>
      <c r="I148" s="80">
        <v>2400</v>
      </c>
      <c r="J148" s="101" t="s">
        <v>242</v>
      </c>
      <c r="K148" s="81" t="s">
        <v>54</v>
      </c>
      <c r="L148" s="140" t="str">
        <f>IF(AND('331-CT'!$E$7=TH!H148,OR(J148="331",K148="331")),"x","")</f>
        <v/>
      </c>
    </row>
    <row r="149" spans="1:12" s="115" customFormat="1">
      <c r="A149" s="78">
        <f t="shared" si="9"/>
        <v>2012</v>
      </c>
      <c r="B149" s="78">
        <f t="shared" si="10"/>
        <v>6</v>
      </c>
      <c r="C149" s="113">
        <v>41076</v>
      </c>
      <c r="D149" s="79" t="s">
        <v>17</v>
      </c>
      <c r="E149" s="79">
        <v>41076</v>
      </c>
      <c r="F149" s="82" t="s">
        <v>47</v>
      </c>
      <c r="G149" s="273"/>
      <c r="H149" s="128"/>
      <c r="I149" s="80">
        <v>24000</v>
      </c>
      <c r="J149" s="81" t="s">
        <v>242</v>
      </c>
      <c r="K149" s="81" t="s">
        <v>54</v>
      </c>
      <c r="L149" s="140" t="str">
        <f>IF(AND('331-CT'!$E$7=TH!H149,OR(J149="331",K149="331")),"x","")</f>
        <v/>
      </c>
    </row>
    <row r="150" spans="1:12" s="115" customFormat="1">
      <c r="A150" s="78">
        <f t="shared" si="9"/>
        <v>2012</v>
      </c>
      <c r="B150" s="78">
        <f t="shared" si="10"/>
        <v>6</v>
      </c>
      <c r="C150" s="79">
        <v>41076</v>
      </c>
      <c r="D150" s="79" t="s">
        <v>17</v>
      </c>
      <c r="E150" s="79">
        <v>41076</v>
      </c>
      <c r="F150" s="82" t="s">
        <v>44</v>
      </c>
      <c r="G150" s="273"/>
      <c r="H150" s="128"/>
      <c r="I150" s="80">
        <v>2400</v>
      </c>
      <c r="J150" s="101" t="s">
        <v>242</v>
      </c>
      <c r="K150" s="81" t="s">
        <v>54</v>
      </c>
      <c r="L150" s="140" t="str">
        <f>IF(AND('331-CT'!$E$7=TH!H150,OR(J150="331",K150="331")),"x","")</f>
        <v/>
      </c>
    </row>
    <row r="151" spans="1:12" s="115" customFormat="1">
      <c r="A151" s="78">
        <f t="shared" si="9"/>
        <v>2012</v>
      </c>
      <c r="B151" s="78">
        <f t="shared" si="10"/>
        <v>7</v>
      </c>
      <c r="C151" s="79">
        <v>41115</v>
      </c>
      <c r="D151" s="79" t="s">
        <v>71</v>
      </c>
      <c r="E151" s="79">
        <f>C151</f>
        <v>41115</v>
      </c>
      <c r="F151" s="99" t="s">
        <v>590</v>
      </c>
      <c r="G151" s="273"/>
      <c r="H151" s="123" t="s">
        <v>445</v>
      </c>
      <c r="I151" s="80">
        <v>51000000</v>
      </c>
      <c r="J151" s="81" t="s">
        <v>54</v>
      </c>
      <c r="K151" s="81" t="s">
        <v>203</v>
      </c>
      <c r="L151" s="140" t="str">
        <f>IF(AND('331-CT'!$E$7=TH!H151,OR(J151="331",K151="331")),"x","")</f>
        <v/>
      </c>
    </row>
    <row r="152" spans="1:12" s="115" customFormat="1">
      <c r="A152" s="78">
        <f t="shared" si="9"/>
        <v>2012</v>
      </c>
      <c r="B152" s="78">
        <f t="shared" si="10"/>
        <v>7</v>
      </c>
      <c r="C152" s="113">
        <f>E152</f>
        <v>41115</v>
      </c>
      <c r="D152" s="79" t="s">
        <v>17</v>
      </c>
      <c r="E152" s="79">
        <v>41115</v>
      </c>
      <c r="F152" s="82" t="s">
        <v>112</v>
      </c>
      <c r="G152" s="273"/>
      <c r="H152" s="128" t="s">
        <v>85</v>
      </c>
      <c r="I152" s="80">
        <v>50000000</v>
      </c>
      <c r="J152" s="81" t="s">
        <v>18</v>
      </c>
      <c r="K152" s="81" t="s">
        <v>54</v>
      </c>
      <c r="L152" s="140" t="str">
        <f>IF(AND('331-CT'!$E$7=TH!H152,OR(J152="331",K152="331")),"x","")</f>
        <v/>
      </c>
    </row>
    <row r="153" spans="1:12" s="115" customFormat="1">
      <c r="A153" s="78">
        <f t="shared" si="9"/>
        <v>2012</v>
      </c>
      <c r="B153" s="78">
        <f t="shared" si="10"/>
        <v>7</v>
      </c>
      <c r="C153" s="79">
        <v>41115</v>
      </c>
      <c r="D153" s="79" t="s">
        <v>17</v>
      </c>
      <c r="E153" s="79">
        <v>41115</v>
      </c>
      <c r="F153" s="82" t="s">
        <v>34</v>
      </c>
      <c r="G153" s="273"/>
      <c r="H153" s="128"/>
      <c r="I153" s="80">
        <v>25000</v>
      </c>
      <c r="J153" s="81" t="s">
        <v>242</v>
      </c>
      <c r="K153" s="81" t="s">
        <v>54</v>
      </c>
      <c r="L153" s="140" t="str">
        <f>IF(AND('331-CT'!$E$7=TH!H153,OR(J153="331",K153="331")),"x","")</f>
        <v/>
      </c>
    </row>
    <row r="154" spans="1:12" s="115" customFormat="1">
      <c r="A154" s="78">
        <f t="shared" si="9"/>
        <v>2012</v>
      </c>
      <c r="B154" s="78">
        <f t="shared" si="10"/>
        <v>7</v>
      </c>
      <c r="C154" s="79">
        <v>41115</v>
      </c>
      <c r="D154" s="79" t="s">
        <v>17</v>
      </c>
      <c r="E154" s="79">
        <v>41115</v>
      </c>
      <c r="F154" s="82" t="s">
        <v>35</v>
      </c>
      <c r="G154" s="273"/>
      <c r="H154" s="128"/>
      <c r="I154" s="80">
        <v>2500</v>
      </c>
      <c r="J154" s="101" t="s">
        <v>242</v>
      </c>
      <c r="K154" s="81" t="s">
        <v>54</v>
      </c>
      <c r="L154" s="140" t="str">
        <f>IF(AND('331-CT'!$E$7=TH!H154,OR(J154="331",K154="331")),"x","")</f>
        <v/>
      </c>
    </row>
    <row r="155" spans="1:12" s="115" customFormat="1">
      <c r="A155" s="78">
        <f t="shared" si="9"/>
        <v>2012</v>
      </c>
      <c r="B155" s="78">
        <f t="shared" si="10"/>
        <v>9</v>
      </c>
      <c r="C155" s="79">
        <v>41168</v>
      </c>
      <c r="D155" s="79" t="s">
        <v>17</v>
      </c>
      <c r="E155" s="79">
        <v>41168</v>
      </c>
      <c r="F155" s="82" t="s">
        <v>49</v>
      </c>
      <c r="G155" s="273"/>
      <c r="H155" s="128"/>
      <c r="I155" s="80">
        <v>24000</v>
      </c>
      <c r="J155" s="81" t="s">
        <v>242</v>
      </c>
      <c r="K155" s="81" t="s">
        <v>54</v>
      </c>
      <c r="L155" s="140" t="str">
        <f>IF(AND('331-CT'!$E$7=TH!H155,OR(J155="331",K155="331")),"x","")</f>
        <v/>
      </c>
    </row>
    <row r="156" spans="1:12" s="115" customFormat="1">
      <c r="A156" s="78">
        <f t="shared" si="9"/>
        <v>2012</v>
      </c>
      <c r="B156" s="78">
        <f t="shared" si="10"/>
        <v>9</v>
      </c>
      <c r="C156" s="79">
        <v>41168</v>
      </c>
      <c r="D156" s="79" t="s">
        <v>17</v>
      </c>
      <c r="E156" s="79">
        <v>41168</v>
      </c>
      <c r="F156" s="82" t="s">
        <v>44</v>
      </c>
      <c r="G156" s="273"/>
      <c r="H156" s="128"/>
      <c r="I156" s="80">
        <v>2400</v>
      </c>
      <c r="J156" s="101" t="s">
        <v>242</v>
      </c>
      <c r="K156" s="81" t="s">
        <v>54</v>
      </c>
      <c r="L156" s="140" t="str">
        <f>IF(AND('331-CT'!$E$7=TH!H156,OR(J156="331",K156="331")),"x","")</f>
        <v/>
      </c>
    </row>
    <row r="157" spans="1:12" s="115" customFormat="1">
      <c r="A157" s="78">
        <f t="shared" si="9"/>
        <v>2012</v>
      </c>
      <c r="B157" s="78">
        <f t="shared" si="10"/>
        <v>9</v>
      </c>
      <c r="C157" s="79">
        <v>41168</v>
      </c>
      <c r="D157" s="79" t="s">
        <v>17</v>
      </c>
      <c r="E157" s="79">
        <v>41168</v>
      </c>
      <c r="F157" s="82" t="s">
        <v>48</v>
      </c>
      <c r="G157" s="273"/>
      <c r="H157" s="128"/>
      <c r="I157" s="80">
        <v>24000</v>
      </c>
      <c r="J157" s="81" t="s">
        <v>242</v>
      </c>
      <c r="K157" s="81" t="s">
        <v>54</v>
      </c>
      <c r="L157" s="140" t="str">
        <f>IF(AND('331-CT'!$E$7=TH!H157,OR(J157="331",K157="331")),"x","")</f>
        <v/>
      </c>
    </row>
    <row r="158" spans="1:12" s="115" customFormat="1">
      <c r="A158" s="78">
        <f t="shared" si="9"/>
        <v>2012</v>
      </c>
      <c r="B158" s="78">
        <f t="shared" si="10"/>
        <v>9</v>
      </c>
      <c r="C158" s="79">
        <v>41168</v>
      </c>
      <c r="D158" s="79" t="s">
        <v>17</v>
      </c>
      <c r="E158" s="79">
        <v>41168</v>
      </c>
      <c r="F158" s="82" t="s">
        <v>44</v>
      </c>
      <c r="G158" s="273"/>
      <c r="H158" s="128"/>
      <c r="I158" s="80">
        <v>2400</v>
      </c>
      <c r="J158" s="101" t="s">
        <v>242</v>
      </c>
      <c r="K158" s="81" t="s">
        <v>54</v>
      </c>
      <c r="L158" s="140" t="str">
        <f>IF(AND('331-CT'!$E$7=TH!H158,OR(J158="331",K158="331")),"x","")</f>
        <v/>
      </c>
    </row>
    <row r="159" spans="1:12" s="115" customFormat="1">
      <c r="A159" s="78">
        <f t="shared" si="9"/>
        <v>2012</v>
      </c>
      <c r="B159" s="78">
        <f t="shared" si="10"/>
        <v>9</v>
      </c>
      <c r="C159" s="79">
        <v>41168</v>
      </c>
      <c r="D159" s="79" t="s">
        <v>17</v>
      </c>
      <c r="E159" s="79">
        <v>41168</v>
      </c>
      <c r="F159" s="82" t="s">
        <v>47</v>
      </c>
      <c r="G159" s="273"/>
      <c r="H159" s="128"/>
      <c r="I159" s="80">
        <v>24000</v>
      </c>
      <c r="J159" s="81" t="s">
        <v>242</v>
      </c>
      <c r="K159" s="81" t="s">
        <v>54</v>
      </c>
      <c r="L159" s="140" t="str">
        <f>IF(AND('331-CT'!$E$7=TH!H159,OR(J159="331",K159="331")),"x","")</f>
        <v/>
      </c>
    </row>
    <row r="160" spans="1:12" s="115" customFormat="1">
      <c r="A160" s="78">
        <f t="shared" si="9"/>
        <v>2012</v>
      </c>
      <c r="B160" s="78">
        <f t="shared" si="10"/>
        <v>9</v>
      </c>
      <c r="C160" s="79">
        <v>41168</v>
      </c>
      <c r="D160" s="79" t="s">
        <v>17</v>
      </c>
      <c r="E160" s="79">
        <v>41168</v>
      </c>
      <c r="F160" s="82" t="s">
        <v>44</v>
      </c>
      <c r="G160" s="273"/>
      <c r="H160" s="128"/>
      <c r="I160" s="80">
        <v>2400</v>
      </c>
      <c r="J160" s="101" t="s">
        <v>242</v>
      </c>
      <c r="K160" s="81" t="s">
        <v>54</v>
      </c>
      <c r="L160" s="140" t="str">
        <f>IF(AND('331-CT'!$E$7=TH!H160,OR(J160="331",K160="331")),"x","")</f>
        <v/>
      </c>
    </row>
    <row r="161" spans="1:12" s="115" customFormat="1">
      <c r="A161" s="78">
        <f t="shared" si="9"/>
        <v>2012</v>
      </c>
      <c r="B161" s="78">
        <f t="shared" si="10"/>
        <v>10</v>
      </c>
      <c r="C161" s="79">
        <v>41193</v>
      </c>
      <c r="D161" s="79" t="s">
        <v>133</v>
      </c>
      <c r="E161" s="79">
        <f>C161</f>
        <v>41193</v>
      </c>
      <c r="F161" s="99" t="s">
        <v>591</v>
      </c>
      <c r="G161" s="273"/>
      <c r="H161" s="126" t="s">
        <v>267</v>
      </c>
      <c r="I161" s="80">
        <v>30000000</v>
      </c>
      <c r="J161" s="81" t="s">
        <v>39</v>
      </c>
      <c r="K161" s="81" t="s">
        <v>203</v>
      </c>
      <c r="L161" s="140" t="str">
        <f>IF(AND('331-CT'!$E$7=TH!H161,OR(J161="331",K161="331")),"x","")</f>
        <v/>
      </c>
    </row>
    <row r="162" spans="1:12" s="115" customFormat="1">
      <c r="A162" s="78">
        <f t="shared" si="9"/>
        <v>2012</v>
      </c>
      <c r="B162" s="78">
        <f t="shared" si="10"/>
        <v>10</v>
      </c>
      <c r="C162" s="113">
        <v>41193</v>
      </c>
      <c r="D162" s="79" t="s">
        <v>21</v>
      </c>
      <c r="E162" s="79">
        <v>41193</v>
      </c>
      <c r="F162" s="82" t="s">
        <v>45</v>
      </c>
      <c r="G162" s="273"/>
      <c r="H162" s="126" t="s">
        <v>267</v>
      </c>
      <c r="I162" s="80">
        <v>30000000</v>
      </c>
      <c r="J162" s="81" t="s">
        <v>54</v>
      </c>
      <c r="K162" s="81" t="s">
        <v>39</v>
      </c>
      <c r="L162" s="140" t="str">
        <f>IF(AND('331-CT'!$E$7=TH!H162,OR(J162="331",K162="331")),"x","")</f>
        <v/>
      </c>
    </row>
    <row r="163" spans="1:12" s="115" customFormat="1">
      <c r="A163" s="78">
        <f t="shared" si="9"/>
        <v>2012</v>
      </c>
      <c r="B163" s="78">
        <f t="shared" si="10"/>
        <v>10</v>
      </c>
      <c r="C163" s="113">
        <f>E163</f>
        <v>41193</v>
      </c>
      <c r="D163" s="79" t="s">
        <v>17</v>
      </c>
      <c r="E163" s="79">
        <v>41193</v>
      </c>
      <c r="F163" s="82" t="s">
        <v>114</v>
      </c>
      <c r="G163" s="273"/>
      <c r="H163" s="128" t="s">
        <v>83</v>
      </c>
      <c r="I163" s="80">
        <v>29920000</v>
      </c>
      <c r="J163" s="81" t="s">
        <v>18</v>
      </c>
      <c r="K163" s="81" t="s">
        <v>54</v>
      </c>
      <c r="L163" s="140" t="str">
        <f>IF(AND('331-CT'!$E$7=TH!H163,OR(J163="331",K163="331")),"x","")</f>
        <v/>
      </c>
    </row>
    <row r="164" spans="1:12" s="115" customFormat="1">
      <c r="A164" s="78">
        <f t="shared" si="9"/>
        <v>2012</v>
      </c>
      <c r="B164" s="78">
        <f t="shared" si="10"/>
        <v>10</v>
      </c>
      <c r="C164" s="79">
        <v>41193</v>
      </c>
      <c r="D164" s="79" t="s">
        <v>17</v>
      </c>
      <c r="E164" s="79">
        <v>41193</v>
      </c>
      <c r="F164" s="82" t="s">
        <v>34</v>
      </c>
      <c r="G164" s="273"/>
      <c r="H164" s="128"/>
      <c r="I164" s="80">
        <v>20000</v>
      </c>
      <c r="J164" s="81" t="s">
        <v>242</v>
      </c>
      <c r="K164" s="81" t="s">
        <v>54</v>
      </c>
      <c r="L164" s="140" t="str">
        <f>IF(AND('331-CT'!$E$7=TH!H164,OR(J164="331",K164="331")),"x","")</f>
        <v/>
      </c>
    </row>
    <row r="165" spans="1:12" s="115" customFormat="1">
      <c r="A165" s="78">
        <f t="shared" si="9"/>
        <v>2012</v>
      </c>
      <c r="B165" s="78">
        <f t="shared" si="10"/>
        <v>10</v>
      </c>
      <c r="C165" s="79">
        <v>41193</v>
      </c>
      <c r="D165" s="79" t="s">
        <v>17</v>
      </c>
      <c r="E165" s="79">
        <v>41193</v>
      </c>
      <c r="F165" s="82" t="s">
        <v>35</v>
      </c>
      <c r="G165" s="273"/>
      <c r="H165" s="128"/>
      <c r="I165" s="80">
        <v>2000</v>
      </c>
      <c r="J165" s="101" t="s">
        <v>242</v>
      </c>
      <c r="K165" s="81" t="s">
        <v>54</v>
      </c>
      <c r="L165" s="140" t="str">
        <f>IF(AND('331-CT'!$E$7=TH!H165,OR(J165="331",K165="331")),"x","")</f>
        <v/>
      </c>
    </row>
    <row r="166" spans="1:12" s="115" customFormat="1">
      <c r="A166" s="78">
        <f t="shared" si="9"/>
        <v>2012</v>
      </c>
      <c r="B166" s="78">
        <f t="shared" si="10"/>
        <v>12</v>
      </c>
      <c r="C166" s="113">
        <v>41260</v>
      </c>
      <c r="D166" s="79" t="s">
        <v>17</v>
      </c>
      <c r="E166" s="79">
        <v>41260</v>
      </c>
      <c r="F166" s="82" t="s">
        <v>49</v>
      </c>
      <c r="G166" s="273"/>
      <c r="H166" s="128"/>
      <c r="I166" s="80">
        <v>24000</v>
      </c>
      <c r="J166" s="81" t="s">
        <v>242</v>
      </c>
      <c r="K166" s="81" t="s">
        <v>54</v>
      </c>
      <c r="L166" s="140" t="str">
        <f>IF(AND('331-CT'!$E$7=TH!H166,OR(J166="331",K166="331")),"x","")</f>
        <v/>
      </c>
    </row>
    <row r="167" spans="1:12" s="115" customFormat="1">
      <c r="A167" s="78">
        <f t="shared" si="9"/>
        <v>2012</v>
      </c>
      <c r="B167" s="78">
        <f t="shared" si="10"/>
        <v>12</v>
      </c>
      <c r="C167" s="113">
        <v>41260</v>
      </c>
      <c r="D167" s="79" t="s">
        <v>17</v>
      </c>
      <c r="E167" s="79">
        <v>41260</v>
      </c>
      <c r="F167" s="82" t="s">
        <v>44</v>
      </c>
      <c r="G167" s="273"/>
      <c r="H167" s="128"/>
      <c r="I167" s="80">
        <v>2400</v>
      </c>
      <c r="J167" s="101" t="s">
        <v>242</v>
      </c>
      <c r="K167" s="81" t="s">
        <v>54</v>
      </c>
      <c r="L167" s="140" t="str">
        <f>IF(AND('331-CT'!$E$7=TH!H167,OR(J167="331",K167="331")),"x","")</f>
        <v/>
      </c>
    </row>
    <row r="168" spans="1:12" s="115" customFormat="1">
      <c r="A168" s="78">
        <f t="shared" si="9"/>
        <v>2012</v>
      </c>
      <c r="B168" s="78">
        <f t="shared" si="10"/>
        <v>12</v>
      </c>
      <c r="C168" s="113">
        <v>41260</v>
      </c>
      <c r="D168" s="79" t="s">
        <v>17</v>
      </c>
      <c r="E168" s="79">
        <v>41260</v>
      </c>
      <c r="F168" s="82" t="s">
        <v>48</v>
      </c>
      <c r="G168" s="273"/>
      <c r="H168" s="128"/>
      <c r="I168" s="80">
        <v>24000</v>
      </c>
      <c r="J168" s="81" t="s">
        <v>242</v>
      </c>
      <c r="K168" s="81" t="s">
        <v>54</v>
      </c>
      <c r="L168" s="140" t="str">
        <f>IF(AND('331-CT'!$E$7=TH!H168,OR(J168="331",K168="331")),"x","")</f>
        <v/>
      </c>
    </row>
    <row r="169" spans="1:12" s="115" customFormat="1">
      <c r="A169" s="78">
        <f t="shared" si="9"/>
        <v>2012</v>
      </c>
      <c r="B169" s="78">
        <f t="shared" si="10"/>
        <v>12</v>
      </c>
      <c r="C169" s="113">
        <v>41260</v>
      </c>
      <c r="D169" s="79" t="s">
        <v>17</v>
      </c>
      <c r="E169" s="79">
        <v>41260</v>
      </c>
      <c r="F169" s="82" t="s">
        <v>44</v>
      </c>
      <c r="G169" s="273"/>
      <c r="H169" s="128"/>
      <c r="I169" s="80">
        <v>2400</v>
      </c>
      <c r="J169" s="101" t="s">
        <v>242</v>
      </c>
      <c r="K169" s="81" t="s">
        <v>54</v>
      </c>
      <c r="L169" s="140" t="str">
        <f>IF(AND('331-CT'!$E$7=TH!H169,OR(J169="331",K169="331")),"x","")</f>
        <v/>
      </c>
    </row>
    <row r="170" spans="1:12" s="115" customFormat="1">
      <c r="A170" s="78">
        <f t="shared" si="9"/>
        <v>2012</v>
      </c>
      <c r="B170" s="78">
        <f t="shared" si="10"/>
        <v>12</v>
      </c>
      <c r="C170" s="79">
        <v>41260</v>
      </c>
      <c r="D170" s="79" t="s">
        <v>17</v>
      </c>
      <c r="E170" s="79">
        <v>41260</v>
      </c>
      <c r="F170" s="82" t="s">
        <v>47</v>
      </c>
      <c r="G170" s="273"/>
      <c r="H170" s="128"/>
      <c r="I170" s="80">
        <v>24000</v>
      </c>
      <c r="J170" s="81" t="s">
        <v>242</v>
      </c>
      <c r="K170" s="81" t="s">
        <v>54</v>
      </c>
      <c r="L170" s="140" t="str">
        <f>IF(AND('331-CT'!$E$7=TH!H170,OR(J170="331",K170="331")),"x","")</f>
        <v/>
      </c>
    </row>
    <row r="171" spans="1:12" s="115" customFormat="1">
      <c r="A171" s="78">
        <f t="shared" si="9"/>
        <v>2012</v>
      </c>
      <c r="B171" s="78">
        <f t="shared" si="10"/>
        <v>12</v>
      </c>
      <c r="C171" s="113">
        <v>41260</v>
      </c>
      <c r="D171" s="79" t="s">
        <v>17</v>
      </c>
      <c r="E171" s="79">
        <v>41260</v>
      </c>
      <c r="F171" s="82" t="s">
        <v>44</v>
      </c>
      <c r="G171" s="273"/>
      <c r="H171" s="128"/>
      <c r="I171" s="80">
        <v>2400</v>
      </c>
      <c r="J171" s="101" t="s">
        <v>242</v>
      </c>
      <c r="K171" s="81" t="s">
        <v>54</v>
      </c>
      <c r="L171" s="140" t="str">
        <f>IF(AND('331-CT'!$E$7=TH!H171,OR(J171="331",K171="331")),"x","")</f>
        <v/>
      </c>
    </row>
    <row r="172" spans="1:12" s="115" customFormat="1">
      <c r="A172" s="78">
        <f t="shared" si="9"/>
        <v>2013</v>
      </c>
      <c r="B172" s="78">
        <f t="shared" si="10"/>
        <v>1</v>
      </c>
      <c r="C172" s="79">
        <v>41302</v>
      </c>
      <c r="D172" s="79" t="s">
        <v>73</v>
      </c>
      <c r="E172" s="79">
        <f>C172</f>
        <v>41302</v>
      </c>
      <c r="F172" s="99" t="s">
        <v>590</v>
      </c>
      <c r="G172" s="273"/>
      <c r="H172" s="128" t="s">
        <v>529</v>
      </c>
      <c r="I172" s="80">
        <v>1500000</v>
      </c>
      <c r="J172" s="81" t="s">
        <v>54</v>
      </c>
      <c r="K172" s="81" t="s">
        <v>203</v>
      </c>
      <c r="L172" s="140" t="str">
        <f>IF(AND('331-CT'!$E$7=TH!H172,OR(J172="331",K172="331")),"x","")</f>
        <v/>
      </c>
    </row>
    <row r="173" spans="1:12" s="115" customFormat="1">
      <c r="A173" s="78">
        <f t="shared" si="9"/>
        <v>2013</v>
      </c>
      <c r="B173" s="78">
        <f t="shared" si="10"/>
        <v>1</v>
      </c>
      <c r="C173" s="79">
        <v>41302</v>
      </c>
      <c r="D173" s="79" t="s">
        <v>78</v>
      </c>
      <c r="E173" s="79">
        <v>41302</v>
      </c>
      <c r="F173" s="82" t="s">
        <v>3</v>
      </c>
      <c r="G173" s="273"/>
      <c r="H173" s="128"/>
      <c r="I173" s="80">
        <v>1500000</v>
      </c>
      <c r="J173" s="81" t="s">
        <v>242</v>
      </c>
      <c r="K173" s="81" t="s">
        <v>219</v>
      </c>
      <c r="L173" s="140" t="str">
        <f>IF(AND('331-CT'!$E$7=TH!H173,OR(J173="331",K173="331")),"x","")</f>
        <v/>
      </c>
    </row>
    <row r="174" spans="1:12" s="115" customFormat="1">
      <c r="A174" s="78">
        <f t="shared" si="9"/>
        <v>2013</v>
      </c>
      <c r="B174" s="78">
        <f t="shared" si="10"/>
        <v>1</v>
      </c>
      <c r="C174" s="113">
        <v>41302</v>
      </c>
      <c r="D174" s="79" t="s">
        <v>17</v>
      </c>
      <c r="E174" s="79">
        <v>41302</v>
      </c>
      <c r="F174" s="82" t="s">
        <v>3</v>
      </c>
      <c r="G174" s="273"/>
      <c r="H174" s="128"/>
      <c r="I174" s="80">
        <v>1500000</v>
      </c>
      <c r="J174" s="81" t="s">
        <v>212</v>
      </c>
      <c r="K174" s="81" t="s">
        <v>54</v>
      </c>
      <c r="L174" s="140" t="str">
        <f>IF(AND('331-CT'!$E$7=TH!H174,OR(J174="331",K174="331")),"x","")</f>
        <v/>
      </c>
    </row>
    <row r="175" spans="1:12" s="115" customFormat="1">
      <c r="A175" s="78">
        <f t="shared" si="9"/>
        <v>2013</v>
      </c>
      <c r="B175" s="78">
        <f t="shared" si="10"/>
        <v>1</v>
      </c>
      <c r="C175" s="113">
        <v>41302</v>
      </c>
      <c r="D175" s="79" t="s">
        <v>17</v>
      </c>
      <c r="E175" s="79">
        <v>41302</v>
      </c>
      <c r="F175" s="82" t="s">
        <v>34</v>
      </c>
      <c r="G175" s="273"/>
      <c r="H175" s="128"/>
      <c r="I175" s="80">
        <v>30000</v>
      </c>
      <c r="J175" s="81" t="s">
        <v>242</v>
      </c>
      <c r="K175" s="81" t="s">
        <v>54</v>
      </c>
      <c r="L175" s="140" t="str">
        <f>IF(AND('331-CT'!$E$7=TH!H175,OR(J175="331",K175="331")),"x","")</f>
        <v/>
      </c>
    </row>
    <row r="176" spans="1:12" s="115" customFormat="1">
      <c r="A176" s="78">
        <f t="shared" si="9"/>
        <v>2013</v>
      </c>
      <c r="B176" s="78">
        <f t="shared" si="10"/>
        <v>1</v>
      </c>
      <c r="C176" s="113">
        <v>41302</v>
      </c>
      <c r="D176" s="79" t="s">
        <v>17</v>
      </c>
      <c r="E176" s="79">
        <v>41302</v>
      </c>
      <c r="F176" s="82" t="s">
        <v>35</v>
      </c>
      <c r="G176" s="273"/>
      <c r="H176" s="128"/>
      <c r="I176" s="80">
        <v>3000</v>
      </c>
      <c r="J176" s="101" t="s">
        <v>242</v>
      </c>
      <c r="K176" s="81" t="s">
        <v>54</v>
      </c>
      <c r="L176" s="140" t="str">
        <f>IF(AND('331-CT'!$E$7=TH!H176,OR(J176="331",K176="331")),"x","")</f>
        <v/>
      </c>
    </row>
    <row r="177" spans="1:12" s="115" customFormat="1">
      <c r="A177" s="78">
        <f t="shared" si="9"/>
        <v>2013</v>
      </c>
      <c r="B177" s="78">
        <f t="shared" si="10"/>
        <v>2</v>
      </c>
      <c r="C177" s="79">
        <v>41311</v>
      </c>
      <c r="D177" s="79" t="s">
        <v>21</v>
      </c>
      <c r="E177" s="79">
        <f>C177</f>
        <v>41311</v>
      </c>
      <c r="F177" s="82" t="s">
        <v>3</v>
      </c>
      <c r="G177" s="273"/>
      <c r="H177" s="128"/>
      <c r="I177" s="80">
        <v>1500000</v>
      </c>
      <c r="J177" s="81" t="s">
        <v>54</v>
      </c>
      <c r="K177" s="81" t="s">
        <v>212</v>
      </c>
      <c r="L177" s="140" t="str">
        <f>IF(AND('331-CT'!$E$7=TH!H177,OR(J177="331",K177="331")),"x","")</f>
        <v/>
      </c>
    </row>
    <row r="178" spans="1:12" s="115" customFormat="1">
      <c r="A178" s="78">
        <f t="shared" si="9"/>
        <v>2013</v>
      </c>
      <c r="B178" s="78">
        <f t="shared" si="10"/>
        <v>2</v>
      </c>
      <c r="C178" s="113">
        <v>41311</v>
      </c>
      <c r="D178" s="79" t="s">
        <v>17</v>
      </c>
      <c r="E178" s="79">
        <v>41311</v>
      </c>
      <c r="F178" s="82" t="s">
        <v>3</v>
      </c>
      <c r="G178" s="273"/>
      <c r="H178" s="128"/>
      <c r="I178" s="80">
        <v>1500000</v>
      </c>
      <c r="J178" s="81" t="s">
        <v>219</v>
      </c>
      <c r="K178" s="81" t="s">
        <v>54</v>
      </c>
      <c r="L178" s="140" t="str">
        <f>IF(AND('331-CT'!$E$7=TH!H178,OR(J178="331",K178="331")),"x","")</f>
        <v/>
      </c>
    </row>
    <row r="179" spans="1:12" s="115" customFormat="1">
      <c r="A179" s="78">
        <f t="shared" si="9"/>
        <v>2013</v>
      </c>
      <c r="B179" s="78">
        <f t="shared" si="10"/>
        <v>2</v>
      </c>
      <c r="C179" s="113">
        <v>41311</v>
      </c>
      <c r="D179" s="79" t="s">
        <v>17</v>
      </c>
      <c r="E179" s="79">
        <v>41311</v>
      </c>
      <c r="F179" s="82" t="s">
        <v>34</v>
      </c>
      <c r="G179" s="273"/>
      <c r="H179" s="128"/>
      <c r="I179" s="80">
        <v>20000</v>
      </c>
      <c r="J179" s="81" t="s">
        <v>242</v>
      </c>
      <c r="K179" s="81" t="s">
        <v>54</v>
      </c>
      <c r="L179" s="140" t="str">
        <f>IF(AND('331-CT'!$E$7=TH!H179,OR(J179="331",K179="331")),"x","")</f>
        <v/>
      </c>
    </row>
    <row r="180" spans="1:12" s="115" customFormat="1">
      <c r="A180" s="78">
        <f t="shared" si="9"/>
        <v>2013</v>
      </c>
      <c r="B180" s="78">
        <f t="shared" si="10"/>
        <v>2</v>
      </c>
      <c r="C180" s="113">
        <v>41311</v>
      </c>
      <c r="D180" s="79" t="s">
        <v>17</v>
      </c>
      <c r="E180" s="79">
        <v>41311</v>
      </c>
      <c r="F180" s="82" t="s">
        <v>35</v>
      </c>
      <c r="G180" s="273"/>
      <c r="H180" s="128"/>
      <c r="I180" s="80">
        <v>2000</v>
      </c>
      <c r="J180" s="101" t="s">
        <v>242</v>
      </c>
      <c r="K180" s="81" t="s">
        <v>54</v>
      </c>
      <c r="L180" s="140" t="str">
        <f>IF(AND('331-CT'!$E$7=TH!H180,OR(J180="331",K180="331")),"x","")</f>
        <v/>
      </c>
    </row>
    <row r="181" spans="1:12" s="115" customFormat="1">
      <c r="A181" s="78">
        <f t="shared" si="9"/>
        <v>2013</v>
      </c>
      <c r="B181" s="78">
        <f t="shared" si="10"/>
        <v>3</v>
      </c>
      <c r="C181" s="79">
        <v>41351</v>
      </c>
      <c r="D181" s="79" t="s">
        <v>17</v>
      </c>
      <c r="E181" s="79">
        <v>41351</v>
      </c>
      <c r="F181" s="82" t="s">
        <v>49</v>
      </c>
      <c r="G181" s="273"/>
      <c r="H181" s="128"/>
      <c r="I181" s="80">
        <v>24000</v>
      </c>
      <c r="J181" s="81" t="s">
        <v>242</v>
      </c>
      <c r="K181" s="81" t="s">
        <v>54</v>
      </c>
      <c r="L181" s="140" t="str">
        <f>IF(AND('331-CT'!$E$7=TH!H181,OR(J181="331",K181="331")),"x","")</f>
        <v/>
      </c>
    </row>
    <row r="182" spans="1:12" s="115" customFormat="1">
      <c r="A182" s="78">
        <f t="shared" si="9"/>
        <v>2013</v>
      </c>
      <c r="B182" s="78">
        <f t="shared" si="10"/>
        <v>3</v>
      </c>
      <c r="C182" s="79">
        <v>41351</v>
      </c>
      <c r="D182" s="79" t="s">
        <v>17</v>
      </c>
      <c r="E182" s="79">
        <v>41351</v>
      </c>
      <c r="F182" s="82" t="s">
        <v>44</v>
      </c>
      <c r="G182" s="273"/>
      <c r="H182" s="128"/>
      <c r="I182" s="80">
        <v>2400</v>
      </c>
      <c r="J182" s="101" t="s">
        <v>242</v>
      </c>
      <c r="K182" s="81" t="s">
        <v>54</v>
      </c>
      <c r="L182" s="140" t="str">
        <f>IF(AND('331-CT'!$E$7=TH!H182,OR(J182="331",K182="331")),"x","")</f>
        <v/>
      </c>
    </row>
    <row r="183" spans="1:12" s="115" customFormat="1">
      <c r="A183" s="78">
        <f t="shared" si="9"/>
        <v>2013</v>
      </c>
      <c r="B183" s="78">
        <f t="shared" si="10"/>
        <v>3</v>
      </c>
      <c r="C183" s="79">
        <v>41351</v>
      </c>
      <c r="D183" s="79" t="s">
        <v>17</v>
      </c>
      <c r="E183" s="79">
        <v>41351</v>
      </c>
      <c r="F183" s="82" t="s">
        <v>48</v>
      </c>
      <c r="G183" s="273"/>
      <c r="H183" s="128"/>
      <c r="I183" s="80">
        <v>24000</v>
      </c>
      <c r="J183" s="81" t="s">
        <v>242</v>
      </c>
      <c r="K183" s="81" t="s">
        <v>54</v>
      </c>
      <c r="L183" s="140" t="str">
        <f>IF(AND('331-CT'!$E$7=TH!H183,OR(J183="331",K183="331")),"x","")</f>
        <v/>
      </c>
    </row>
    <row r="184" spans="1:12" s="115" customFormat="1">
      <c r="A184" s="78">
        <f t="shared" si="9"/>
        <v>2013</v>
      </c>
      <c r="B184" s="78">
        <f t="shared" si="10"/>
        <v>3</v>
      </c>
      <c r="C184" s="79">
        <v>41351</v>
      </c>
      <c r="D184" s="79" t="s">
        <v>17</v>
      </c>
      <c r="E184" s="79">
        <v>41351</v>
      </c>
      <c r="F184" s="82" t="s">
        <v>44</v>
      </c>
      <c r="G184" s="273"/>
      <c r="H184" s="128"/>
      <c r="I184" s="80">
        <v>2400</v>
      </c>
      <c r="J184" s="101" t="s">
        <v>242</v>
      </c>
      <c r="K184" s="81" t="s">
        <v>54</v>
      </c>
      <c r="L184" s="140" t="str">
        <f>IF(AND('331-CT'!$E$7=TH!H184,OR(J184="331",K184="331")),"x","")</f>
        <v/>
      </c>
    </row>
    <row r="185" spans="1:12" s="115" customFormat="1">
      <c r="A185" s="78">
        <f t="shared" si="9"/>
        <v>2013</v>
      </c>
      <c r="B185" s="78">
        <f t="shared" si="10"/>
        <v>3</v>
      </c>
      <c r="C185" s="113">
        <v>41351</v>
      </c>
      <c r="D185" s="79" t="s">
        <v>17</v>
      </c>
      <c r="E185" s="79">
        <v>41351</v>
      </c>
      <c r="F185" s="82" t="s">
        <v>47</v>
      </c>
      <c r="G185" s="273"/>
      <c r="H185" s="128"/>
      <c r="I185" s="80">
        <v>24000</v>
      </c>
      <c r="J185" s="81" t="s">
        <v>242</v>
      </c>
      <c r="K185" s="81" t="s">
        <v>54</v>
      </c>
      <c r="L185" s="140" t="str">
        <f>IF(AND('331-CT'!$E$7=TH!H185,OR(J185="331",K185="331")),"x","")</f>
        <v/>
      </c>
    </row>
    <row r="186" spans="1:12" s="115" customFormat="1">
      <c r="A186" s="78">
        <f t="shared" si="9"/>
        <v>2013</v>
      </c>
      <c r="B186" s="78">
        <f t="shared" si="10"/>
        <v>3</v>
      </c>
      <c r="C186" s="79">
        <v>41351</v>
      </c>
      <c r="D186" s="79" t="s">
        <v>17</v>
      </c>
      <c r="E186" s="79">
        <v>41351</v>
      </c>
      <c r="F186" s="82" t="s">
        <v>44</v>
      </c>
      <c r="G186" s="273"/>
      <c r="H186" s="128"/>
      <c r="I186" s="80">
        <v>2400</v>
      </c>
      <c r="J186" s="101" t="s">
        <v>242</v>
      </c>
      <c r="K186" s="81" t="s">
        <v>54</v>
      </c>
      <c r="L186" s="140" t="str">
        <f>IF(AND('331-CT'!$E$7=TH!H186,OR(J186="331",K186="331")),"x","")</f>
        <v/>
      </c>
    </row>
    <row r="187" spans="1:12" s="115" customFormat="1">
      <c r="A187" s="78">
        <f t="shared" si="9"/>
        <v>2013</v>
      </c>
      <c r="B187" s="78">
        <f t="shared" si="10"/>
        <v>6</v>
      </c>
      <c r="C187" s="79">
        <v>41443</v>
      </c>
      <c r="D187" s="79" t="s">
        <v>17</v>
      </c>
      <c r="E187" s="79">
        <v>41443</v>
      </c>
      <c r="F187" s="82" t="s">
        <v>49</v>
      </c>
      <c r="G187" s="273"/>
      <c r="H187" s="128"/>
      <c r="I187" s="80">
        <v>30000</v>
      </c>
      <c r="J187" s="81" t="s">
        <v>242</v>
      </c>
      <c r="K187" s="81" t="s">
        <v>54</v>
      </c>
      <c r="L187" s="140" t="str">
        <f>IF(AND('331-CT'!$E$7=TH!H187,OR(J187="331",K187="331")),"x","")</f>
        <v/>
      </c>
    </row>
    <row r="188" spans="1:12" s="115" customFormat="1">
      <c r="A188" s="78">
        <f t="shared" si="9"/>
        <v>2013</v>
      </c>
      <c r="B188" s="78">
        <f t="shared" si="10"/>
        <v>6</v>
      </c>
      <c r="C188" s="79">
        <v>41443</v>
      </c>
      <c r="D188" s="79" t="s">
        <v>17</v>
      </c>
      <c r="E188" s="79">
        <v>41443</v>
      </c>
      <c r="F188" s="82" t="s">
        <v>44</v>
      </c>
      <c r="G188" s="273"/>
      <c r="H188" s="128"/>
      <c r="I188" s="80">
        <v>3000</v>
      </c>
      <c r="J188" s="101" t="s">
        <v>242</v>
      </c>
      <c r="K188" s="81" t="s">
        <v>54</v>
      </c>
      <c r="L188" s="140" t="str">
        <f>IF(AND('331-CT'!$E$7=TH!H188,OR(J188="331",K188="331")),"x","")</f>
        <v/>
      </c>
    </row>
    <row r="189" spans="1:12" s="115" customFormat="1">
      <c r="A189" s="78">
        <f t="shared" si="9"/>
        <v>2013</v>
      </c>
      <c r="B189" s="78">
        <f t="shared" si="10"/>
        <v>6</v>
      </c>
      <c r="C189" s="79">
        <v>41443</v>
      </c>
      <c r="D189" s="79" t="s">
        <v>17</v>
      </c>
      <c r="E189" s="79">
        <v>41443</v>
      </c>
      <c r="F189" s="82" t="s">
        <v>48</v>
      </c>
      <c r="G189" s="273"/>
      <c r="H189" s="128"/>
      <c r="I189" s="80">
        <v>30000</v>
      </c>
      <c r="J189" s="81" t="s">
        <v>242</v>
      </c>
      <c r="K189" s="81" t="s">
        <v>54</v>
      </c>
      <c r="L189" s="140" t="str">
        <f>IF(AND('331-CT'!$E$7=TH!H189,OR(J189="331",K189="331")),"x","")</f>
        <v/>
      </c>
    </row>
    <row r="190" spans="1:12" s="115" customFormat="1">
      <c r="A190" s="78">
        <f t="shared" si="9"/>
        <v>2013</v>
      </c>
      <c r="B190" s="78">
        <f t="shared" si="10"/>
        <v>6</v>
      </c>
      <c r="C190" s="79">
        <v>41443</v>
      </c>
      <c r="D190" s="79" t="s">
        <v>17</v>
      </c>
      <c r="E190" s="79">
        <v>41443</v>
      </c>
      <c r="F190" s="82" t="s">
        <v>44</v>
      </c>
      <c r="G190" s="273"/>
      <c r="H190" s="128"/>
      <c r="I190" s="80">
        <v>3000</v>
      </c>
      <c r="J190" s="101" t="s">
        <v>242</v>
      </c>
      <c r="K190" s="81" t="s">
        <v>54</v>
      </c>
      <c r="L190" s="140" t="str">
        <f>IF(AND('331-CT'!$E$7=TH!H190,OR(J190="331",K190="331")),"x","")</f>
        <v/>
      </c>
    </row>
    <row r="191" spans="1:12" s="115" customFormat="1">
      <c r="A191" s="78">
        <f t="shared" si="9"/>
        <v>2013</v>
      </c>
      <c r="B191" s="78">
        <f t="shared" si="10"/>
        <v>6</v>
      </c>
      <c r="C191" s="79">
        <v>41443</v>
      </c>
      <c r="D191" s="79" t="s">
        <v>17</v>
      </c>
      <c r="E191" s="79">
        <v>41443</v>
      </c>
      <c r="F191" s="82" t="s">
        <v>47</v>
      </c>
      <c r="G191" s="273"/>
      <c r="H191" s="128"/>
      <c r="I191" s="80">
        <v>30000</v>
      </c>
      <c r="J191" s="81" t="s">
        <v>242</v>
      </c>
      <c r="K191" s="81" t="s">
        <v>54</v>
      </c>
      <c r="L191" s="140" t="str">
        <f>IF(AND('331-CT'!$E$7=TH!H191,OR(J191="331",K191="331")),"x","")</f>
        <v/>
      </c>
    </row>
    <row r="192" spans="1:12" s="115" customFormat="1">
      <c r="A192" s="78">
        <f t="shared" si="9"/>
        <v>2013</v>
      </c>
      <c r="B192" s="78">
        <f t="shared" si="10"/>
        <v>6</v>
      </c>
      <c r="C192" s="79">
        <v>41443</v>
      </c>
      <c r="D192" s="79" t="s">
        <v>17</v>
      </c>
      <c r="E192" s="79">
        <v>41443</v>
      </c>
      <c r="F192" s="82" t="s">
        <v>44</v>
      </c>
      <c r="G192" s="273"/>
      <c r="H192" s="128"/>
      <c r="I192" s="80">
        <v>3000</v>
      </c>
      <c r="J192" s="101" t="s">
        <v>242</v>
      </c>
      <c r="K192" s="81" t="s">
        <v>54</v>
      </c>
      <c r="L192" s="140" t="str">
        <f>IF(AND('331-CT'!$E$7=TH!H192,OR(J192="331",K192="331")),"x","")</f>
        <v/>
      </c>
    </row>
    <row r="193" spans="1:12" s="115" customFormat="1">
      <c r="A193" s="78">
        <f t="shared" si="9"/>
        <v>2013</v>
      </c>
      <c r="B193" s="78">
        <f t="shared" si="10"/>
        <v>7</v>
      </c>
      <c r="C193" s="79">
        <v>41456</v>
      </c>
      <c r="D193" s="79" t="s">
        <v>17</v>
      </c>
      <c r="E193" s="79">
        <v>41456</v>
      </c>
      <c r="F193" s="82" t="s">
        <v>41</v>
      </c>
      <c r="G193" s="273"/>
      <c r="H193" s="128"/>
      <c r="I193" s="80">
        <v>100000</v>
      </c>
      <c r="J193" s="81" t="s">
        <v>242</v>
      </c>
      <c r="K193" s="81" t="s">
        <v>54</v>
      </c>
      <c r="L193" s="140" t="str">
        <f>IF(AND('331-CT'!$E$7=TH!H193,OR(J193="331",K193="331")),"x","")</f>
        <v/>
      </c>
    </row>
    <row r="194" spans="1:12" s="115" customFormat="1">
      <c r="A194" s="78">
        <f t="shared" si="9"/>
        <v>2013</v>
      </c>
      <c r="B194" s="78">
        <f t="shared" si="10"/>
        <v>7</v>
      </c>
      <c r="C194" s="79">
        <v>41456</v>
      </c>
      <c r="D194" s="79" t="s">
        <v>17</v>
      </c>
      <c r="E194" s="79">
        <v>41456</v>
      </c>
      <c r="F194" s="82" t="s">
        <v>46</v>
      </c>
      <c r="G194" s="273"/>
      <c r="H194" s="128"/>
      <c r="I194" s="80">
        <v>10000</v>
      </c>
      <c r="J194" s="101" t="s">
        <v>242</v>
      </c>
      <c r="K194" s="81" t="s">
        <v>54</v>
      </c>
      <c r="L194" s="140" t="str">
        <f>IF(AND('331-CT'!$E$7=TH!H194,OR(J194="331",K194="331")),"x","")</f>
        <v/>
      </c>
    </row>
    <row r="195" spans="1:12" s="115" customFormat="1">
      <c r="A195" s="78">
        <f t="shared" si="9"/>
        <v>2013</v>
      </c>
      <c r="B195" s="78">
        <f t="shared" si="10"/>
        <v>9</v>
      </c>
      <c r="C195" s="113">
        <v>41535</v>
      </c>
      <c r="D195" s="79" t="s">
        <v>17</v>
      </c>
      <c r="E195" s="79">
        <v>41535</v>
      </c>
      <c r="F195" s="82" t="s">
        <v>49</v>
      </c>
      <c r="G195" s="273"/>
      <c r="H195" s="128"/>
      <c r="I195" s="80">
        <v>30000</v>
      </c>
      <c r="J195" s="81" t="s">
        <v>242</v>
      </c>
      <c r="K195" s="81" t="s">
        <v>54</v>
      </c>
      <c r="L195" s="140" t="str">
        <f>IF(AND('331-CT'!$E$7=TH!H195,OR(J195="331",K195="331")),"x","")</f>
        <v/>
      </c>
    </row>
    <row r="196" spans="1:12" s="115" customFormat="1">
      <c r="A196" s="78">
        <f t="shared" si="9"/>
        <v>2013</v>
      </c>
      <c r="B196" s="78">
        <f t="shared" si="10"/>
        <v>9</v>
      </c>
      <c r="C196" s="79">
        <v>41535</v>
      </c>
      <c r="D196" s="79" t="s">
        <v>17</v>
      </c>
      <c r="E196" s="79">
        <v>41535</v>
      </c>
      <c r="F196" s="82" t="s">
        <v>44</v>
      </c>
      <c r="G196" s="273"/>
      <c r="H196" s="128"/>
      <c r="I196" s="80">
        <v>3000</v>
      </c>
      <c r="J196" s="101" t="s">
        <v>242</v>
      </c>
      <c r="K196" s="81" t="s">
        <v>54</v>
      </c>
      <c r="L196" s="140" t="str">
        <f>IF(AND('331-CT'!$E$7=TH!H196,OR(J196="331",K196="331")),"x","")</f>
        <v/>
      </c>
    </row>
    <row r="197" spans="1:12" s="115" customFormat="1">
      <c r="A197" s="78">
        <f t="shared" si="9"/>
        <v>2013</v>
      </c>
      <c r="B197" s="78">
        <f t="shared" si="10"/>
        <v>9</v>
      </c>
      <c r="C197" s="79">
        <v>41535</v>
      </c>
      <c r="D197" s="79" t="s">
        <v>17</v>
      </c>
      <c r="E197" s="79">
        <v>41535</v>
      </c>
      <c r="F197" s="82" t="s">
        <v>48</v>
      </c>
      <c r="G197" s="273"/>
      <c r="H197" s="128"/>
      <c r="I197" s="80">
        <v>30000</v>
      </c>
      <c r="J197" s="81" t="s">
        <v>242</v>
      </c>
      <c r="K197" s="81" t="s">
        <v>54</v>
      </c>
      <c r="L197" s="140" t="str">
        <f>IF(AND('331-CT'!$E$7=TH!H197,OR(J197="331",K197="331")),"x","")</f>
        <v/>
      </c>
    </row>
    <row r="198" spans="1:12" s="115" customFormat="1">
      <c r="A198" s="78">
        <f t="shared" si="9"/>
        <v>2013</v>
      </c>
      <c r="B198" s="78">
        <f t="shared" si="10"/>
        <v>9</v>
      </c>
      <c r="C198" s="79">
        <v>41535</v>
      </c>
      <c r="D198" s="79" t="s">
        <v>17</v>
      </c>
      <c r="E198" s="79">
        <v>41535</v>
      </c>
      <c r="F198" s="82" t="s">
        <v>44</v>
      </c>
      <c r="G198" s="273"/>
      <c r="H198" s="128"/>
      <c r="I198" s="80">
        <v>3000</v>
      </c>
      <c r="J198" s="101" t="s">
        <v>242</v>
      </c>
      <c r="K198" s="81" t="s">
        <v>54</v>
      </c>
      <c r="L198" s="140" t="str">
        <f>IF(AND('331-CT'!$E$7=TH!H198,OR(J198="331",K198="331")),"x","")</f>
        <v/>
      </c>
    </row>
    <row r="199" spans="1:12" s="115" customFormat="1">
      <c r="A199" s="78">
        <f t="shared" si="9"/>
        <v>2013</v>
      </c>
      <c r="B199" s="78">
        <f t="shared" si="10"/>
        <v>9</v>
      </c>
      <c r="C199" s="79">
        <v>41535</v>
      </c>
      <c r="D199" s="79" t="s">
        <v>17</v>
      </c>
      <c r="E199" s="79">
        <v>41535</v>
      </c>
      <c r="F199" s="82" t="s">
        <v>47</v>
      </c>
      <c r="G199" s="273"/>
      <c r="H199" s="128"/>
      <c r="I199" s="80">
        <v>30000</v>
      </c>
      <c r="J199" s="81" t="s">
        <v>242</v>
      </c>
      <c r="K199" s="81" t="s">
        <v>54</v>
      </c>
      <c r="L199" s="140" t="str">
        <f>IF(AND('331-CT'!$E$7=TH!H199,OR(J199="331",K199="331")),"x","")</f>
        <v/>
      </c>
    </row>
    <row r="200" spans="1:12" s="115" customFormat="1">
      <c r="A200" s="78">
        <f t="shared" si="9"/>
        <v>2013</v>
      </c>
      <c r="B200" s="78">
        <f t="shared" si="10"/>
        <v>9</v>
      </c>
      <c r="C200" s="113">
        <v>41535</v>
      </c>
      <c r="D200" s="79" t="s">
        <v>17</v>
      </c>
      <c r="E200" s="79">
        <v>41535</v>
      </c>
      <c r="F200" s="82" t="s">
        <v>44</v>
      </c>
      <c r="G200" s="273"/>
      <c r="H200" s="128"/>
      <c r="I200" s="80">
        <v>3000</v>
      </c>
      <c r="J200" s="101" t="s">
        <v>242</v>
      </c>
      <c r="K200" s="81" t="s">
        <v>54</v>
      </c>
      <c r="L200" s="140" t="str">
        <f>IF(AND('331-CT'!$E$7=TH!H200,OR(J200="331",K200="331")),"x","")</f>
        <v/>
      </c>
    </row>
    <row r="201" spans="1:12" s="115" customFormat="1">
      <c r="A201" s="78">
        <f t="shared" si="9"/>
        <v>2013</v>
      </c>
      <c r="B201" s="78">
        <f t="shared" si="10"/>
        <v>12</v>
      </c>
      <c r="C201" s="113">
        <v>41626</v>
      </c>
      <c r="D201" s="79" t="s">
        <v>17</v>
      </c>
      <c r="E201" s="79">
        <v>41626</v>
      </c>
      <c r="F201" s="82" t="s">
        <v>49</v>
      </c>
      <c r="G201" s="273"/>
      <c r="H201" s="128"/>
      <c r="I201" s="80">
        <v>30000</v>
      </c>
      <c r="J201" s="81" t="s">
        <v>242</v>
      </c>
      <c r="K201" s="81" t="s">
        <v>54</v>
      </c>
      <c r="L201" s="140" t="str">
        <f>IF(AND('331-CT'!$E$7=TH!H201,OR(J201="331",K201="331")),"x","")</f>
        <v/>
      </c>
    </row>
    <row r="202" spans="1:12" s="115" customFormat="1">
      <c r="A202" s="78">
        <f t="shared" si="9"/>
        <v>2013</v>
      </c>
      <c r="B202" s="78">
        <f t="shared" si="10"/>
        <v>12</v>
      </c>
      <c r="C202" s="113">
        <v>41626</v>
      </c>
      <c r="D202" s="79" t="s">
        <v>17</v>
      </c>
      <c r="E202" s="79">
        <v>41626</v>
      </c>
      <c r="F202" s="82" t="s">
        <v>44</v>
      </c>
      <c r="G202" s="273"/>
      <c r="H202" s="128"/>
      <c r="I202" s="80">
        <v>3000</v>
      </c>
      <c r="J202" s="101" t="s">
        <v>242</v>
      </c>
      <c r="K202" s="81" t="s">
        <v>54</v>
      </c>
      <c r="L202" s="140" t="str">
        <f>IF(AND('331-CT'!$E$7=TH!H202,OR(J202="331",K202="331")),"x","")</f>
        <v/>
      </c>
    </row>
    <row r="203" spans="1:12" s="115" customFormat="1">
      <c r="A203" s="78">
        <f t="shared" si="9"/>
        <v>2013</v>
      </c>
      <c r="B203" s="78">
        <f t="shared" si="10"/>
        <v>12</v>
      </c>
      <c r="C203" s="113">
        <v>41626</v>
      </c>
      <c r="D203" s="79" t="s">
        <v>17</v>
      </c>
      <c r="E203" s="79">
        <v>41626</v>
      </c>
      <c r="F203" s="82" t="s">
        <v>48</v>
      </c>
      <c r="G203" s="273"/>
      <c r="H203" s="128"/>
      <c r="I203" s="80">
        <v>30000</v>
      </c>
      <c r="J203" s="81" t="s">
        <v>242</v>
      </c>
      <c r="K203" s="81" t="s">
        <v>54</v>
      </c>
      <c r="L203" s="140" t="str">
        <f>IF(AND('331-CT'!$E$7=TH!H203,OR(J203="331",K203="331")),"x","")</f>
        <v/>
      </c>
    </row>
    <row r="204" spans="1:12" s="115" customFormat="1">
      <c r="A204" s="78">
        <f t="shared" ref="A204:A267" si="11">IF(C204&lt;&gt;"",YEAR(C204),"")</f>
        <v>2013</v>
      </c>
      <c r="B204" s="78">
        <f t="shared" ref="B204:B267" si="12">IF(C204&lt;&gt;"",MONTH(C204),"")</f>
        <v>12</v>
      </c>
      <c r="C204" s="113">
        <v>41626</v>
      </c>
      <c r="D204" s="79" t="s">
        <v>17</v>
      </c>
      <c r="E204" s="79">
        <v>41626</v>
      </c>
      <c r="F204" s="82" t="s">
        <v>44</v>
      </c>
      <c r="G204" s="273"/>
      <c r="H204" s="128"/>
      <c r="I204" s="80">
        <v>3000</v>
      </c>
      <c r="J204" s="101" t="s">
        <v>242</v>
      </c>
      <c r="K204" s="81" t="s">
        <v>54</v>
      </c>
      <c r="L204" s="140" t="str">
        <f>IF(AND('331-CT'!$E$7=TH!H204,OR(J204="331",K204="331")),"x","")</f>
        <v/>
      </c>
    </row>
    <row r="205" spans="1:12" s="115" customFormat="1">
      <c r="A205" s="78">
        <f t="shared" si="11"/>
        <v>2013</v>
      </c>
      <c r="B205" s="78">
        <f t="shared" si="12"/>
        <v>12</v>
      </c>
      <c r="C205" s="113">
        <v>41626</v>
      </c>
      <c r="D205" s="79" t="s">
        <v>17</v>
      </c>
      <c r="E205" s="79">
        <v>41626</v>
      </c>
      <c r="F205" s="82" t="s">
        <v>47</v>
      </c>
      <c r="G205" s="273"/>
      <c r="H205" s="128"/>
      <c r="I205" s="80">
        <v>30000</v>
      </c>
      <c r="J205" s="81" t="s">
        <v>242</v>
      </c>
      <c r="K205" s="81" t="s">
        <v>54</v>
      </c>
      <c r="L205" s="140" t="str">
        <f>IF(AND('331-CT'!$E$7=TH!H205,OR(J205="331",K205="331")),"x","")</f>
        <v/>
      </c>
    </row>
    <row r="206" spans="1:12" s="115" customFormat="1">
      <c r="A206" s="78">
        <f t="shared" si="11"/>
        <v>2013</v>
      </c>
      <c r="B206" s="78">
        <f t="shared" si="12"/>
        <v>12</v>
      </c>
      <c r="C206" s="113">
        <v>41626</v>
      </c>
      <c r="D206" s="79" t="s">
        <v>17</v>
      </c>
      <c r="E206" s="79">
        <v>41626</v>
      </c>
      <c r="F206" s="82" t="s">
        <v>44</v>
      </c>
      <c r="G206" s="273"/>
      <c r="H206" s="128"/>
      <c r="I206" s="80">
        <v>3000</v>
      </c>
      <c r="J206" s="101" t="s">
        <v>242</v>
      </c>
      <c r="K206" s="81" t="s">
        <v>54</v>
      </c>
      <c r="L206" s="140" t="str">
        <f>IF(AND('331-CT'!$E$7=TH!H206,OR(J206="331",K206="331")),"x","")</f>
        <v/>
      </c>
    </row>
    <row r="207" spans="1:12" s="115" customFormat="1">
      <c r="A207" s="78">
        <f t="shared" si="11"/>
        <v>2014</v>
      </c>
      <c r="B207" s="78">
        <f t="shared" si="12"/>
        <v>1</v>
      </c>
      <c r="C207" s="113">
        <v>41641</v>
      </c>
      <c r="D207" s="79" t="s">
        <v>73</v>
      </c>
      <c r="E207" s="79">
        <v>41641</v>
      </c>
      <c r="F207" s="82" t="s">
        <v>591</v>
      </c>
      <c r="G207" s="273"/>
      <c r="H207" s="128" t="s">
        <v>267</v>
      </c>
      <c r="I207" s="80">
        <v>58000000</v>
      </c>
      <c r="J207" s="84" t="s">
        <v>39</v>
      </c>
      <c r="K207" s="81" t="s">
        <v>203</v>
      </c>
      <c r="L207" s="140" t="str">
        <f>IF(AND('331-CT'!$E$7=TH!H207,OR(J207="331",K207="331")),"x","")</f>
        <v/>
      </c>
    </row>
    <row r="208" spans="1:12" s="115" customFormat="1">
      <c r="A208" s="78">
        <f t="shared" si="11"/>
        <v>2014</v>
      </c>
      <c r="B208" s="78">
        <f t="shared" si="12"/>
        <v>1</v>
      </c>
      <c r="C208" s="79">
        <v>41641</v>
      </c>
      <c r="D208" s="79" t="s">
        <v>21</v>
      </c>
      <c r="E208" s="79">
        <v>41641</v>
      </c>
      <c r="F208" s="82" t="s">
        <v>45</v>
      </c>
      <c r="G208" s="273"/>
      <c r="H208" s="128" t="s">
        <v>267</v>
      </c>
      <c r="I208" s="80">
        <v>58000000</v>
      </c>
      <c r="J208" s="81" t="s">
        <v>54</v>
      </c>
      <c r="K208" s="81" t="s">
        <v>39</v>
      </c>
      <c r="L208" s="140" t="str">
        <f>IF(AND('331-CT'!$E$7=TH!H208,OR(J208="331",K208="331")),"x","")</f>
        <v/>
      </c>
    </row>
    <row r="209" spans="1:12" s="115" customFormat="1">
      <c r="A209" s="78">
        <f t="shared" si="11"/>
        <v>2014</v>
      </c>
      <c r="B209" s="78">
        <f t="shared" si="12"/>
        <v>1</v>
      </c>
      <c r="C209" s="79">
        <v>41641</v>
      </c>
      <c r="D209" s="79" t="s">
        <v>17</v>
      </c>
      <c r="E209" s="79">
        <v>41641</v>
      </c>
      <c r="F209" s="82" t="s">
        <v>8</v>
      </c>
      <c r="G209" s="273"/>
      <c r="H209" s="128" t="s">
        <v>86</v>
      </c>
      <c r="I209" s="80">
        <v>27500000</v>
      </c>
      <c r="J209" s="81" t="s">
        <v>18</v>
      </c>
      <c r="K209" s="81" t="s">
        <v>54</v>
      </c>
      <c r="L209" s="140" t="str">
        <f>IF(AND('331-CT'!$E$7=TH!H209,OR(J209="331",K209="331")),"x","")</f>
        <v>x</v>
      </c>
    </row>
    <row r="210" spans="1:12" s="115" customFormat="1">
      <c r="A210" s="78">
        <f t="shared" si="11"/>
        <v>2014</v>
      </c>
      <c r="B210" s="78">
        <f t="shared" si="12"/>
        <v>1</v>
      </c>
      <c r="C210" s="79">
        <v>41641</v>
      </c>
      <c r="D210" s="79" t="s">
        <v>17</v>
      </c>
      <c r="E210" s="79">
        <v>41641</v>
      </c>
      <c r="F210" s="99" t="s">
        <v>34</v>
      </c>
      <c r="G210" s="273"/>
      <c r="H210" s="126"/>
      <c r="I210" s="80">
        <v>20000</v>
      </c>
      <c r="J210" s="81" t="s">
        <v>242</v>
      </c>
      <c r="K210" s="81" t="s">
        <v>54</v>
      </c>
      <c r="L210" s="140" t="str">
        <f>IF(AND('331-CT'!$E$7=TH!H210,OR(J210="331",K210="331")),"x","")</f>
        <v/>
      </c>
    </row>
    <row r="211" spans="1:12" s="115" customFormat="1">
      <c r="A211" s="78">
        <f t="shared" si="11"/>
        <v>2014</v>
      </c>
      <c r="B211" s="78">
        <f t="shared" si="12"/>
        <v>1</v>
      </c>
      <c r="C211" s="113">
        <v>41641</v>
      </c>
      <c r="D211" s="79" t="s">
        <v>17</v>
      </c>
      <c r="E211" s="79">
        <v>41641</v>
      </c>
      <c r="F211" s="82" t="s">
        <v>35</v>
      </c>
      <c r="G211" s="273"/>
      <c r="H211" s="126"/>
      <c r="I211" s="80">
        <v>2000</v>
      </c>
      <c r="J211" s="81" t="s">
        <v>19</v>
      </c>
      <c r="K211" s="81" t="s">
        <v>54</v>
      </c>
      <c r="L211" s="140" t="str">
        <f>IF(AND('331-CT'!$E$7=TH!H211,OR(J211="331",K211="331")),"x","")</f>
        <v/>
      </c>
    </row>
    <row r="212" spans="1:12" s="115" customFormat="1">
      <c r="A212" s="78">
        <f t="shared" si="11"/>
        <v>2014</v>
      </c>
      <c r="B212" s="78">
        <f t="shared" si="12"/>
        <v>1</v>
      </c>
      <c r="C212" s="79">
        <v>41641</v>
      </c>
      <c r="D212" s="79" t="s">
        <v>17</v>
      </c>
      <c r="E212" s="79">
        <v>41641</v>
      </c>
      <c r="F212" s="82" t="s">
        <v>114</v>
      </c>
      <c r="G212" s="273"/>
      <c r="H212" s="128" t="s">
        <v>83</v>
      </c>
      <c r="I212" s="80">
        <v>29920000</v>
      </c>
      <c r="J212" s="81" t="s">
        <v>18</v>
      </c>
      <c r="K212" s="81" t="s">
        <v>54</v>
      </c>
      <c r="L212" s="140" t="str">
        <f>IF(AND('331-CT'!$E$7=TH!H212,OR(J212="331",K212="331")),"x","")</f>
        <v/>
      </c>
    </row>
    <row r="213" spans="1:12" s="115" customFormat="1">
      <c r="A213" s="78">
        <f t="shared" si="11"/>
        <v>2014</v>
      </c>
      <c r="B213" s="78">
        <f t="shared" si="12"/>
        <v>1</v>
      </c>
      <c r="C213" s="79">
        <v>41641</v>
      </c>
      <c r="D213" s="79" t="s">
        <v>17</v>
      </c>
      <c r="E213" s="79">
        <v>41641</v>
      </c>
      <c r="F213" s="82" t="s">
        <v>34</v>
      </c>
      <c r="G213" s="273"/>
      <c r="H213" s="128"/>
      <c r="I213" s="80">
        <v>20000</v>
      </c>
      <c r="J213" s="81" t="s">
        <v>242</v>
      </c>
      <c r="K213" s="81" t="s">
        <v>54</v>
      </c>
      <c r="L213" s="140" t="str">
        <f>IF(AND('331-CT'!$E$7=TH!H213,OR(J213="331",K213="331")),"x","")</f>
        <v/>
      </c>
    </row>
    <row r="214" spans="1:12" s="115" customFormat="1">
      <c r="A214" s="78">
        <f t="shared" si="11"/>
        <v>2014</v>
      </c>
      <c r="B214" s="78">
        <f t="shared" si="12"/>
        <v>1</v>
      </c>
      <c r="C214" s="79">
        <v>41641</v>
      </c>
      <c r="D214" s="79" t="s">
        <v>17</v>
      </c>
      <c r="E214" s="79">
        <v>41641</v>
      </c>
      <c r="F214" s="82" t="s">
        <v>35</v>
      </c>
      <c r="G214" s="273"/>
      <c r="H214" s="128"/>
      <c r="I214" s="80">
        <v>2000</v>
      </c>
      <c r="J214" s="81" t="s">
        <v>19</v>
      </c>
      <c r="K214" s="81" t="s">
        <v>54</v>
      </c>
      <c r="L214" s="140" t="str">
        <f>IF(AND('331-CT'!$E$7=TH!H214,OR(J214="331",K214="331")),"x","")</f>
        <v/>
      </c>
    </row>
    <row r="215" spans="1:12" s="115" customFormat="1">
      <c r="A215" s="78">
        <f t="shared" si="11"/>
        <v>2014</v>
      </c>
      <c r="B215" s="78">
        <f t="shared" si="12"/>
        <v>1</v>
      </c>
      <c r="C215" s="79">
        <v>41653</v>
      </c>
      <c r="D215" s="79" t="s">
        <v>92</v>
      </c>
      <c r="E215" s="79">
        <v>41653</v>
      </c>
      <c r="F215" s="82" t="s">
        <v>591</v>
      </c>
      <c r="G215" s="273"/>
      <c r="H215" s="128" t="s">
        <v>267</v>
      </c>
      <c r="I215" s="80">
        <v>379000000</v>
      </c>
      <c r="J215" s="81" t="s">
        <v>39</v>
      </c>
      <c r="K215" s="81" t="s">
        <v>203</v>
      </c>
      <c r="L215" s="140" t="str">
        <f>IF(AND('331-CT'!$E$7=TH!H215,OR(J215="331",K215="331")),"x","")</f>
        <v/>
      </c>
    </row>
    <row r="216" spans="1:12" s="115" customFormat="1">
      <c r="A216" s="78">
        <f t="shared" si="11"/>
        <v>2014</v>
      </c>
      <c r="B216" s="78">
        <f t="shared" si="12"/>
        <v>1</v>
      </c>
      <c r="C216" s="79">
        <v>41653</v>
      </c>
      <c r="D216" s="79" t="s">
        <v>21</v>
      </c>
      <c r="E216" s="79">
        <v>41653</v>
      </c>
      <c r="F216" s="99" t="s">
        <v>45</v>
      </c>
      <c r="G216" s="273"/>
      <c r="H216" s="128" t="s">
        <v>267</v>
      </c>
      <c r="I216" s="80">
        <v>379000000</v>
      </c>
      <c r="J216" s="81" t="s">
        <v>54</v>
      </c>
      <c r="K216" s="81" t="s">
        <v>39</v>
      </c>
      <c r="L216" s="140" t="str">
        <f>IF(AND('331-CT'!$E$7=TH!H216,OR(J216="331",K216="331")),"x","")</f>
        <v/>
      </c>
    </row>
    <row r="217" spans="1:12" s="115" customFormat="1">
      <c r="A217" s="78">
        <f t="shared" si="11"/>
        <v>2014</v>
      </c>
      <c r="B217" s="78">
        <f t="shared" si="12"/>
        <v>1</v>
      </c>
      <c r="C217" s="79">
        <v>41653</v>
      </c>
      <c r="D217" s="79" t="s">
        <v>17</v>
      </c>
      <c r="E217" s="79">
        <v>41653</v>
      </c>
      <c r="F217" s="82" t="s">
        <v>34</v>
      </c>
      <c r="G217" s="273"/>
      <c r="H217" s="128"/>
      <c r="I217" s="80">
        <v>113634</v>
      </c>
      <c r="J217" s="81" t="s">
        <v>242</v>
      </c>
      <c r="K217" s="81" t="s">
        <v>54</v>
      </c>
      <c r="L217" s="140" t="str">
        <f>IF(AND('331-CT'!$E$7=TH!H217,OR(J217="331",K217="331")),"x","")</f>
        <v/>
      </c>
    </row>
    <row r="218" spans="1:12" s="115" customFormat="1">
      <c r="A218" s="78">
        <f t="shared" si="11"/>
        <v>2014</v>
      </c>
      <c r="B218" s="78">
        <f t="shared" si="12"/>
        <v>1</v>
      </c>
      <c r="C218" s="79">
        <v>41653</v>
      </c>
      <c r="D218" s="79" t="s">
        <v>17</v>
      </c>
      <c r="E218" s="79">
        <v>41653</v>
      </c>
      <c r="F218" s="82" t="s">
        <v>35</v>
      </c>
      <c r="G218" s="273"/>
      <c r="H218" s="128"/>
      <c r="I218" s="80">
        <v>11363</v>
      </c>
      <c r="J218" s="81" t="s">
        <v>19</v>
      </c>
      <c r="K218" s="81" t="s">
        <v>54</v>
      </c>
      <c r="L218" s="140" t="str">
        <f>IF(AND('331-CT'!$E$7=TH!H218,OR(J218="331",K218="331")),"x","")</f>
        <v/>
      </c>
    </row>
    <row r="219" spans="1:12" s="115" customFormat="1">
      <c r="A219" s="78">
        <f t="shared" si="11"/>
        <v>2014</v>
      </c>
      <c r="B219" s="78">
        <f t="shared" si="12"/>
        <v>1</v>
      </c>
      <c r="C219" s="79">
        <v>41653</v>
      </c>
      <c r="D219" s="79" t="s">
        <v>78</v>
      </c>
      <c r="E219" s="79">
        <v>41653</v>
      </c>
      <c r="F219" s="82" t="s">
        <v>117</v>
      </c>
      <c r="G219" s="273" t="s">
        <v>576</v>
      </c>
      <c r="H219" s="128" t="s">
        <v>83</v>
      </c>
      <c r="I219" s="80">
        <v>27200000</v>
      </c>
      <c r="J219" s="81" t="s">
        <v>242</v>
      </c>
      <c r="K219" s="81" t="s">
        <v>18</v>
      </c>
      <c r="L219" s="140" t="str">
        <f>IF(AND('331-CT'!$E$7=TH!H219,OR(J219="331",K219="331")),"x","")</f>
        <v/>
      </c>
    </row>
    <row r="220" spans="1:12" s="115" customFormat="1">
      <c r="A220" s="78">
        <f t="shared" si="11"/>
        <v>2014</v>
      </c>
      <c r="B220" s="78">
        <f t="shared" si="12"/>
        <v>1</v>
      </c>
      <c r="C220" s="79">
        <v>41653</v>
      </c>
      <c r="D220" s="79" t="s">
        <v>78</v>
      </c>
      <c r="E220" s="79">
        <v>41653</v>
      </c>
      <c r="F220" s="82" t="s">
        <v>84</v>
      </c>
      <c r="G220" s="273" t="s">
        <v>576</v>
      </c>
      <c r="H220" s="128" t="s">
        <v>83</v>
      </c>
      <c r="I220" s="80">
        <v>2720000</v>
      </c>
      <c r="J220" s="81" t="s">
        <v>19</v>
      </c>
      <c r="K220" s="81" t="s">
        <v>18</v>
      </c>
      <c r="L220" s="140" t="str">
        <f>IF(AND('331-CT'!$E$7=TH!H220,OR(J220="331",K220="331")),"x","")</f>
        <v/>
      </c>
    </row>
    <row r="221" spans="1:12" s="115" customFormat="1">
      <c r="A221" s="78">
        <f t="shared" si="11"/>
        <v>2014</v>
      </c>
      <c r="B221" s="78">
        <f t="shared" si="12"/>
        <v>1</v>
      </c>
      <c r="C221" s="79">
        <v>41660</v>
      </c>
      <c r="D221" s="79" t="s">
        <v>93</v>
      </c>
      <c r="E221" s="79">
        <v>41660</v>
      </c>
      <c r="F221" s="82" t="s">
        <v>591</v>
      </c>
      <c r="G221" s="273"/>
      <c r="H221" s="128" t="s">
        <v>267</v>
      </c>
      <c r="I221" s="80">
        <v>1500000</v>
      </c>
      <c r="J221" s="81" t="s">
        <v>39</v>
      </c>
      <c r="K221" s="81" t="s">
        <v>203</v>
      </c>
      <c r="L221" s="140" t="str">
        <f>IF(AND('331-CT'!$E$7=TH!H221,OR(J221="331",K221="331")),"x","")</f>
        <v/>
      </c>
    </row>
    <row r="222" spans="1:12" s="115" customFormat="1">
      <c r="A222" s="78">
        <f t="shared" si="11"/>
        <v>2014</v>
      </c>
      <c r="B222" s="78">
        <f t="shared" si="12"/>
        <v>1</v>
      </c>
      <c r="C222" s="113">
        <v>41660</v>
      </c>
      <c r="D222" s="79" t="s">
        <v>21</v>
      </c>
      <c r="E222" s="79">
        <v>41660</v>
      </c>
      <c r="F222" s="82" t="s">
        <v>45</v>
      </c>
      <c r="G222" s="273"/>
      <c r="H222" s="128" t="s">
        <v>267</v>
      </c>
      <c r="I222" s="80">
        <v>1500000</v>
      </c>
      <c r="J222" s="81" t="s">
        <v>54</v>
      </c>
      <c r="K222" s="81" t="s">
        <v>39</v>
      </c>
      <c r="L222" s="140" t="str">
        <f>IF(AND('331-CT'!$E$7=TH!H222,OR(J222="331",K222="331")),"x","")</f>
        <v/>
      </c>
    </row>
    <row r="223" spans="1:12" s="115" customFormat="1">
      <c r="A223" s="78">
        <f t="shared" si="11"/>
        <v>2014</v>
      </c>
      <c r="B223" s="78">
        <f t="shared" si="12"/>
        <v>1</v>
      </c>
      <c r="C223" s="113">
        <v>41660</v>
      </c>
      <c r="D223" s="79" t="s">
        <v>78</v>
      </c>
      <c r="E223" s="79">
        <v>41660</v>
      </c>
      <c r="F223" s="82" t="s">
        <v>7</v>
      </c>
      <c r="G223" s="273"/>
      <c r="H223" s="128"/>
      <c r="I223" s="80">
        <v>1500000</v>
      </c>
      <c r="J223" s="81" t="s">
        <v>242</v>
      </c>
      <c r="K223" s="81" t="s">
        <v>219</v>
      </c>
      <c r="L223" s="140" t="str">
        <f>IF(AND('331-CT'!$E$7=TH!H223,OR(J223="331",K223="331")),"x","")</f>
        <v/>
      </c>
    </row>
    <row r="224" spans="1:12" s="115" customFormat="1">
      <c r="A224" s="78">
        <f t="shared" si="11"/>
        <v>2014</v>
      </c>
      <c r="B224" s="78">
        <f t="shared" si="12"/>
        <v>1</v>
      </c>
      <c r="C224" s="113">
        <v>41660</v>
      </c>
      <c r="D224" s="79" t="s">
        <v>17</v>
      </c>
      <c r="E224" s="79">
        <v>41660</v>
      </c>
      <c r="F224" s="82" t="s">
        <v>7</v>
      </c>
      <c r="G224" s="273"/>
      <c r="H224" s="128"/>
      <c r="I224" s="80">
        <v>1500000</v>
      </c>
      <c r="J224" s="81" t="s">
        <v>219</v>
      </c>
      <c r="K224" s="81" t="s">
        <v>54</v>
      </c>
      <c r="L224" s="140" t="str">
        <f>IF(AND('331-CT'!$E$7=TH!H224,OR(J224="331",K224="331")),"x","")</f>
        <v/>
      </c>
    </row>
    <row r="225" spans="1:12" s="115" customFormat="1">
      <c r="A225" s="78">
        <f t="shared" si="11"/>
        <v>2014</v>
      </c>
      <c r="B225" s="78">
        <f t="shared" si="12"/>
        <v>1</v>
      </c>
      <c r="C225" s="79">
        <v>41660</v>
      </c>
      <c r="D225" s="79" t="s">
        <v>17</v>
      </c>
      <c r="E225" s="79">
        <v>41660</v>
      </c>
      <c r="F225" s="82" t="s">
        <v>34</v>
      </c>
      <c r="G225" s="273"/>
      <c r="H225" s="128"/>
      <c r="I225" s="80">
        <v>20000</v>
      </c>
      <c r="J225" s="81" t="s">
        <v>242</v>
      </c>
      <c r="K225" s="81" t="s">
        <v>54</v>
      </c>
      <c r="L225" s="140" t="str">
        <f>IF(AND('331-CT'!$E$7=TH!H225,OR(J225="331",K225="331")),"x","")</f>
        <v/>
      </c>
    </row>
    <row r="226" spans="1:12" s="115" customFormat="1">
      <c r="A226" s="78">
        <f t="shared" si="11"/>
        <v>2014</v>
      </c>
      <c r="B226" s="78">
        <f t="shared" si="12"/>
        <v>1</v>
      </c>
      <c r="C226" s="79">
        <v>41660</v>
      </c>
      <c r="D226" s="79" t="s">
        <v>17</v>
      </c>
      <c r="E226" s="79">
        <v>41660</v>
      </c>
      <c r="F226" s="82" t="s">
        <v>35</v>
      </c>
      <c r="G226" s="273"/>
      <c r="H226" s="128"/>
      <c r="I226" s="80">
        <v>2000</v>
      </c>
      <c r="J226" s="81" t="s">
        <v>19</v>
      </c>
      <c r="K226" s="81" t="s">
        <v>54</v>
      </c>
      <c r="L226" s="140" t="str">
        <f>IF(AND('331-CT'!$E$7=TH!H226,OR(J226="331",K226="331")),"x","")</f>
        <v/>
      </c>
    </row>
    <row r="227" spans="1:12" s="115" customFormat="1">
      <c r="A227" s="78">
        <f t="shared" si="11"/>
        <v>2014</v>
      </c>
      <c r="B227" s="78">
        <f t="shared" si="12"/>
        <v>1</v>
      </c>
      <c r="C227" s="113">
        <v>41664</v>
      </c>
      <c r="D227" s="79" t="s">
        <v>72</v>
      </c>
      <c r="E227" s="79">
        <v>41664</v>
      </c>
      <c r="F227" s="82" t="s">
        <v>590</v>
      </c>
      <c r="G227" s="273"/>
      <c r="H227" s="128" t="s">
        <v>588</v>
      </c>
      <c r="I227" s="80">
        <v>64000000</v>
      </c>
      <c r="J227" s="84" t="s">
        <v>54</v>
      </c>
      <c r="K227" s="81" t="s">
        <v>203</v>
      </c>
      <c r="L227" s="140" t="str">
        <f>IF(AND('331-CT'!$E$7=TH!H227,OR(J227="331",K227="331")),"x","")</f>
        <v/>
      </c>
    </row>
    <row r="228" spans="1:12" s="115" customFormat="1">
      <c r="A228" s="78">
        <f t="shared" si="11"/>
        <v>2014</v>
      </c>
      <c r="B228" s="78">
        <f t="shared" si="12"/>
        <v>1</v>
      </c>
      <c r="C228" s="79">
        <v>41664</v>
      </c>
      <c r="D228" s="79" t="s">
        <v>17</v>
      </c>
      <c r="E228" s="79">
        <v>41664</v>
      </c>
      <c r="F228" s="82" t="s">
        <v>6</v>
      </c>
      <c r="G228" s="273"/>
      <c r="H228" s="128" t="s">
        <v>89</v>
      </c>
      <c r="I228" s="80">
        <v>43824000</v>
      </c>
      <c r="J228" s="81" t="s">
        <v>18</v>
      </c>
      <c r="K228" s="81" t="s">
        <v>54</v>
      </c>
      <c r="L228" s="140" t="str">
        <f>IF(AND('331-CT'!$E$7=TH!H228,OR(J228="331",K228="331")),"x","")</f>
        <v/>
      </c>
    </row>
    <row r="229" spans="1:12" s="115" customFormat="1">
      <c r="A229" s="78">
        <f t="shared" si="11"/>
        <v>2014</v>
      </c>
      <c r="B229" s="78">
        <f t="shared" si="12"/>
        <v>1</v>
      </c>
      <c r="C229" s="79">
        <v>41664</v>
      </c>
      <c r="D229" s="79" t="s">
        <v>17</v>
      </c>
      <c r="E229" s="79">
        <v>41664</v>
      </c>
      <c r="F229" s="82" t="s">
        <v>34</v>
      </c>
      <c r="G229" s="273"/>
      <c r="H229" s="128"/>
      <c r="I229" s="80">
        <v>30000</v>
      </c>
      <c r="J229" s="81" t="s">
        <v>242</v>
      </c>
      <c r="K229" s="81" t="s">
        <v>54</v>
      </c>
      <c r="L229" s="140" t="str">
        <f>IF(AND('331-CT'!$E$7=TH!H229,OR(J229="331",K229="331")),"x","")</f>
        <v/>
      </c>
    </row>
    <row r="230" spans="1:12" s="115" customFormat="1">
      <c r="A230" s="78">
        <f t="shared" si="11"/>
        <v>2014</v>
      </c>
      <c r="B230" s="78">
        <f t="shared" si="12"/>
        <v>1</v>
      </c>
      <c r="C230" s="113">
        <v>41664</v>
      </c>
      <c r="D230" s="79" t="s">
        <v>17</v>
      </c>
      <c r="E230" s="79">
        <v>41664</v>
      </c>
      <c r="F230" s="82" t="s">
        <v>35</v>
      </c>
      <c r="G230" s="273"/>
      <c r="H230" s="128"/>
      <c r="I230" s="80">
        <v>3000</v>
      </c>
      <c r="J230" s="84" t="s">
        <v>19</v>
      </c>
      <c r="K230" s="81" t="s">
        <v>54</v>
      </c>
      <c r="L230" s="140" t="str">
        <f>IF(AND('331-CT'!$E$7=TH!H230,OR(J230="331",K230="331")),"x","")</f>
        <v/>
      </c>
    </row>
    <row r="231" spans="1:12" s="115" customFormat="1">
      <c r="A231" s="78">
        <f t="shared" si="11"/>
        <v>2014</v>
      </c>
      <c r="B231" s="78">
        <f t="shared" si="12"/>
        <v>1</v>
      </c>
      <c r="C231" s="79">
        <v>41664</v>
      </c>
      <c r="D231" s="79" t="s">
        <v>17</v>
      </c>
      <c r="E231" s="79">
        <v>41664</v>
      </c>
      <c r="F231" s="82" t="s">
        <v>5</v>
      </c>
      <c r="G231" s="273"/>
      <c r="H231" s="128" t="s">
        <v>91</v>
      </c>
      <c r="I231" s="80">
        <v>20000000</v>
      </c>
      <c r="J231" s="81" t="s">
        <v>18</v>
      </c>
      <c r="K231" s="81" t="s">
        <v>54</v>
      </c>
      <c r="L231" s="140" t="str">
        <f>IF(AND('331-CT'!$E$7=TH!H231,OR(J231="331",K231="331")),"x","")</f>
        <v/>
      </c>
    </row>
    <row r="232" spans="1:12" s="115" customFormat="1">
      <c r="A232" s="78">
        <f t="shared" si="11"/>
        <v>2014</v>
      </c>
      <c r="B232" s="78">
        <f t="shared" si="12"/>
        <v>1</v>
      </c>
      <c r="C232" s="79">
        <v>41664</v>
      </c>
      <c r="D232" s="79" t="s">
        <v>17</v>
      </c>
      <c r="E232" s="79">
        <v>41664</v>
      </c>
      <c r="F232" s="82" t="s">
        <v>34</v>
      </c>
      <c r="G232" s="273"/>
      <c r="H232" s="128"/>
      <c r="I232" s="80">
        <v>22804</v>
      </c>
      <c r="J232" s="81" t="s">
        <v>242</v>
      </c>
      <c r="K232" s="81" t="s">
        <v>54</v>
      </c>
      <c r="L232" s="140" t="str">
        <f>IF(AND('331-CT'!$E$7=TH!H232,OR(J232="331",K232="331")),"x","")</f>
        <v/>
      </c>
    </row>
    <row r="233" spans="1:12" s="115" customFormat="1">
      <c r="A233" s="78">
        <f t="shared" si="11"/>
        <v>2014</v>
      </c>
      <c r="B233" s="78">
        <f t="shared" si="12"/>
        <v>1</v>
      </c>
      <c r="C233" s="113">
        <v>41664</v>
      </c>
      <c r="D233" s="79" t="s">
        <v>17</v>
      </c>
      <c r="E233" s="79">
        <v>41664</v>
      </c>
      <c r="F233" s="82" t="s">
        <v>35</v>
      </c>
      <c r="G233" s="273"/>
      <c r="H233" s="128"/>
      <c r="I233" s="80">
        <v>2280</v>
      </c>
      <c r="J233" s="81" t="s">
        <v>19</v>
      </c>
      <c r="K233" s="81" t="s">
        <v>54</v>
      </c>
      <c r="L233" s="140" t="str">
        <f>IF(AND('331-CT'!$E$7=TH!H233,OR(J233="331",K233="331")),"x","")</f>
        <v/>
      </c>
    </row>
    <row r="234" spans="1:12" s="115" customFormat="1">
      <c r="A234" s="78">
        <f t="shared" si="11"/>
        <v>2014</v>
      </c>
      <c r="B234" s="78">
        <f t="shared" si="12"/>
        <v>3</v>
      </c>
      <c r="C234" s="79">
        <v>41699</v>
      </c>
      <c r="D234" s="79" t="s">
        <v>71</v>
      </c>
      <c r="E234" s="79">
        <v>41699</v>
      </c>
      <c r="F234" s="99" t="s">
        <v>590</v>
      </c>
      <c r="G234" s="273"/>
      <c r="H234" s="126" t="s">
        <v>589</v>
      </c>
      <c r="I234" s="80">
        <v>76500000</v>
      </c>
      <c r="J234" s="81" t="s">
        <v>54</v>
      </c>
      <c r="K234" s="81" t="s">
        <v>203</v>
      </c>
      <c r="L234" s="140" t="str">
        <f>IF(AND('331-CT'!$E$7=TH!H234,OR(J234="331",K234="331")),"x","")</f>
        <v/>
      </c>
    </row>
    <row r="235" spans="1:12" s="115" customFormat="1">
      <c r="A235" s="78">
        <f t="shared" si="11"/>
        <v>2014</v>
      </c>
      <c r="B235" s="78">
        <f t="shared" si="12"/>
        <v>3</v>
      </c>
      <c r="C235" s="113">
        <v>41699</v>
      </c>
      <c r="D235" s="79" t="s">
        <v>17</v>
      </c>
      <c r="E235" s="79">
        <v>41699</v>
      </c>
      <c r="F235" s="82" t="s">
        <v>6</v>
      </c>
      <c r="G235" s="273"/>
      <c r="H235" s="126" t="s">
        <v>89</v>
      </c>
      <c r="I235" s="80">
        <v>76462320</v>
      </c>
      <c r="J235" s="81" t="s">
        <v>18</v>
      </c>
      <c r="K235" s="81" t="s">
        <v>54</v>
      </c>
      <c r="L235" s="140" t="str">
        <f>IF(AND('331-CT'!$E$7=TH!H235,OR(J235="331",K235="331")),"x","")</f>
        <v/>
      </c>
    </row>
    <row r="236" spans="1:12" s="115" customFormat="1">
      <c r="A236" s="78">
        <f t="shared" si="11"/>
        <v>2014</v>
      </c>
      <c r="B236" s="78">
        <f t="shared" si="12"/>
        <v>3</v>
      </c>
      <c r="C236" s="79">
        <v>41699</v>
      </c>
      <c r="D236" s="79" t="s">
        <v>17</v>
      </c>
      <c r="E236" s="79">
        <v>41699</v>
      </c>
      <c r="F236" s="82" t="s">
        <v>34</v>
      </c>
      <c r="G236" s="273"/>
      <c r="H236" s="128"/>
      <c r="I236" s="80">
        <v>32561</v>
      </c>
      <c r="J236" s="81" t="s">
        <v>242</v>
      </c>
      <c r="K236" s="81" t="s">
        <v>54</v>
      </c>
      <c r="L236" s="140" t="str">
        <f>IF(AND('331-CT'!$E$7=TH!H236,OR(J236="331",K236="331")),"x","")</f>
        <v/>
      </c>
    </row>
    <row r="237" spans="1:12" s="115" customFormat="1">
      <c r="A237" s="78">
        <f t="shared" si="11"/>
        <v>2014</v>
      </c>
      <c r="B237" s="78">
        <f t="shared" si="12"/>
        <v>3</v>
      </c>
      <c r="C237" s="79">
        <v>41699</v>
      </c>
      <c r="D237" s="79" t="s">
        <v>17</v>
      </c>
      <c r="E237" s="79">
        <v>41699</v>
      </c>
      <c r="F237" s="82" t="s">
        <v>35</v>
      </c>
      <c r="G237" s="273"/>
      <c r="H237" s="128"/>
      <c r="I237" s="80">
        <v>3256</v>
      </c>
      <c r="J237" s="81" t="s">
        <v>19</v>
      </c>
      <c r="K237" s="81" t="s">
        <v>54</v>
      </c>
      <c r="L237" s="140" t="str">
        <f>IF(AND('331-CT'!$E$7=TH!H237,OR(J237="331",K237="331")),"x","")</f>
        <v/>
      </c>
    </row>
    <row r="238" spans="1:12" s="115" customFormat="1">
      <c r="A238" s="78">
        <f t="shared" si="11"/>
        <v>2014</v>
      </c>
      <c r="B238" s="78">
        <f t="shared" si="12"/>
        <v>3</v>
      </c>
      <c r="C238" s="79">
        <v>41717</v>
      </c>
      <c r="D238" s="79" t="s">
        <v>17</v>
      </c>
      <c r="E238" s="79">
        <v>41717</v>
      </c>
      <c r="F238" s="82" t="s">
        <v>49</v>
      </c>
      <c r="G238" s="273"/>
      <c r="H238" s="128"/>
      <c r="I238" s="80">
        <v>30000</v>
      </c>
      <c r="J238" s="81" t="s">
        <v>242</v>
      </c>
      <c r="K238" s="81" t="s">
        <v>54</v>
      </c>
      <c r="L238" s="140" t="str">
        <f>IF(AND('331-CT'!$E$7=TH!H238,OR(J238="331",K238="331")),"x","")</f>
        <v/>
      </c>
    </row>
    <row r="239" spans="1:12" s="115" customFormat="1">
      <c r="A239" s="78">
        <f t="shared" si="11"/>
        <v>2014</v>
      </c>
      <c r="B239" s="78">
        <f t="shared" si="12"/>
        <v>3</v>
      </c>
      <c r="C239" s="79">
        <v>41717</v>
      </c>
      <c r="D239" s="79" t="s">
        <v>17</v>
      </c>
      <c r="E239" s="79">
        <v>41717</v>
      </c>
      <c r="F239" s="82" t="s">
        <v>44</v>
      </c>
      <c r="G239" s="273"/>
      <c r="H239" s="128"/>
      <c r="I239" s="80">
        <v>3000</v>
      </c>
      <c r="J239" s="81" t="s">
        <v>19</v>
      </c>
      <c r="K239" s="81" t="s">
        <v>54</v>
      </c>
      <c r="L239" s="140" t="str">
        <f>IF(AND('331-CT'!$E$7=TH!H239,OR(J239="331",K239="331")),"x","")</f>
        <v/>
      </c>
    </row>
    <row r="240" spans="1:12" s="115" customFormat="1">
      <c r="A240" s="78">
        <f t="shared" si="11"/>
        <v>2014</v>
      </c>
      <c r="B240" s="78">
        <f t="shared" si="12"/>
        <v>3</v>
      </c>
      <c r="C240" s="79">
        <v>41717</v>
      </c>
      <c r="D240" s="79" t="s">
        <v>17</v>
      </c>
      <c r="E240" s="79">
        <v>41717</v>
      </c>
      <c r="F240" s="82" t="s">
        <v>48</v>
      </c>
      <c r="G240" s="273"/>
      <c r="H240" s="128"/>
      <c r="I240" s="80">
        <v>30000</v>
      </c>
      <c r="J240" s="81" t="s">
        <v>242</v>
      </c>
      <c r="K240" s="81" t="s">
        <v>54</v>
      </c>
      <c r="L240" s="140" t="str">
        <f>IF(AND('331-CT'!$E$7=TH!H240,OR(J240="331",K240="331")),"x","")</f>
        <v/>
      </c>
    </row>
    <row r="241" spans="1:12" s="115" customFormat="1">
      <c r="A241" s="78">
        <f t="shared" si="11"/>
        <v>2014</v>
      </c>
      <c r="B241" s="78">
        <f t="shared" si="12"/>
        <v>3</v>
      </c>
      <c r="C241" s="79">
        <v>41717</v>
      </c>
      <c r="D241" s="79" t="s">
        <v>17</v>
      </c>
      <c r="E241" s="79">
        <v>41717</v>
      </c>
      <c r="F241" s="99" t="s">
        <v>44</v>
      </c>
      <c r="G241" s="273"/>
      <c r="H241" s="126"/>
      <c r="I241" s="80">
        <v>3000</v>
      </c>
      <c r="J241" s="81" t="s">
        <v>19</v>
      </c>
      <c r="K241" s="81" t="s">
        <v>54</v>
      </c>
      <c r="L241" s="140" t="str">
        <f>IF(AND('331-CT'!$E$7=TH!H241,OR(J241="331",K241="331")),"x","")</f>
        <v/>
      </c>
    </row>
    <row r="242" spans="1:12" s="115" customFormat="1">
      <c r="A242" s="78">
        <f t="shared" si="11"/>
        <v>2014</v>
      </c>
      <c r="B242" s="78">
        <f t="shared" si="12"/>
        <v>3</v>
      </c>
      <c r="C242" s="113">
        <v>41717</v>
      </c>
      <c r="D242" s="79" t="s">
        <v>17</v>
      </c>
      <c r="E242" s="79">
        <v>41717</v>
      </c>
      <c r="F242" s="82" t="s">
        <v>47</v>
      </c>
      <c r="G242" s="273"/>
      <c r="H242" s="126"/>
      <c r="I242" s="80">
        <v>30000</v>
      </c>
      <c r="J242" s="81" t="s">
        <v>242</v>
      </c>
      <c r="K242" s="81" t="s">
        <v>54</v>
      </c>
      <c r="L242" s="140" t="str">
        <f>IF(AND('331-CT'!$E$7=TH!H242,OR(J242="331",K242="331")),"x","")</f>
        <v/>
      </c>
    </row>
    <row r="243" spans="1:12" s="115" customFormat="1">
      <c r="A243" s="78">
        <f t="shared" si="11"/>
        <v>2014</v>
      </c>
      <c r="B243" s="78">
        <f t="shared" si="12"/>
        <v>3</v>
      </c>
      <c r="C243" s="79">
        <v>41717</v>
      </c>
      <c r="D243" s="79" t="s">
        <v>17</v>
      </c>
      <c r="E243" s="79">
        <v>41717</v>
      </c>
      <c r="F243" s="82" t="s">
        <v>44</v>
      </c>
      <c r="G243" s="273"/>
      <c r="H243" s="128"/>
      <c r="I243" s="80">
        <v>3000</v>
      </c>
      <c r="J243" s="81" t="s">
        <v>19</v>
      </c>
      <c r="K243" s="81" t="s">
        <v>54</v>
      </c>
      <c r="L243" s="140" t="str">
        <f>IF(AND('331-CT'!$E$7=TH!H243,OR(J243="331",K243="331")),"x","")</f>
        <v/>
      </c>
    </row>
    <row r="244" spans="1:12" s="115" customFormat="1">
      <c r="A244" s="78">
        <f t="shared" si="11"/>
        <v>2014</v>
      </c>
      <c r="B244" s="78">
        <f t="shared" si="12"/>
        <v>3</v>
      </c>
      <c r="C244" s="79">
        <v>41718</v>
      </c>
      <c r="D244" s="79" t="s">
        <v>133</v>
      </c>
      <c r="E244" s="79">
        <v>41718</v>
      </c>
      <c r="F244" s="82" t="s">
        <v>590</v>
      </c>
      <c r="G244" s="273"/>
      <c r="H244" s="128" t="s">
        <v>272</v>
      </c>
      <c r="I244" s="80">
        <v>133200000</v>
      </c>
      <c r="J244" s="81" t="s">
        <v>54</v>
      </c>
      <c r="K244" s="81" t="s">
        <v>203</v>
      </c>
      <c r="L244" s="140" t="str">
        <f>IF(AND('331-CT'!$E$7=TH!H244,OR(J244="331",K244="331")),"x","")</f>
        <v/>
      </c>
    </row>
    <row r="245" spans="1:12" s="115" customFormat="1">
      <c r="A245" s="78">
        <f t="shared" si="11"/>
        <v>2014</v>
      </c>
      <c r="B245" s="78">
        <f t="shared" si="12"/>
        <v>3</v>
      </c>
      <c r="C245" s="79">
        <v>41718</v>
      </c>
      <c r="D245" s="79" t="s">
        <v>17</v>
      </c>
      <c r="E245" s="79">
        <v>41718</v>
      </c>
      <c r="F245" s="82" t="s">
        <v>6</v>
      </c>
      <c r="G245" s="273"/>
      <c r="H245" s="128" t="s">
        <v>89</v>
      </c>
      <c r="I245" s="80">
        <v>133147080</v>
      </c>
      <c r="J245" s="81" t="s">
        <v>18</v>
      </c>
      <c r="K245" s="81" t="s">
        <v>54</v>
      </c>
      <c r="L245" s="140" t="str">
        <f>IF(AND('331-CT'!$E$7=TH!H245,OR(J245="331",K245="331")),"x","")</f>
        <v/>
      </c>
    </row>
    <row r="246" spans="1:12" s="115" customFormat="1">
      <c r="A246" s="78">
        <f t="shared" si="11"/>
        <v>2014</v>
      </c>
      <c r="B246" s="78">
        <f t="shared" si="12"/>
        <v>3</v>
      </c>
      <c r="C246" s="79">
        <v>41718</v>
      </c>
      <c r="D246" s="79" t="s">
        <v>17</v>
      </c>
      <c r="E246" s="79">
        <v>41718</v>
      </c>
      <c r="F246" s="82" t="s">
        <v>34</v>
      </c>
      <c r="G246" s="273"/>
      <c r="H246" s="128"/>
      <c r="I246" s="80">
        <v>52911</v>
      </c>
      <c r="J246" s="81" t="s">
        <v>242</v>
      </c>
      <c r="K246" s="81" t="s">
        <v>54</v>
      </c>
      <c r="L246" s="140" t="str">
        <f>IF(AND('331-CT'!$E$7=TH!H246,OR(J246="331",K246="331")),"x","")</f>
        <v/>
      </c>
    </row>
    <row r="247" spans="1:12" s="115" customFormat="1">
      <c r="A247" s="78">
        <f t="shared" si="11"/>
        <v>2014</v>
      </c>
      <c r="B247" s="78">
        <f t="shared" si="12"/>
        <v>3</v>
      </c>
      <c r="C247" s="79">
        <v>41718</v>
      </c>
      <c r="D247" s="79" t="s">
        <v>17</v>
      </c>
      <c r="E247" s="79">
        <v>41718</v>
      </c>
      <c r="F247" s="82" t="s">
        <v>35</v>
      </c>
      <c r="G247" s="273"/>
      <c r="H247" s="128"/>
      <c r="I247" s="80">
        <v>5291</v>
      </c>
      <c r="J247" s="81" t="s">
        <v>19</v>
      </c>
      <c r="K247" s="81" t="s">
        <v>54</v>
      </c>
      <c r="L247" s="140" t="str">
        <f>IF(AND('331-CT'!$E$7=TH!H247,OR(J247="331",K247="331")),"x","")</f>
        <v/>
      </c>
    </row>
    <row r="248" spans="1:12" s="115" customFormat="1">
      <c r="A248" s="78">
        <f t="shared" si="11"/>
        <v>2014</v>
      </c>
      <c r="B248" s="78">
        <f t="shared" si="12"/>
        <v>3</v>
      </c>
      <c r="C248" s="79">
        <v>41722</v>
      </c>
      <c r="D248" s="79" t="s">
        <v>134</v>
      </c>
      <c r="E248" s="79">
        <v>41722</v>
      </c>
      <c r="F248" s="82" t="s">
        <v>590</v>
      </c>
      <c r="G248" s="273"/>
      <c r="H248" s="128" t="s">
        <v>272</v>
      </c>
      <c r="I248" s="80">
        <v>30000000</v>
      </c>
      <c r="J248" s="81" t="s">
        <v>54</v>
      </c>
      <c r="K248" s="81" t="s">
        <v>203</v>
      </c>
      <c r="L248" s="140" t="str">
        <f>IF(AND('331-CT'!$E$7=TH!H248,OR(J248="331",K248="331")),"x","")</f>
        <v/>
      </c>
    </row>
    <row r="249" spans="1:12" s="115" customFormat="1">
      <c r="A249" s="78">
        <f t="shared" si="11"/>
        <v>2014</v>
      </c>
      <c r="B249" s="78">
        <f t="shared" si="12"/>
        <v>3</v>
      </c>
      <c r="C249" s="79">
        <v>41723</v>
      </c>
      <c r="D249" s="79" t="s">
        <v>17</v>
      </c>
      <c r="E249" s="79">
        <v>41723</v>
      </c>
      <c r="F249" s="82" t="s">
        <v>9</v>
      </c>
      <c r="G249" s="273"/>
      <c r="H249" s="128" t="s">
        <v>90</v>
      </c>
      <c r="I249" s="80">
        <v>30000000</v>
      </c>
      <c r="J249" s="81" t="s">
        <v>18</v>
      </c>
      <c r="K249" s="81" t="s">
        <v>54</v>
      </c>
      <c r="L249" s="140" t="str">
        <f>IF(AND('331-CT'!$E$7=TH!H249,OR(J249="331",K249="331")),"x","")</f>
        <v/>
      </c>
    </row>
    <row r="250" spans="1:12" s="115" customFormat="1">
      <c r="A250" s="78">
        <f t="shared" si="11"/>
        <v>2014</v>
      </c>
      <c r="B250" s="78">
        <f t="shared" si="12"/>
        <v>3</v>
      </c>
      <c r="C250" s="79">
        <v>41723</v>
      </c>
      <c r="D250" s="79" t="s">
        <v>17</v>
      </c>
      <c r="E250" s="79">
        <v>41723</v>
      </c>
      <c r="F250" s="82" t="s">
        <v>34</v>
      </c>
      <c r="G250" s="273"/>
      <c r="H250" s="128"/>
      <c r="I250" s="80">
        <v>20000</v>
      </c>
      <c r="J250" s="81" t="s">
        <v>242</v>
      </c>
      <c r="K250" s="81" t="s">
        <v>54</v>
      </c>
      <c r="L250" s="140" t="str">
        <f>IF(AND('331-CT'!$E$7=TH!H250,OR(J250="331",K250="331")),"x","")</f>
        <v/>
      </c>
    </row>
    <row r="251" spans="1:12" s="115" customFormat="1">
      <c r="A251" s="78">
        <f t="shared" si="11"/>
        <v>2014</v>
      </c>
      <c r="B251" s="78">
        <f t="shared" si="12"/>
        <v>3</v>
      </c>
      <c r="C251" s="79">
        <v>41723</v>
      </c>
      <c r="D251" s="79" t="s">
        <v>17</v>
      </c>
      <c r="E251" s="79">
        <v>41723</v>
      </c>
      <c r="F251" s="82" t="s">
        <v>35</v>
      </c>
      <c r="G251" s="273"/>
      <c r="H251" s="128"/>
      <c r="I251" s="80">
        <v>2000</v>
      </c>
      <c r="J251" s="81" t="s">
        <v>19</v>
      </c>
      <c r="K251" s="81" t="s">
        <v>54</v>
      </c>
      <c r="L251" s="140" t="str">
        <f>IF(AND('331-CT'!$E$7=TH!H251,OR(J251="331",K251="331")),"x","")</f>
        <v/>
      </c>
    </row>
    <row r="252" spans="1:12" s="115" customFormat="1">
      <c r="A252" s="78">
        <f t="shared" si="11"/>
        <v>2014</v>
      </c>
      <c r="B252" s="78">
        <f t="shared" si="12"/>
        <v>4</v>
      </c>
      <c r="C252" s="79">
        <v>41743</v>
      </c>
      <c r="D252" s="79" t="s">
        <v>78</v>
      </c>
      <c r="E252" s="79">
        <v>41743</v>
      </c>
      <c r="F252" s="82" t="s">
        <v>87</v>
      </c>
      <c r="G252" s="273" t="s">
        <v>577</v>
      </c>
      <c r="H252" s="128" t="s">
        <v>86</v>
      </c>
      <c r="I252" s="80">
        <v>55000000</v>
      </c>
      <c r="J252" s="81" t="s">
        <v>669</v>
      </c>
      <c r="K252" s="81" t="s">
        <v>18</v>
      </c>
      <c r="L252" s="140" t="str">
        <f>IF(AND('331-CT'!$E$7=TH!H252,OR(J252="331",K252="331")),"x","")</f>
        <v>x</v>
      </c>
    </row>
    <row r="253" spans="1:12" s="115" customFormat="1">
      <c r="A253" s="78">
        <f t="shared" si="11"/>
        <v>2014</v>
      </c>
      <c r="B253" s="78">
        <f t="shared" si="12"/>
        <v>4</v>
      </c>
      <c r="C253" s="113">
        <v>41743</v>
      </c>
      <c r="D253" s="79" t="s">
        <v>78</v>
      </c>
      <c r="E253" s="79">
        <v>41743</v>
      </c>
      <c r="F253" s="82" t="s">
        <v>88</v>
      </c>
      <c r="G253" s="273" t="s">
        <v>577</v>
      </c>
      <c r="H253" s="128" t="s">
        <v>86</v>
      </c>
      <c r="I253" s="80">
        <v>5500000</v>
      </c>
      <c r="J253" s="81" t="s">
        <v>19</v>
      </c>
      <c r="K253" s="81" t="s">
        <v>18</v>
      </c>
      <c r="L253" s="140" t="str">
        <f>IF(AND('331-CT'!$E$7=TH!H253,OR(J253="331",K253="331")),"x","")</f>
        <v>x</v>
      </c>
    </row>
    <row r="254" spans="1:12" s="115" customFormat="1">
      <c r="A254" s="78">
        <f t="shared" si="11"/>
        <v>2014</v>
      </c>
      <c r="B254" s="78">
        <f t="shared" si="12"/>
        <v>5</v>
      </c>
      <c r="C254" s="113">
        <v>41775</v>
      </c>
      <c r="D254" s="79" t="s">
        <v>135</v>
      </c>
      <c r="E254" s="79">
        <v>41775</v>
      </c>
      <c r="F254" s="82" t="s">
        <v>591</v>
      </c>
      <c r="G254" s="273"/>
      <c r="H254" s="128" t="s">
        <v>267</v>
      </c>
      <c r="I254" s="80">
        <v>33000000</v>
      </c>
      <c r="J254" s="81" t="s">
        <v>39</v>
      </c>
      <c r="K254" s="81" t="s">
        <v>203</v>
      </c>
      <c r="L254" s="140" t="str">
        <f>IF(AND('331-CT'!$E$7=TH!H254,OR(J254="331",K254="331")),"x","")</f>
        <v/>
      </c>
    </row>
    <row r="255" spans="1:12" s="115" customFormat="1">
      <c r="A255" s="78">
        <f t="shared" si="11"/>
        <v>2014</v>
      </c>
      <c r="B255" s="78">
        <f t="shared" si="12"/>
        <v>5</v>
      </c>
      <c r="C255" s="113">
        <v>41775</v>
      </c>
      <c r="D255" s="79" t="s">
        <v>21</v>
      </c>
      <c r="E255" s="79">
        <v>41775</v>
      </c>
      <c r="F255" s="82" t="s">
        <v>45</v>
      </c>
      <c r="G255" s="273"/>
      <c r="H255" s="128" t="s">
        <v>267</v>
      </c>
      <c r="I255" s="80">
        <v>33000000</v>
      </c>
      <c r="J255" s="83" t="s">
        <v>54</v>
      </c>
      <c r="K255" s="81" t="s">
        <v>39</v>
      </c>
      <c r="L255" s="140" t="str">
        <f>IF(AND('331-CT'!$E$7=TH!H255,OR(J255="331",K255="331")),"x","")</f>
        <v/>
      </c>
    </row>
    <row r="256" spans="1:12" s="115" customFormat="1">
      <c r="A256" s="78">
        <f t="shared" si="11"/>
        <v>2014</v>
      </c>
      <c r="B256" s="78">
        <f t="shared" si="12"/>
        <v>5</v>
      </c>
      <c r="C256" s="79">
        <v>41775</v>
      </c>
      <c r="D256" s="79" t="s">
        <v>17</v>
      </c>
      <c r="E256" s="79">
        <v>41775</v>
      </c>
      <c r="F256" s="82" t="s">
        <v>180</v>
      </c>
      <c r="G256" s="273"/>
      <c r="H256" s="128" t="s">
        <v>86</v>
      </c>
      <c r="I256" s="80">
        <v>33000000</v>
      </c>
      <c r="J256" s="81" t="s">
        <v>212</v>
      </c>
      <c r="K256" s="81" t="s">
        <v>54</v>
      </c>
      <c r="L256" s="140" t="str">
        <f>IF(AND('331-CT'!$E$7=TH!H256,OR(J256="331",K256="331")),"x","")</f>
        <v/>
      </c>
    </row>
    <row r="257" spans="1:12" s="115" customFormat="1">
      <c r="A257" s="78">
        <f t="shared" si="11"/>
        <v>2014</v>
      </c>
      <c r="B257" s="78">
        <f t="shared" si="12"/>
        <v>5</v>
      </c>
      <c r="C257" s="79">
        <v>41775</v>
      </c>
      <c r="D257" s="79" t="s">
        <v>17</v>
      </c>
      <c r="E257" s="79">
        <v>41775</v>
      </c>
      <c r="F257" s="82" t="s">
        <v>34</v>
      </c>
      <c r="G257" s="273"/>
      <c r="H257" s="128"/>
      <c r="I257" s="80">
        <v>25000</v>
      </c>
      <c r="J257" s="81" t="s">
        <v>242</v>
      </c>
      <c r="K257" s="81" t="s">
        <v>54</v>
      </c>
      <c r="L257" s="140" t="str">
        <f>IF(AND('331-CT'!$E$7=TH!H257,OR(J257="331",K257="331")),"x","")</f>
        <v/>
      </c>
    </row>
    <row r="258" spans="1:12" s="115" customFormat="1">
      <c r="A258" s="78">
        <f t="shared" si="11"/>
        <v>2014</v>
      </c>
      <c r="B258" s="78">
        <f t="shared" si="12"/>
        <v>5</v>
      </c>
      <c r="C258" s="113">
        <v>41775</v>
      </c>
      <c r="D258" s="79" t="s">
        <v>17</v>
      </c>
      <c r="E258" s="79">
        <v>41775</v>
      </c>
      <c r="F258" s="82" t="s">
        <v>35</v>
      </c>
      <c r="G258" s="273"/>
      <c r="H258" s="128"/>
      <c r="I258" s="80">
        <v>2500</v>
      </c>
      <c r="J258" s="83" t="s">
        <v>19</v>
      </c>
      <c r="K258" s="81" t="s">
        <v>54</v>
      </c>
      <c r="L258" s="140" t="str">
        <f>IF(AND('331-CT'!$E$7=TH!H258,OR(J258="331",K258="331")),"x","")</f>
        <v/>
      </c>
    </row>
    <row r="259" spans="1:12" s="115" customFormat="1">
      <c r="A259" s="78">
        <f t="shared" si="11"/>
        <v>2014</v>
      </c>
      <c r="B259" s="78">
        <f t="shared" si="12"/>
        <v>5</v>
      </c>
      <c r="C259" s="113">
        <v>41779</v>
      </c>
      <c r="D259" s="79" t="s">
        <v>154</v>
      </c>
      <c r="E259" s="79">
        <v>41779</v>
      </c>
      <c r="F259" s="82" t="s">
        <v>590</v>
      </c>
      <c r="G259" s="273"/>
      <c r="H259" s="128" t="s">
        <v>272</v>
      </c>
      <c r="I259" s="80">
        <v>36500000</v>
      </c>
      <c r="J259" s="83" t="s">
        <v>54</v>
      </c>
      <c r="K259" s="81" t="s">
        <v>203</v>
      </c>
      <c r="L259" s="140" t="str">
        <f>IF(AND('331-CT'!$E$7=TH!H259,OR(J259="331",K259="331")),"x","")</f>
        <v/>
      </c>
    </row>
    <row r="260" spans="1:12" s="115" customFormat="1">
      <c r="A260" s="78">
        <f t="shared" si="11"/>
        <v>2014</v>
      </c>
      <c r="B260" s="78">
        <f t="shared" si="12"/>
        <v>5</v>
      </c>
      <c r="C260" s="79">
        <v>41779</v>
      </c>
      <c r="D260" s="79" t="s">
        <v>21</v>
      </c>
      <c r="E260" s="79">
        <v>41779</v>
      </c>
      <c r="F260" s="82" t="s">
        <v>180</v>
      </c>
      <c r="G260" s="273"/>
      <c r="H260" s="128" t="s">
        <v>86</v>
      </c>
      <c r="I260" s="80">
        <v>33000000</v>
      </c>
      <c r="J260" s="81" t="s">
        <v>54</v>
      </c>
      <c r="K260" s="81" t="s">
        <v>212</v>
      </c>
      <c r="L260" s="140" t="str">
        <f>IF(AND('331-CT'!$E$7=TH!H260,OR(J260="331",K260="331")),"x","")</f>
        <v/>
      </c>
    </row>
    <row r="261" spans="1:12" s="115" customFormat="1">
      <c r="A261" s="78">
        <f t="shared" si="11"/>
        <v>2014</v>
      </c>
      <c r="B261" s="78">
        <f t="shared" si="12"/>
        <v>5</v>
      </c>
      <c r="C261" s="79">
        <v>41779</v>
      </c>
      <c r="D261" s="79" t="s">
        <v>17</v>
      </c>
      <c r="E261" s="79">
        <v>41779</v>
      </c>
      <c r="F261" s="82" t="s">
        <v>8</v>
      </c>
      <c r="G261" s="273"/>
      <c r="H261" s="128" t="s">
        <v>86</v>
      </c>
      <c r="I261" s="80">
        <v>33000000</v>
      </c>
      <c r="J261" s="81" t="s">
        <v>18</v>
      </c>
      <c r="K261" s="81" t="s">
        <v>54</v>
      </c>
      <c r="L261" s="140" t="str">
        <f>IF(AND('331-CT'!$E$7=TH!H261,OR(J261="331",K261="331")),"x","")</f>
        <v>x</v>
      </c>
    </row>
    <row r="262" spans="1:12" s="115" customFormat="1">
      <c r="A262" s="78">
        <f t="shared" si="11"/>
        <v>2014</v>
      </c>
      <c r="B262" s="78">
        <f t="shared" si="12"/>
        <v>5</v>
      </c>
      <c r="C262" s="79">
        <v>41779</v>
      </c>
      <c r="D262" s="79" t="s">
        <v>17</v>
      </c>
      <c r="E262" s="79">
        <v>41779</v>
      </c>
      <c r="F262" s="82" t="s">
        <v>34</v>
      </c>
      <c r="G262" s="278"/>
      <c r="H262" s="128"/>
      <c r="I262" s="80">
        <v>25000</v>
      </c>
      <c r="J262" s="81" t="s">
        <v>242</v>
      </c>
      <c r="K262" s="81" t="s">
        <v>54</v>
      </c>
      <c r="L262" s="140" t="str">
        <f>IF(AND('331-CT'!$E$7=TH!H262,OR(J262="331",K262="331")),"x","")</f>
        <v/>
      </c>
    </row>
    <row r="263" spans="1:12" s="115" customFormat="1">
      <c r="A263" s="78">
        <f t="shared" si="11"/>
        <v>2014</v>
      </c>
      <c r="B263" s="78">
        <f t="shared" si="12"/>
        <v>5</v>
      </c>
      <c r="C263" s="79">
        <v>41779</v>
      </c>
      <c r="D263" s="79" t="s">
        <v>17</v>
      </c>
      <c r="E263" s="79">
        <v>41779</v>
      </c>
      <c r="F263" s="82" t="s">
        <v>35</v>
      </c>
      <c r="G263" s="278"/>
      <c r="H263" s="128"/>
      <c r="I263" s="80">
        <v>2500</v>
      </c>
      <c r="J263" s="81" t="s">
        <v>19</v>
      </c>
      <c r="K263" s="81" t="s">
        <v>54</v>
      </c>
      <c r="L263" s="140" t="str">
        <f>IF(AND('331-CT'!$E$7=TH!H263,OR(J263="331",K263="331")),"x","")</f>
        <v/>
      </c>
    </row>
    <row r="264" spans="1:12" s="115" customFormat="1">
      <c r="A264" s="78">
        <f t="shared" si="11"/>
        <v>2014</v>
      </c>
      <c r="B264" s="78">
        <f t="shared" si="12"/>
        <v>5</v>
      </c>
      <c r="C264" s="113">
        <v>41780</v>
      </c>
      <c r="D264" s="79" t="s">
        <v>17</v>
      </c>
      <c r="E264" s="79">
        <v>41780</v>
      </c>
      <c r="F264" s="82" t="s">
        <v>114</v>
      </c>
      <c r="G264" s="273"/>
      <c r="H264" s="128" t="s">
        <v>83</v>
      </c>
      <c r="I264" s="80">
        <v>36432000</v>
      </c>
      <c r="J264" s="83" t="s">
        <v>18</v>
      </c>
      <c r="K264" s="81" t="s">
        <v>54</v>
      </c>
      <c r="L264" s="140" t="str">
        <f>IF(AND('331-CT'!$E$7=TH!H264,OR(J264="331",K264="331")),"x","")</f>
        <v/>
      </c>
    </row>
    <row r="265" spans="1:12" s="115" customFormat="1">
      <c r="A265" s="78">
        <f t="shared" si="11"/>
        <v>2014</v>
      </c>
      <c r="B265" s="78">
        <f t="shared" si="12"/>
        <v>5</v>
      </c>
      <c r="C265" s="79">
        <v>41780</v>
      </c>
      <c r="D265" s="79" t="s">
        <v>17</v>
      </c>
      <c r="E265" s="79">
        <v>41780</v>
      </c>
      <c r="F265" s="82" t="s">
        <v>34</v>
      </c>
      <c r="G265" s="273"/>
      <c r="H265" s="128"/>
      <c r="I265" s="80">
        <v>45000</v>
      </c>
      <c r="J265" s="81" t="s">
        <v>242</v>
      </c>
      <c r="K265" s="81" t="s">
        <v>54</v>
      </c>
      <c r="L265" s="140" t="str">
        <f>IF(AND('331-CT'!$E$7=TH!H265,OR(J265="331",K265="331")),"x","")</f>
        <v/>
      </c>
    </row>
    <row r="266" spans="1:12" s="115" customFormat="1">
      <c r="A266" s="78">
        <f t="shared" si="11"/>
        <v>2014</v>
      </c>
      <c r="B266" s="78">
        <f t="shared" si="12"/>
        <v>5</v>
      </c>
      <c r="C266" s="79">
        <v>41780</v>
      </c>
      <c r="D266" s="79" t="s">
        <v>17</v>
      </c>
      <c r="E266" s="79">
        <v>41780</v>
      </c>
      <c r="F266" s="82" t="s">
        <v>35</v>
      </c>
      <c r="G266" s="273"/>
      <c r="H266" s="128"/>
      <c r="I266" s="80">
        <v>4500</v>
      </c>
      <c r="J266" s="81" t="s">
        <v>19</v>
      </c>
      <c r="K266" s="81" t="s">
        <v>54</v>
      </c>
      <c r="L266" s="140" t="str">
        <f>IF(AND('331-CT'!$E$7=TH!H266,OR(J266="331",K266="331")),"x","")</f>
        <v/>
      </c>
    </row>
    <row r="267" spans="1:12" s="115" customFormat="1">
      <c r="A267" s="78">
        <f t="shared" si="11"/>
        <v>2014</v>
      </c>
      <c r="B267" s="78">
        <f t="shared" si="12"/>
        <v>5</v>
      </c>
      <c r="C267" s="79">
        <v>41785</v>
      </c>
      <c r="D267" s="79" t="s">
        <v>78</v>
      </c>
      <c r="E267" s="79">
        <v>41785</v>
      </c>
      <c r="F267" s="82" t="s">
        <v>189</v>
      </c>
      <c r="G267" s="278" t="s">
        <v>578</v>
      </c>
      <c r="H267" s="128" t="s">
        <v>83</v>
      </c>
      <c r="I267" s="80">
        <v>33120000</v>
      </c>
      <c r="J267" s="81" t="s">
        <v>242</v>
      </c>
      <c r="K267" s="81" t="s">
        <v>18</v>
      </c>
      <c r="L267" s="140" t="str">
        <f>IF(AND('331-CT'!$E$7=TH!H267,OR(J267="331",K267="331")),"x","")</f>
        <v/>
      </c>
    </row>
    <row r="268" spans="1:12" s="115" customFormat="1">
      <c r="A268" s="78">
        <f t="shared" ref="A268:A331" si="13">IF(C268&lt;&gt;"",YEAR(C268),"")</f>
        <v>2014</v>
      </c>
      <c r="B268" s="78">
        <f t="shared" ref="B268:B331" si="14">IF(C268&lt;&gt;"",MONTH(C268),"")</f>
        <v>5</v>
      </c>
      <c r="C268" s="79">
        <v>41785</v>
      </c>
      <c r="D268" s="79" t="s">
        <v>78</v>
      </c>
      <c r="E268" s="79">
        <v>41785</v>
      </c>
      <c r="F268" s="82" t="s">
        <v>84</v>
      </c>
      <c r="G268" s="278" t="s">
        <v>578</v>
      </c>
      <c r="H268" s="128" t="s">
        <v>83</v>
      </c>
      <c r="I268" s="80">
        <v>3312000</v>
      </c>
      <c r="J268" s="81" t="s">
        <v>19</v>
      </c>
      <c r="K268" s="81" t="s">
        <v>18</v>
      </c>
      <c r="L268" s="140" t="str">
        <f>IF(AND('331-CT'!$E$7=TH!H268,OR(J268="331",K268="331")),"x","")</f>
        <v/>
      </c>
    </row>
    <row r="269" spans="1:12" s="115" customFormat="1">
      <c r="A269" s="78">
        <f t="shared" si="13"/>
        <v>2014</v>
      </c>
      <c r="B269" s="78">
        <f t="shared" si="14"/>
        <v>6</v>
      </c>
      <c r="C269" s="79">
        <v>41810</v>
      </c>
      <c r="D269" s="79" t="s">
        <v>157</v>
      </c>
      <c r="E269" s="79">
        <v>41810</v>
      </c>
      <c r="F269" s="82" t="s">
        <v>590</v>
      </c>
      <c r="G269" s="278"/>
      <c r="H269" s="128" t="s">
        <v>272</v>
      </c>
      <c r="I269" s="80">
        <v>30000000</v>
      </c>
      <c r="J269" s="81" t="s">
        <v>54</v>
      </c>
      <c r="K269" s="81" t="s">
        <v>203</v>
      </c>
      <c r="L269" s="140" t="str">
        <f>IF(AND('331-CT'!$E$7=TH!H269,OR(J269="331",K269="331")),"x","")</f>
        <v/>
      </c>
    </row>
    <row r="270" spans="1:12" s="115" customFormat="1">
      <c r="A270" s="78">
        <f t="shared" si="13"/>
        <v>2014</v>
      </c>
      <c r="B270" s="78">
        <f t="shared" si="14"/>
        <v>6</v>
      </c>
      <c r="C270" s="79">
        <v>41810</v>
      </c>
      <c r="D270" s="79" t="s">
        <v>17</v>
      </c>
      <c r="E270" s="79">
        <v>41810</v>
      </c>
      <c r="F270" s="82" t="s">
        <v>49</v>
      </c>
      <c r="G270" s="278"/>
      <c r="H270" s="128"/>
      <c r="I270" s="80">
        <v>50000</v>
      </c>
      <c r="J270" s="81" t="s">
        <v>242</v>
      </c>
      <c r="K270" s="81" t="s">
        <v>54</v>
      </c>
      <c r="L270" s="140" t="str">
        <f>IF(AND('331-CT'!$E$7=TH!H270,OR(J270="331",K270="331")),"x","")</f>
        <v/>
      </c>
    </row>
    <row r="271" spans="1:12" s="115" customFormat="1">
      <c r="A271" s="78">
        <f t="shared" si="13"/>
        <v>2014</v>
      </c>
      <c r="B271" s="78">
        <f t="shared" si="14"/>
        <v>6</v>
      </c>
      <c r="C271" s="113">
        <v>41810</v>
      </c>
      <c r="D271" s="79" t="s">
        <v>17</v>
      </c>
      <c r="E271" s="79">
        <v>41810</v>
      </c>
      <c r="F271" s="82" t="s">
        <v>44</v>
      </c>
      <c r="G271" s="273"/>
      <c r="H271" s="128"/>
      <c r="I271" s="80">
        <v>5000</v>
      </c>
      <c r="J271" s="83" t="s">
        <v>19</v>
      </c>
      <c r="K271" s="81" t="s">
        <v>54</v>
      </c>
      <c r="L271" s="140" t="str">
        <f>IF(AND('331-CT'!$E$7=TH!H271,OR(J271="331",K271="331")),"x","")</f>
        <v/>
      </c>
    </row>
    <row r="272" spans="1:12" s="115" customFormat="1">
      <c r="A272" s="78">
        <f t="shared" si="13"/>
        <v>2014</v>
      </c>
      <c r="B272" s="78">
        <f t="shared" si="14"/>
        <v>6</v>
      </c>
      <c r="C272" s="79">
        <v>41810</v>
      </c>
      <c r="D272" s="79" t="s">
        <v>17</v>
      </c>
      <c r="E272" s="79">
        <v>41810</v>
      </c>
      <c r="F272" s="82" t="s">
        <v>48</v>
      </c>
      <c r="G272" s="273"/>
      <c r="H272" s="128"/>
      <c r="I272" s="80">
        <v>50000</v>
      </c>
      <c r="J272" s="81" t="s">
        <v>242</v>
      </c>
      <c r="K272" s="81" t="s">
        <v>54</v>
      </c>
      <c r="L272" s="140" t="str">
        <f>IF(AND('331-CT'!$E$7=TH!H272,OR(J272="331",K272="331")),"x","")</f>
        <v/>
      </c>
    </row>
    <row r="273" spans="1:12" s="115" customFormat="1">
      <c r="A273" s="78">
        <f t="shared" si="13"/>
        <v>2014</v>
      </c>
      <c r="B273" s="78">
        <f t="shared" si="14"/>
        <v>6</v>
      </c>
      <c r="C273" s="79">
        <v>41810</v>
      </c>
      <c r="D273" s="79" t="s">
        <v>17</v>
      </c>
      <c r="E273" s="79">
        <v>41810</v>
      </c>
      <c r="F273" s="82" t="s">
        <v>44</v>
      </c>
      <c r="G273" s="273"/>
      <c r="H273" s="128"/>
      <c r="I273" s="80">
        <v>5000</v>
      </c>
      <c r="J273" s="81" t="s">
        <v>19</v>
      </c>
      <c r="K273" s="81" t="s">
        <v>54</v>
      </c>
      <c r="L273" s="140" t="str">
        <f>IF(AND('331-CT'!$E$7=TH!H273,OR(J273="331",K273="331")),"x","")</f>
        <v/>
      </c>
    </row>
    <row r="274" spans="1:12" s="115" customFormat="1">
      <c r="A274" s="78">
        <f t="shared" si="13"/>
        <v>2014</v>
      </c>
      <c r="B274" s="78">
        <f t="shared" si="14"/>
        <v>6</v>
      </c>
      <c r="C274" s="79">
        <v>41810</v>
      </c>
      <c r="D274" s="79" t="s">
        <v>17</v>
      </c>
      <c r="E274" s="79">
        <v>41810</v>
      </c>
      <c r="F274" s="82" t="s">
        <v>47</v>
      </c>
      <c r="G274" s="278"/>
      <c r="H274" s="128"/>
      <c r="I274" s="80">
        <v>50000</v>
      </c>
      <c r="J274" s="81" t="s">
        <v>242</v>
      </c>
      <c r="K274" s="81" t="s">
        <v>54</v>
      </c>
      <c r="L274" s="140" t="str">
        <f>IF(AND('331-CT'!$E$7=TH!H274,OR(J274="331",K274="331")),"x","")</f>
        <v/>
      </c>
    </row>
    <row r="275" spans="1:12" s="115" customFormat="1">
      <c r="A275" s="78">
        <f t="shared" si="13"/>
        <v>2014</v>
      </c>
      <c r="B275" s="78">
        <f t="shared" si="14"/>
        <v>6</v>
      </c>
      <c r="C275" s="79">
        <v>41810</v>
      </c>
      <c r="D275" s="79" t="s">
        <v>17</v>
      </c>
      <c r="E275" s="79">
        <v>41810</v>
      </c>
      <c r="F275" s="82" t="s">
        <v>44</v>
      </c>
      <c r="G275" s="278"/>
      <c r="H275" s="128"/>
      <c r="I275" s="80">
        <v>5000</v>
      </c>
      <c r="J275" s="81" t="s">
        <v>19</v>
      </c>
      <c r="K275" s="81" t="s">
        <v>54</v>
      </c>
      <c r="L275" s="140" t="str">
        <f>IF(AND('331-CT'!$E$7=TH!H275,OR(J275="331",K275="331")),"x","")</f>
        <v/>
      </c>
    </row>
    <row r="276" spans="1:12" s="115" customFormat="1">
      <c r="A276" s="78">
        <f t="shared" si="13"/>
        <v>2014</v>
      </c>
      <c r="B276" s="78">
        <f t="shared" si="14"/>
        <v>6</v>
      </c>
      <c r="C276" s="79">
        <v>41813</v>
      </c>
      <c r="D276" s="79" t="s">
        <v>17</v>
      </c>
      <c r="E276" s="79">
        <v>41813</v>
      </c>
      <c r="F276" s="82" t="s">
        <v>9</v>
      </c>
      <c r="G276" s="273"/>
      <c r="H276" s="128" t="s">
        <v>90</v>
      </c>
      <c r="I276" s="80">
        <v>30000000</v>
      </c>
      <c r="J276" s="81" t="s">
        <v>18</v>
      </c>
      <c r="K276" s="81" t="s">
        <v>54</v>
      </c>
      <c r="L276" s="140" t="str">
        <f>IF(AND('331-CT'!$E$7=TH!H276,OR(J276="331",K276="331")),"x","")</f>
        <v/>
      </c>
    </row>
    <row r="277" spans="1:12" s="115" customFormat="1">
      <c r="A277" s="78">
        <f t="shared" si="13"/>
        <v>2014</v>
      </c>
      <c r="B277" s="78">
        <f t="shared" si="14"/>
        <v>6</v>
      </c>
      <c r="C277" s="79">
        <v>41813</v>
      </c>
      <c r="D277" s="79" t="s">
        <v>17</v>
      </c>
      <c r="E277" s="79">
        <v>41813</v>
      </c>
      <c r="F277" s="82" t="s">
        <v>34</v>
      </c>
      <c r="G277" s="273"/>
      <c r="H277" s="128"/>
      <c r="I277" s="80">
        <v>20000</v>
      </c>
      <c r="J277" s="81" t="s">
        <v>242</v>
      </c>
      <c r="K277" s="81" t="s">
        <v>54</v>
      </c>
      <c r="L277" s="140" t="str">
        <f>IF(AND('331-CT'!$E$7=TH!H277,OR(J277="331",K277="331")),"x","")</f>
        <v/>
      </c>
    </row>
    <row r="278" spans="1:12" s="115" customFormat="1">
      <c r="A278" s="78">
        <f t="shared" si="13"/>
        <v>2014</v>
      </c>
      <c r="B278" s="78">
        <f t="shared" si="14"/>
        <v>6</v>
      </c>
      <c r="C278" s="79">
        <v>41813</v>
      </c>
      <c r="D278" s="79" t="s">
        <v>17</v>
      </c>
      <c r="E278" s="79">
        <v>41813</v>
      </c>
      <c r="F278" s="82" t="s">
        <v>35</v>
      </c>
      <c r="G278" s="273"/>
      <c r="H278" s="128"/>
      <c r="I278" s="80">
        <v>2000</v>
      </c>
      <c r="J278" s="81" t="s">
        <v>19</v>
      </c>
      <c r="K278" s="81" t="s">
        <v>54</v>
      </c>
      <c r="L278" s="140" t="str">
        <f>IF(AND('331-CT'!$E$7=TH!H278,OR(J278="331",K278="331")),"x","")</f>
        <v/>
      </c>
    </row>
    <row r="279" spans="1:12" s="115" customFormat="1">
      <c r="A279" s="78">
        <f t="shared" si="13"/>
        <v>2014</v>
      </c>
      <c r="B279" s="78">
        <f t="shared" si="14"/>
        <v>7</v>
      </c>
      <c r="C279" s="79">
        <v>41821</v>
      </c>
      <c r="D279" s="79" t="s">
        <v>17</v>
      </c>
      <c r="E279" s="79">
        <v>41821</v>
      </c>
      <c r="F279" s="82" t="s">
        <v>95</v>
      </c>
      <c r="G279" s="273"/>
      <c r="H279" s="128"/>
      <c r="I279" s="80">
        <v>100000</v>
      </c>
      <c r="J279" s="81" t="s">
        <v>242</v>
      </c>
      <c r="K279" s="81" t="s">
        <v>54</v>
      </c>
      <c r="L279" s="140" t="str">
        <f>IF(AND('331-CT'!$E$7=TH!H279,OR(J279="331",K279="331")),"x","")</f>
        <v/>
      </c>
    </row>
    <row r="280" spans="1:12" s="115" customFormat="1">
      <c r="A280" s="78">
        <f t="shared" si="13"/>
        <v>2014</v>
      </c>
      <c r="B280" s="78">
        <f t="shared" si="14"/>
        <v>7</v>
      </c>
      <c r="C280" s="79">
        <v>41821</v>
      </c>
      <c r="D280" s="79" t="s">
        <v>17</v>
      </c>
      <c r="E280" s="79">
        <v>41821</v>
      </c>
      <c r="F280" s="82" t="s">
        <v>96</v>
      </c>
      <c r="G280" s="273"/>
      <c r="H280" s="128"/>
      <c r="I280" s="80">
        <v>10000</v>
      </c>
      <c r="J280" s="81" t="s">
        <v>19</v>
      </c>
      <c r="K280" s="81" t="s">
        <v>54</v>
      </c>
      <c r="L280" s="140" t="str">
        <f>IF(AND('331-CT'!$E$7=TH!H280,OR(J280="331",K280="331")),"x","")</f>
        <v/>
      </c>
    </row>
    <row r="281" spans="1:12" s="115" customFormat="1">
      <c r="A281" s="78">
        <f t="shared" si="13"/>
        <v>2014</v>
      </c>
      <c r="B281" s="78">
        <f t="shared" si="14"/>
        <v>7</v>
      </c>
      <c r="C281" s="79">
        <v>41834</v>
      </c>
      <c r="D281" s="79" t="s">
        <v>17</v>
      </c>
      <c r="E281" s="79">
        <v>41834</v>
      </c>
      <c r="F281" s="82" t="s">
        <v>6</v>
      </c>
      <c r="G281" s="273"/>
      <c r="H281" s="128" t="s">
        <v>89</v>
      </c>
      <c r="I281" s="80">
        <v>378779940</v>
      </c>
      <c r="J281" s="81" t="s">
        <v>18</v>
      </c>
      <c r="K281" s="81" t="s">
        <v>54</v>
      </c>
      <c r="L281" s="140" t="str">
        <f>IF(AND('331-CT'!$E$7=TH!H281,OR(J281="331",K281="331")),"x","")</f>
        <v/>
      </c>
    </row>
    <row r="282" spans="1:12" s="115" customFormat="1">
      <c r="A282" s="78">
        <f t="shared" si="13"/>
        <v>2014</v>
      </c>
      <c r="B282" s="78">
        <f t="shared" si="14"/>
        <v>7</v>
      </c>
      <c r="C282" s="79">
        <v>41843</v>
      </c>
      <c r="D282" s="79" t="s">
        <v>158</v>
      </c>
      <c r="E282" s="79">
        <v>41843</v>
      </c>
      <c r="F282" s="99" t="s">
        <v>590</v>
      </c>
      <c r="G282" s="273"/>
      <c r="H282" s="128" t="s">
        <v>272</v>
      </c>
      <c r="I282" s="80">
        <v>20000000</v>
      </c>
      <c r="J282" s="84" t="s">
        <v>54</v>
      </c>
      <c r="K282" s="81" t="s">
        <v>203</v>
      </c>
      <c r="L282" s="140" t="str">
        <f>IF(AND('331-CT'!$E$7=TH!H282,OR(J282="331",K282="331")),"x","")</f>
        <v/>
      </c>
    </row>
    <row r="283" spans="1:12" s="115" customFormat="1">
      <c r="A283" s="78">
        <f t="shared" si="13"/>
        <v>2014</v>
      </c>
      <c r="B283" s="78">
        <f t="shared" si="14"/>
        <v>7</v>
      </c>
      <c r="C283" s="113">
        <v>41843</v>
      </c>
      <c r="D283" s="79" t="s">
        <v>17</v>
      </c>
      <c r="E283" s="79">
        <v>41843</v>
      </c>
      <c r="F283" s="82" t="s">
        <v>5</v>
      </c>
      <c r="G283" s="273"/>
      <c r="H283" s="128" t="s">
        <v>91</v>
      </c>
      <c r="I283" s="80">
        <v>20000000</v>
      </c>
      <c r="J283" s="81" t="s">
        <v>18</v>
      </c>
      <c r="K283" s="81" t="s">
        <v>54</v>
      </c>
      <c r="L283" s="140" t="str">
        <f>IF(AND('331-CT'!$E$7=TH!H283,OR(J283="331",K283="331")),"x","")</f>
        <v/>
      </c>
    </row>
    <row r="284" spans="1:12" s="115" customFormat="1">
      <c r="A284" s="78">
        <f t="shared" si="13"/>
        <v>2014</v>
      </c>
      <c r="B284" s="78">
        <f t="shared" si="14"/>
        <v>7</v>
      </c>
      <c r="C284" s="136">
        <v>41843</v>
      </c>
      <c r="D284" s="136" t="s">
        <v>17</v>
      </c>
      <c r="E284" s="136">
        <v>41843</v>
      </c>
      <c r="F284" s="137" t="s">
        <v>34</v>
      </c>
      <c r="G284" s="279"/>
      <c r="H284" s="138"/>
      <c r="I284" s="139">
        <v>45000</v>
      </c>
      <c r="J284" s="140" t="s">
        <v>242</v>
      </c>
      <c r="K284" s="140" t="s">
        <v>54</v>
      </c>
      <c r="L284" s="140" t="str">
        <f>IF(AND('331-CT'!$E$7=TH!H284,OR(J284="331",K284="331")),"x","")</f>
        <v/>
      </c>
    </row>
    <row r="285" spans="1:12" s="115" customFormat="1">
      <c r="A285" s="78">
        <f t="shared" si="13"/>
        <v>2014</v>
      </c>
      <c r="B285" s="78">
        <f t="shared" si="14"/>
        <v>7</v>
      </c>
      <c r="C285" s="136">
        <v>41843</v>
      </c>
      <c r="D285" s="136" t="s">
        <v>17</v>
      </c>
      <c r="E285" s="136">
        <v>41843</v>
      </c>
      <c r="F285" s="137" t="s">
        <v>35</v>
      </c>
      <c r="G285" s="279"/>
      <c r="H285" s="138"/>
      <c r="I285" s="139">
        <v>4500</v>
      </c>
      <c r="J285" s="140" t="s">
        <v>19</v>
      </c>
      <c r="K285" s="140" t="s">
        <v>54</v>
      </c>
      <c r="L285" s="140" t="str">
        <f>IF(AND('331-CT'!$E$7=TH!H285,OR(J285="331",K285="331")),"x","")</f>
        <v/>
      </c>
    </row>
    <row r="286" spans="1:12" s="115" customFormat="1">
      <c r="A286" s="78">
        <f t="shared" si="13"/>
        <v>2014</v>
      </c>
      <c r="B286" s="78">
        <f t="shared" si="14"/>
        <v>7</v>
      </c>
      <c r="C286" s="113">
        <v>41851</v>
      </c>
      <c r="D286" s="79" t="s">
        <v>163</v>
      </c>
      <c r="E286" s="79">
        <v>41851</v>
      </c>
      <c r="F286" s="82" t="s">
        <v>591</v>
      </c>
      <c r="G286" s="273"/>
      <c r="H286" s="128" t="s">
        <v>267</v>
      </c>
      <c r="I286" s="80">
        <v>50000000</v>
      </c>
      <c r="J286" s="81" t="s">
        <v>39</v>
      </c>
      <c r="K286" s="81" t="s">
        <v>203</v>
      </c>
      <c r="L286" s="140" t="str">
        <f>IF(AND('331-CT'!$E$7=TH!H286,OR(J286="331",K286="331")),"x","")</f>
        <v/>
      </c>
    </row>
    <row r="287" spans="1:12" s="115" customFormat="1">
      <c r="A287" s="78">
        <f t="shared" si="13"/>
        <v>2014</v>
      </c>
      <c r="B287" s="78">
        <f t="shared" si="14"/>
        <v>7</v>
      </c>
      <c r="C287" s="79">
        <v>41851</v>
      </c>
      <c r="D287" s="79" t="s">
        <v>21</v>
      </c>
      <c r="E287" s="79">
        <v>41851</v>
      </c>
      <c r="F287" s="82" t="s">
        <v>45</v>
      </c>
      <c r="G287" s="273"/>
      <c r="H287" s="128" t="s">
        <v>267</v>
      </c>
      <c r="I287" s="80">
        <v>50000000</v>
      </c>
      <c r="J287" s="81" t="s">
        <v>54</v>
      </c>
      <c r="K287" s="81" t="s">
        <v>39</v>
      </c>
      <c r="L287" s="140" t="str">
        <f>IF(AND('331-CT'!$E$7=TH!H287,OR(J287="331",K287="331")),"x","")</f>
        <v/>
      </c>
    </row>
    <row r="288" spans="1:12" s="115" customFormat="1">
      <c r="A288" s="78">
        <f t="shared" si="13"/>
        <v>2014</v>
      </c>
      <c r="B288" s="78">
        <f t="shared" si="14"/>
        <v>7</v>
      </c>
      <c r="C288" s="113">
        <v>41851</v>
      </c>
      <c r="D288" s="79" t="s">
        <v>17</v>
      </c>
      <c r="E288" s="79">
        <v>41851</v>
      </c>
      <c r="F288" s="82" t="s">
        <v>5</v>
      </c>
      <c r="G288" s="273"/>
      <c r="H288" s="128" t="s">
        <v>91</v>
      </c>
      <c r="I288" s="80">
        <v>50000000</v>
      </c>
      <c r="J288" s="81" t="s">
        <v>18</v>
      </c>
      <c r="K288" s="81" t="s">
        <v>54</v>
      </c>
      <c r="L288" s="140" t="str">
        <f>IF(AND('331-CT'!$E$7=TH!H288,OR(J288="331",K288="331")),"x","")</f>
        <v/>
      </c>
    </row>
    <row r="289" spans="1:12" s="115" customFormat="1">
      <c r="A289" s="78">
        <f t="shared" si="13"/>
        <v>2014</v>
      </c>
      <c r="B289" s="78">
        <f t="shared" si="14"/>
        <v>7</v>
      </c>
      <c r="C289" s="79">
        <v>41851</v>
      </c>
      <c r="D289" s="79" t="s">
        <v>17</v>
      </c>
      <c r="E289" s="79">
        <v>41851</v>
      </c>
      <c r="F289" s="82" t="s">
        <v>34</v>
      </c>
      <c r="G289" s="273"/>
      <c r="H289" s="128"/>
      <c r="I289" s="80">
        <v>25000</v>
      </c>
      <c r="J289" s="81" t="s">
        <v>242</v>
      </c>
      <c r="K289" s="81" t="s">
        <v>54</v>
      </c>
      <c r="L289" s="140" t="str">
        <f>IF(AND('331-CT'!$E$7=TH!H289,OR(J289="331",K289="331")),"x","")</f>
        <v/>
      </c>
    </row>
    <row r="290" spans="1:12" s="115" customFormat="1">
      <c r="A290" s="78">
        <f t="shared" si="13"/>
        <v>2014</v>
      </c>
      <c r="B290" s="78">
        <f t="shared" si="14"/>
        <v>7</v>
      </c>
      <c r="C290" s="79">
        <v>41851</v>
      </c>
      <c r="D290" s="79" t="s">
        <v>17</v>
      </c>
      <c r="E290" s="79">
        <v>41851</v>
      </c>
      <c r="F290" s="82" t="s">
        <v>35</v>
      </c>
      <c r="G290" s="273"/>
      <c r="H290" s="130"/>
      <c r="I290" s="80">
        <v>2500</v>
      </c>
      <c r="J290" s="81" t="s">
        <v>19</v>
      </c>
      <c r="K290" s="81" t="s">
        <v>54</v>
      </c>
      <c r="L290" s="140" t="str">
        <f>IF(AND('331-CT'!$E$7=TH!H290,OR(J290="331",K290="331")),"x","")</f>
        <v/>
      </c>
    </row>
    <row r="291" spans="1:12" s="115" customFormat="1">
      <c r="A291" s="78">
        <f t="shared" si="13"/>
        <v>2014</v>
      </c>
      <c r="B291" s="78">
        <f t="shared" si="14"/>
        <v>8</v>
      </c>
      <c r="C291" s="79">
        <v>41857</v>
      </c>
      <c r="D291" s="79" t="s">
        <v>164</v>
      </c>
      <c r="E291" s="79">
        <v>41857</v>
      </c>
      <c r="F291" s="82" t="s">
        <v>591</v>
      </c>
      <c r="G291" s="273"/>
      <c r="H291" s="130" t="s">
        <v>267</v>
      </c>
      <c r="I291" s="80">
        <v>50000000</v>
      </c>
      <c r="J291" s="81" t="s">
        <v>39</v>
      </c>
      <c r="K291" s="81" t="s">
        <v>203</v>
      </c>
      <c r="L291" s="140" t="str">
        <f>IF(AND('331-CT'!$E$7=TH!H291,OR(J291="331",K291="331")),"x","")</f>
        <v/>
      </c>
    </row>
    <row r="292" spans="1:12" s="115" customFormat="1">
      <c r="A292" s="78">
        <f t="shared" si="13"/>
        <v>2014</v>
      </c>
      <c r="B292" s="78">
        <f t="shared" si="14"/>
        <v>8</v>
      </c>
      <c r="C292" s="113">
        <v>41857</v>
      </c>
      <c r="D292" s="79" t="s">
        <v>21</v>
      </c>
      <c r="E292" s="79">
        <v>41857</v>
      </c>
      <c r="F292" s="82" t="s">
        <v>45</v>
      </c>
      <c r="G292" s="273"/>
      <c r="H292" s="128" t="s">
        <v>267</v>
      </c>
      <c r="I292" s="80">
        <v>50000000</v>
      </c>
      <c r="J292" s="81" t="s">
        <v>54</v>
      </c>
      <c r="K292" s="81" t="s">
        <v>39</v>
      </c>
      <c r="L292" s="140" t="str">
        <f>IF(AND('331-CT'!$E$7=TH!H292,OR(J292="331",K292="331")),"x","")</f>
        <v/>
      </c>
    </row>
    <row r="293" spans="1:12" s="115" customFormat="1">
      <c r="A293" s="78">
        <f t="shared" si="13"/>
        <v>2014</v>
      </c>
      <c r="B293" s="78">
        <f t="shared" si="14"/>
        <v>8</v>
      </c>
      <c r="C293" s="113">
        <v>41857</v>
      </c>
      <c r="D293" s="79" t="s">
        <v>17</v>
      </c>
      <c r="E293" s="79">
        <v>41857</v>
      </c>
      <c r="F293" s="82" t="s">
        <v>5</v>
      </c>
      <c r="G293" s="273"/>
      <c r="H293" s="130" t="s">
        <v>91</v>
      </c>
      <c r="I293" s="80">
        <v>50000000</v>
      </c>
      <c r="J293" s="81" t="s">
        <v>18</v>
      </c>
      <c r="K293" s="81" t="s">
        <v>54</v>
      </c>
      <c r="L293" s="140" t="str">
        <f>IF(AND('331-CT'!$E$7=TH!H293,OR(J293="331",K293="331")),"x","")</f>
        <v/>
      </c>
    </row>
    <row r="294" spans="1:12" s="115" customFormat="1">
      <c r="A294" s="78">
        <f t="shared" si="13"/>
        <v>2014</v>
      </c>
      <c r="B294" s="78">
        <f t="shared" si="14"/>
        <v>8</v>
      </c>
      <c r="C294" s="79">
        <v>41857</v>
      </c>
      <c r="D294" s="79" t="s">
        <v>17</v>
      </c>
      <c r="E294" s="79">
        <v>41857</v>
      </c>
      <c r="F294" s="82" t="s">
        <v>34</v>
      </c>
      <c r="G294" s="273"/>
      <c r="H294" s="128"/>
      <c r="I294" s="80">
        <v>25000</v>
      </c>
      <c r="J294" s="81" t="s">
        <v>242</v>
      </c>
      <c r="K294" s="81" t="s">
        <v>54</v>
      </c>
      <c r="L294" s="140" t="str">
        <f>IF(AND('331-CT'!$E$7=TH!H294,OR(J294="331",K294="331")),"x","")</f>
        <v/>
      </c>
    </row>
    <row r="295" spans="1:12" s="115" customFormat="1">
      <c r="A295" s="78">
        <f t="shared" si="13"/>
        <v>2014</v>
      </c>
      <c r="B295" s="78">
        <f t="shared" si="14"/>
        <v>8</v>
      </c>
      <c r="C295" s="79">
        <v>41857</v>
      </c>
      <c r="D295" s="79" t="s">
        <v>17</v>
      </c>
      <c r="E295" s="79">
        <v>41857</v>
      </c>
      <c r="F295" s="82" t="s">
        <v>35</v>
      </c>
      <c r="G295" s="273"/>
      <c r="H295" s="128"/>
      <c r="I295" s="80">
        <v>2500</v>
      </c>
      <c r="J295" s="81" t="s">
        <v>19</v>
      </c>
      <c r="K295" s="81" t="s">
        <v>54</v>
      </c>
      <c r="L295" s="140" t="str">
        <f>IF(AND('331-CT'!$E$7=TH!H295,OR(J295="331",K295="331")),"x","")</f>
        <v/>
      </c>
    </row>
    <row r="296" spans="1:12" s="115" customFormat="1">
      <c r="A296" s="78">
        <f t="shared" si="13"/>
        <v>2014</v>
      </c>
      <c r="B296" s="78">
        <f t="shared" si="14"/>
        <v>8</v>
      </c>
      <c r="C296" s="113">
        <v>41865</v>
      </c>
      <c r="D296" s="79" t="s">
        <v>165</v>
      </c>
      <c r="E296" s="79">
        <v>41865</v>
      </c>
      <c r="F296" s="82" t="s">
        <v>590</v>
      </c>
      <c r="G296" s="273"/>
      <c r="H296" s="130" t="s">
        <v>272</v>
      </c>
      <c r="I296" s="80">
        <v>253000000</v>
      </c>
      <c r="J296" s="81" t="s">
        <v>54</v>
      </c>
      <c r="K296" s="81" t="s">
        <v>203</v>
      </c>
      <c r="L296" s="140" t="str">
        <f>IF(AND('331-CT'!$E$7=TH!H296,OR(J296="331",K296="331")),"x","")</f>
        <v/>
      </c>
    </row>
    <row r="297" spans="1:12" s="115" customFormat="1">
      <c r="A297" s="78">
        <f t="shared" si="13"/>
        <v>2014</v>
      </c>
      <c r="B297" s="78">
        <f t="shared" si="14"/>
        <v>8</v>
      </c>
      <c r="C297" s="79">
        <v>41865</v>
      </c>
      <c r="D297" s="79" t="s">
        <v>17</v>
      </c>
      <c r="E297" s="79">
        <v>41865</v>
      </c>
      <c r="F297" s="82" t="s">
        <v>6</v>
      </c>
      <c r="G297" s="273"/>
      <c r="H297" s="130" t="s">
        <v>89</v>
      </c>
      <c r="I297" s="80">
        <v>252519960</v>
      </c>
      <c r="J297" s="81" t="s">
        <v>18</v>
      </c>
      <c r="K297" s="81" t="s">
        <v>54</v>
      </c>
      <c r="L297" s="140" t="str">
        <f>IF(AND('331-CT'!$E$7=TH!H297,OR(J297="331",K297="331")),"x","")</f>
        <v/>
      </c>
    </row>
    <row r="298" spans="1:12" s="115" customFormat="1">
      <c r="A298" s="78">
        <f t="shared" si="13"/>
        <v>2014</v>
      </c>
      <c r="B298" s="78">
        <f t="shared" si="14"/>
        <v>8</v>
      </c>
      <c r="C298" s="79">
        <v>41865</v>
      </c>
      <c r="D298" s="79" t="s">
        <v>17</v>
      </c>
      <c r="E298" s="79">
        <v>41865</v>
      </c>
      <c r="F298" s="82" t="s">
        <v>34</v>
      </c>
      <c r="G298" s="273"/>
      <c r="H298" s="130"/>
      <c r="I298" s="80">
        <v>151275</v>
      </c>
      <c r="J298" s="81" t="s">
        <v>242</v>
      </c>
      <c r="K298" s="81" t="s">
        <v>54</v>
      </c>
      <c r="L298" s="140" t="str">
        <f>IF(AND('331-CT'!$E$7=TH!H298,OR(J298="331",K298="331")),"x","")</f>
        <v/>
      </c>
    </row>
    <row r="299" spans="1:12" s="115" customFormat="1">
      <c r="A299" s="78">
        <f t="shared" si="13"/>
        <v>2014</v>
      </c>
      <c r="B299" s="78">
        <f t="shared" si="14"/>
        <v>8</v>
      </c>
      <c r="C299" s="79">
        <v>41865</v>
      </c>
      <c r="D299" s="79" t="s">
        <v>17</v>
      </c>
      <c r="E299" s="79">
        <v>41865</v>
      </c>
      <c r="F299" s="82" t="s">
        <v>35</v>
      </c>
      <c r="G299" s="278"/>
      <c r="H299" s="7"/>
      <c r="I299" s="80">
        <v>15127</v>
      </c>
      <c r="J299" s="142" t="s">
        <v>19</v>
      </c>
      <c r="K299" s="142" t="s">
        <v>54</v>
      </c>
      <c r="L299" s="140" t="str">
        <f>IF(AND('331-CT'!$E$7=TH!H299,OR(J299="331",K299="331")),"x","")</f>
        <v/>
      </c>
    </row>
    <row r="300" spans="1:12" s="115" customFormat="1">
      <c r="A300" s="78">
        <f t="shared" si="13"/>
        <v>2014</v>
      </c>
      <c r="B300" s="78">
        <f t="shared" si="14"/>
        <v>8</v>
      </c>
      <c r="C300" s="113">
        <v>41870</v>
      </c>
      <c r="D300" s="79" t="s">
        <v>21</v>
      </c>
      <c r="E300" s="79">
        <v>41870</v>
      </c>
      <c r="F300" s="82" t="s">
        <v>118</v>
      </c>
      <c r="G300" s="273"/>
      <c r="H300" s="128" t="s">
        <v>314</v>
      </c>
      <c r="I300" s="80">
        <v>1000000000</v>
      </c>
      <c r="J300" s="81" t="s">
        <v>54</v>
      </c>
      <c r="K300" s="81" t="s">
        <v>227</v>
      </c>
      <c r="L300" s="140" t="str">
        <f>IF(AND('331-CT'!$E$7=TH!H300,OR(J300="331",K300="331")),"x","")</f>
        <v/>
      </c>
    </row>
    <row r="301" spans="1:12" s="115" customFormat="1">
      <c r="A301" s="78">
        <f t="shared" si="13"/>
        <v>2014</v>
      </c>
      <c r="B301" s="78">
        <f t="shared" si="14"/>
        <v>8</v>
      </c>
      <c r="C301" s="79">
        <v>41871</v>
      </c>
      <c r="D301" s="79" t="s">
        <v>17</v>
      </c>
      <c r="E301" s="79">
        <v>41871</v>
      </c>
      <c r="F301" s="82" t="s">
        <v>110</v>
      </c>
      <c r="G301" s="273"/>
      <c r="H301" s="128" t="s">
        <v>109</v>
      </c>
      <c r="I301" s="80">
        <v>50000000</v>
      </c>
      <c r="J301" s="81" t="s">
        <v>18</v>
      </c>
      <c r="K301" s="81" t="s">
        <v>54</v>
      </c>
      <c r="L301" s="140" t="str">
        <f>IF(AND('331-CT'!$E$7=TH!H301,OR(J301="331",K301="331")),"x","")</f>
        <v/>
      </c>
    </row>
    <row r="302" spans="1:12" s="115" customFormat="1">
      <c r="A302" s="78">
        <f t="shared" si="13"/>
        <v>2014</v>
      </c>
      <c r="B302" s="78">
        <f t="shared" si="14"/>
        <v>8</v>
      </c>
      <c r="C302" s="79">
        <v>41871</v>
      </c>
      <c r="D302" s="79" t="s">
        <v>17</v>
      </c>
      <c r="E302" s="79">
        <v>41871</v>
      </c>
      <c r="F302" s="82" t="s">
        <v>34</v>
      </c>
      <c r="G302" s="273"/>
      <c r="H302" s="128"/>
      <c r="I302" s="80">
        <v>25000</v>
      </c>
      <c r="J302" s="81" t="s">
        <v>242</v>
      </c>
      <c r="K302" s="81" t="s">
        <v>54</v>
      </c>
      <c r="L302" s="140" t="str">
        <f>IF(AND('331-CT'!$E$7=TH!H302,OR(J302="331",K302="331")),"x","")</f>
        <v/>
      </c>
    </row>
    <row r="303" spans="1:12" s="115" customFormat="1">
      <c r="A303" s="78">
        <f t="shared" si="13"/>
        <v>2014</v>
      </c>
      <c r="B303" s="78">
        <f t="shared" si="14"/>
        <v>8</v>
      </c>
      <c r="C303" s="113">
        <v>41871</v>
      </c>
      <c r="D303" s="79" t="s">
        <v>17</v>
      </c>
      <c r="E303" s="79">
        <v>41871</v>
      </c>
      <c r="F303" s="82" t="s">
        <v>35</v>
      </c>
      <c r="G303" s="273"/>
      <c r="H303" s="128"/>
      <c r="I303" s="80">
        <v>2500</v>
      </c>
      <c r="J303" s="81" t="s">
        <v>19</v>
      </c>
      <c r="K303" s="81" t="s">
        <v>54</v>
      </c>
      <c r="L303" s="140" t="str">
        <f>IF(AND('331-CT'!$E$7=TH!H303,OR(J303="331",K303="331")),"x","")</f>
        <v/>
      </c>
    </row>
    <row r="304" spans="1:12" s="115" customFormat="1">
      <c r="A304" s="78">
        <f t="shared" si="13"/>
        <v>2014</v>
      </c>
      <c r="B304" s="78">
        <f t="shared" si="14"/>
        <v>8</v>
      </c>
      <c r="C304" s="113">
        <v>41871</v>
      </c>
      <c r="D304" s="79" t="s">
        <v>17</v>
      </c>
      <c r="E304" s="79">
        <v>41871</v>
      </c>
      <c r="F304" s="82" t="s">
        <v>107</v>
      </c>
      <c r="G304" s="273"/>
      <c r="H304" s="128" t="s">
        <v>108</v>
      </c>
      <c r="I304" s="80">
        <v>80000000</v>
      </c>
      <c r="J304" s="81" t="s">
        <v>18</v>
      </c>
      <c r="K304" s="81" t="s">
        <v>54</v>
      </c>
      <c r="L304" s="140" t="str">
        <f>IF(AND('331-CT'!$E$7=TH!H304,OR(J304="331",K304="331")),"x","")</f>
        <v/>
      </c>
    </row>
    <row r="305" spans="1:12" s="115" customFormat="1">
      <c r="A305" s="78">
        <f t="shared" si="13"/>
        <v>2014</v>
      </c>
      <c r="B305" s="78">
        <f t="shared" si="14"/>
        <v>8</v>
      </c>
      <c r="C305" s="79">
        <v>41871</v>
      </c>
      <c r="D305" s="79" t="s">
        <v>17</v>
      </c>
      <c r="E305" s="79">
        <v>41871</v>
      </c>
      <c r="F305" s="82" t="s">
        <v>34</v>
      </c>
      <c r="G305" s="273"/>
      <c r="H305" s="128"/>
      <c r="I305" s="80">
        <v>24000</v>
      </c>
      <c r="J305" s="81" t="s">
        <v>242</v>
      </c>
      <c r="K305" s="81" t="s">
        <v>54</v>
      </c>
      <c r="L305" s="140" t="str">
        <f>IF(AND('331-CT'!$E$7=TH!H305,OR(J305="331",K305="331")),"x","")</f>
        <v/>
      </c>
    </row>
    <row r="306" spans="1:12" s="115" customFormat="1">
      <c r="A306" s="78">
        <f t="shared" si="13"/>
        <v>2014</v>
      </c>
      <c r="B306" s="78">
        <f t="shared" si="14"/>
        <v>8</v>
      </c>
      <c r="C306" s="79">
        <v>41871</v>
      </c>
      <c r="D306" s="79" t="s">
        <v>17</v>
      </c>
      <c r="E306" s="79">
        <v>41871</v>
      </c>
      <c r="F306" s="82" t="s">
        <v>35</v>
      </c>
      <c r="G306" s="273"/>
      <c r="H306" s="128"/>
      <c r="I306" s="80">
        <v>2400</v>
      </c>
      <c r="J306" s="81" t="s">
        <v>19</v>
      </c>
      <c r="K306" s="81" t="s">
        <v>54</v>
      </c>
      <c r="L306" s="140" t="str">
        <f>IF(AND('331-CT'!$E$7=TH!H306,OR(J306="331",K306="331")),"x","")</f>
        <v/>
      </c>
    </row>
    <row r="307" spans="1:12" s="115" customFormat="1">
      <c r="A307" s="78">
        <f t="shared" si="13"/>
        <v>2014</v>
      </c>
      <c r="B307" s="78">
        <f t="shared" si="14"/>
        <v>8</v>
      </c>
      <c r="C307" s="113">
        <v>41871</v>
      </c>
      <c r="D307" s="79" t="s">
        <v>17</v>
      </c>
      <c r="E307" s="79">
        <v>41871</v>
      </c>
      <c r="F307" s="82" t="s">
        <v>5</v>
      </c>
      <c r="G307" s="273"/>
      <c r="H307" s="128" t="s">
        <v>91</v>
      </c>
      <c r="I307" s="80">
        <v>50000000</v>
      </c>
      <c r="J307" s="81" t="s">
        <v>18</v>
      </c>
      <c r="K307" s="81" t="s">
        <v>54</v>
      </c>
      <c r="L307" s="140" t="str">
        <f>IF(AND('331-CT'!$E$7=TH!H307,OR(J307="331",K307="331")),"x","")</f>
        <v/>
      </c>
    </row>
    <row r="308" spans="1:12" s="115" customFormat="1">
      <c r="A308" s="78">
        <f t="shared" si="13"/>
        <v>2014</v>
      </c>
      <c r="B308" s="78">
        <f t="shared" si="14"/>
        <v>8</v>
      </c>
      <c r="C308" s="113">
        <v>41871</v>
      </c>
      <c r="D308" s="79" t="s">
        <v>17</v>
      </c>
      <c r="E308" s="79">
        <v>41871</v>
      </c>
      <c r="F308" s="82" t="s">
        <v>34</v>
      </c>
      <c r="G308" s="273"/>
      <c r="H308" s="128"/>
      <c r="I308" s="80">
        <v>25000</v>
      </c>
      <c r="J308" s="84" t="s">
        <v>242</v>
      </c>
      <c r="K308" s="81" t="s">
        <v>54</v>
      </c>
      <c r="L308" s="140" t="str">
        <f>IF(AND('331-CT'!$E$7=TH!H308,OR(J308="331",K308="331")),"x","")</f>
        <v/>
      </c>
    </row>
    <row r="309" spans="1:12" s="115" customFormat="1">
      <c r="A309" s="78">
        <f t="shared" si="13"/>
        <v>2014</v>
      </c>
      <c r="B309" s="78">
        <f t="shared" si="14"/>
        <v>8</v>
      </c>
      <c r="C309" s="79">
        <v>41871</v>
      </c>
      <c r="D309" s="79" t="s">
        <v>17</v>
      </c>
      <c r="E309" s="79">
        <v>41871</v>
      </c>
      <c r="F309" s="82" t="s">
        <v>35</v>
      </c>
      <c r="G309" s="273"/>
      <c r="H309" s="128"/>
      <c r="I309" s="80">
        <v>2500</v>
      </c>
      <c r="J309" s="81" t="s">
        <v>19</v>
      </c>
      <c r="K309" s="81" t="s">
        <v>54</v>
      </c>
      <c r="L309" s="140" t="str">
        <f>IF(AND('331-CT'!$E$7=TH!H309,OR(J309="331",K309="331")),"x","")</f>
        <v/>
      </c>
    </row>
    <row r="310" spans="1:12" s="115" customFormat="1">
      <c r="A310" s="78">
        <f t="shared" si="13"/>
        <v>2014</v>
      </c>
      <c r="B310" s="78">
        <f t="shared" si="14"/>
        <v>8</v>
      </c>
      <c r="C310" s="79">
        <v>41871</v>
      </c>
      <c r="D310" s="79" t="s">
        <v>17</v>
      </c>
      <c r="E310" s="79">
        <v>41871</v>
      </c>
      <c r="F310" s="82" t="s">
        <v>6</v>
      </c>
      <c r="G310" s="273"/>
      <c r="H310" s="128" t="s">
        <v>89</v>
      </c>
      <c r="I310" s="80">
        <v>378779940</v>
      </c>
      <c r="J310" s="81" t="s">
        <v>18</v>
      </c>
      <c r="K310" s="81" t="s">
        <v>54</v>
      </c>
      <c r="L310" s="140" t="str">
        <f>IF(AND('331-CT'!$E$7=TH!H310,OR(J310="331",K310="331")),"x","")</f>
        <v/>
      </c>
    </row>
    <row r="311" spans="1:12" s="115" customFormat="1">
      <c r="A311" s="78">
        <f t="shared" si="13"/>
        <v>2014</v>
      </c>
      <c r="B311" s="78">
        <f t="shared" si="14"/>
        <v>8</v>
      </c>
      <c r="C311" s="113">
        <v>41871</v>
      </c>
      <c r="D311" s="79" t="s">
        <v>17</v>
      </c>
      <c r="E311" s="79">
        <v>41871</v>
      </c>
      <c r="F311" s="82" t="s">
        <v>34</v>
      </c>
      <c r="G311" s="273"/>
      <c r="H311" s="128"/>
      <c r="I311" s="80">
        <v>113634</v>
      </c>
      <c r="J311" s="81" t="s">
        <v>242</v>
      </c>
      <c r="K311" s="81" t="s">
        <v>54</v>
      </c>
      <c r="L311" s="140" t="str">
        <f>IF(AND('331-CT'!$E$7=TH!H311,OR(J311="331",K311="331")),"x","")</f>
        <v/>
      </c>
    </row>
    <row r="312" spans="1:12" s="115" customFormat="1">
      <c r="A312" s="78">
        <f t="shared" si="13"/>
        <v>2014</v>
      </c>
      <c r="B312" s="78">
        <f t="shared" si="14"/>
        <v>8</v>
      </c>
      <c r="C312" s="79">
        <v>41871</v>
      </c>
      <c r="D312" s="79" t="s">
        <v>17</v>
      </c>
      <c r="E312" s="79">
        <v>41871</v>
      </c>
      <c r="F312" s="82" t="s">
        <v>35</v>
      </c>
      <c r="G312" s="273"/>
      <c r="H312" s="128"/>
      <c r="I312" s="80">
        <v>11363</v>
      </c>
      <c r="J312" s="81" t="s">
        <v>19</v>
      </c>
      <c r="K312" s="81" t="s">
        <v>54</v>
      </c>
      <c r="L312" s="140" t="str">
        <f>IF(AND('331-CT'!$E$7=TH!H312,OR(J312="331",K312="331")),"x","")</f>
        <v/>
      </c>
    </row>
    <row r="313" spans="1:12" s="115" customFormat="1">
      <c r="A313" s="78">
        <f t="shared" si="13"/>
        <v>2014</v>
      </c>
      <c r="B313" s="78">
        <f t="shared" si="14"/>
        <v>8</v>
      </c>
      <c r="C313" s="79">
        <v>41871</v>
      </c>
      <c r="D313" s="79" t="s">
        <v>17</v>
      </c>
      <c r="E313" s="79">
        <v>41871</v>
      </c>
      <c r="F313" s="82" t="s">
        <v>23</v>
      </c>
      <c r="G313" s="273"/>
      <c r="H313" s="128"/>
      <c r="I313" s="80">
        <v>40000</v>
      </c>
      <c r="J313" s="81" t="s">
        <v>242</v>
      </c>
      <c r="K313" s="81" t="s">
        <v>54</v>
      </c>
      <c r="L313" s="140" t="str">
        <f>IF(AND('331-CT'!$E$7=TH!H313,OR(J313="331",K313="331")),"x","")</f>
        <v/>
      </c>
    </row>
    <row r="314" spans="1:12" s="115" customFormat="1">
      <c r="A314" s="78">
        <f t="shared" si="13"/>
        <v>2014</v>
      </c>
      <c r="B314" s="78">
        <f t="shared" si="14"/>
        <v>8</v>
      </c>
      <c r="C314" s="79">
        <v>41871</v>
      </c>
      <c r="D314" s="79" t="s">
        <v>17</v>
      </c>
      <c r="E314" s="79">
        <v>41871</v>
      </c>
      <c r="F314" s="99" t="s">
        <v>24</v>
      </c>
      <c r="G314" s="273"/>
      <c r="H314" s="128"/>
      <c r="I314" s="80">
        <v>4000</v>
      </c>
      <c r="J314" s="84" t="s">
        <v>19</v>
      </c>
      <c r="K314" s="81" t="s">
        <v>54</v>
      </c>
      <c r="L314" s="140" t="str">
        <f>IF(AND('331-CT'!$E$7=TH!H314,OR(J314="331",K314="331")),"x","")</f>
        <v/>
      </c>
    </row>
    <row r="315" spans="1:12" s="115" customFormat="1">
      <c r="A315" s="78">
        <f t="shared" si="13"/>
        <v>2014</v>
      </c>
      <c r="B315" s="78">
        <f t="shared" si="14"/>
        <v>8</v>
      </c>
      <c r="C315" s="79">
        <v>41872</v>
      </c>
      <c r="D315" s="79" t="s">
        <v>78</v>
      </c>
      <c r="E315" s="79">
        <v>41872</v>
      </c>
      <c r="F315" s="82" t="s">
        <v>105</v>
      </c>
      <c r="G315" s="273" t="s">
        <v>579</v>
      </c>
      <c r="H315" s="129" t="s">
        <v>108</v>
      </c>
      <c r="I315" s="80">
        <v>72727273</v>
      </c>
      <c r="J315" s="81" t="s">
        <v>669</v>
      </c>
      <c r="K315" s="81" t="s">
        <v>18</v>
      </c>
      <c r="L315" s="140" t="str">
        <f>IF(AND('331-CT'!$E$7=TH!H315,OR(J315="331",K315="331")),"x","")</f>
        <v/>
      </c>
    </row>
    <row r="316" spans="1:12" s="115" customFormat="1">
      <c r="A316" s="78">
        <f t="shared" si="13"/>
        <v>2014</v>
      </c>
      <c r="B316" s="78">
        <f t="shared" si="14"/>
        <v>8</v>
      </c>
      <c r="C316" s="79">
        <v>41872</v>
      </c>
      <c r="D316" s="79" t="s">
        <v>78</v>
      </c>
      <c r="E316" s="79">
        <v>41872</v>
      </c>
      <c r="F316" s="82" t="s">
        <v>106</v>
      </c>
      <c r="G316" s="273" t="s">
        <v>579</v>
      </c>
      <c r="H316" s="128" t="s">
        <v>108</v>
      </c>
      <c r="I316" s="80">
        <v>7272727</v>
      </c>
      <c r="J316" s="81" t="s">
        <v>19</v>
      </c>
      <c r="K316" s="81" t="s">
        <v>18</v>
      </c>
      <c r="L316" s="140" t="str">
        <f>IF(AND('331-CT'!$E$7=TH!H316,OR(J316="331",K316="331")),"x","")</f>
        <v/>
      </c>
    </row>
    <row r="317" spans="1:12" s="115" customFormat="1">
      <c r="A317" s="78">
        <f t="shared" si="13"/>
        <v>2014</v>
      </c>
      <c r="B317" s="78">
        <f t="shared" si="14"/>
        <v>8</v>
      </c>
      <c r="C317" s="79">
        <v>41876</v>
      </c>
      <c r="D317" s="79" t="s">
        <v>21</v>
      </c>
      <c r="E317" s="79">
        <v>41876</v>
      </c>
      <c r="F317" s="82" t="s">
        <v>98</v>
      </c>
      <c r="G317" s="273"/>
      <c r="H317" s="128"/>
      <c r="I317" s="80">
        <v>38769</v>
      </c>
      <c r="J317" s="81" t="s">
        <v>54</v>
      </c>
      <c r="K317" s="81" t="s">
        <v>99</v>
      </c>
      <c r="L317" s="140" t="str">
        <f>IF(AND('331-CT'!$E$7=TH!H317,OR(J317="331",K317="331")),"x","")</f>
        <v/>
      </c>
    </row>
    <row r="318" spans="1:12" s="115" customFormat="1">
      <c r="A318" s="78">
        <f t="shared" si="13"/>
        <v>2014</v>
      </c>
      <c r="B318" s="78">
        <f t="shared" si="14"/>
        <v>8</v>
      </c>
      <c r="C318" s="79">
        <v>41877</v>
      </c>
      <c r="D318" s="79" t="s">
        <v>78</v>
      </c>
      <c r="E318" s="79">
        <v>41877</v>
      </c>
      <c r="F318" s="260" t="s">
        <v>100</v>
      </c>
      <c r="G318" s="280" t="s">
        <v>580</v>
      </c>
      <c r="H318" s="129" t="s">
        <v>89</v>
      </c>
      <c r="I318" s="80">
        <v>1443034000</v>
      </c>
      <c r="J318" s="81" t="s">
        <v>669</v>
      </c>
      <c r="K318" s="81" t="s">
        <v>18</v>
      </c>
      <c r="L318" s="140" t="str">
        <f>IF(AND('331-CT'!$E$7=TH!H318,OR(J318="331",K318="331")),"x","")</f>
        <v/>
      </c>
    </row>
    <row r="319" spans="1:12" s="115" customFormat="1">
      <c r="A319" s="78">
        <f t="shared" si="13"/>
        <v>2014</v>
      </c>
      <c r="B319" s="78">
        <f t="shared" si="14"/>
        <v>8</v>
      </c>
      <c r="C319" s="79">
        <v>41877</v>
      </c>
      <c r="D319" s="79" t="s">
        <v>78</v>
      </c>
      <c r="E319" s="79">
        <v>41877</v>
      </c>
      <c r="F319" s="82" t="s">
        <v>101</v>
      </c>
      <c r="G319" s="273" t="s">
        <v>580</v>
      </c>
      <c r="H319" s="128" t="s">
        <v>89</v>
      </c>
      <c r="I319" s="80">
        <v>144303400</v>
      </c>
      <c r="J319" s="81" t="s">
        <v>19</v>
      </c>
      <c r="K319" s="81" t="s">
        <v>18</v>
      </c>
      <c r="L319" s="140" t="str">
        <f>IF(AND('331-CT'!$E$7=TH!H319,OR(J319="331",K319="331")),"x","")</f>
        <v/>
      </c>
    </row>
    <row r="320" spans="1:12" s="115" customFormat="1">
      <c r="A320" s="78">
        <f t="shared" si="13"/>
        <v>2014</v>
      </c>
      <c r="B320" s="78">
        <f t="shared" si="14"/>
        <v>9</v>
      </c>
      <c r="C320" s="79">
        <v>41894</v>
      </c>
      <c r="D320" s="79" t="s">
        <v>17</v>
      </c>
      <c r="E320" s="79">
        <v>41894</v>
      </c>
      <c r="F320" s="82" t="s">
        <v>5</v>
      </c>
      <c r="G320" s="273"/>
      <c r="H320" s="128" t="s">
        <v>91</v>
      </c>
      <c r="I320" s="80">
        <v>50000000</v>
      </c>
      <c r="J320" s="81" t="s">
        <v>18</v>
      </c>
      <c r="K320" s="81" t="s">
        <v>54</v>
      </c>
      <c r="L320" s="140" t="str">
        <f>IF(AND('331-CT'!$E$7=TH!H320,OR(J320="331",K320="331")),"x","")</f>
        <v/>
      </c>
    </row>
    <row r="321" spans="1:12" s="115" customFormat="1">
      <c r="A321" s="78">
        <f t="shared" si="13"/>
        <v>2014</v>
      </c>
      <c r="B321" s="78">
        <f t="shared" si="14"/>
        <v>9</v>
      </c>
      <c r="C321" s="79">
        <v>41894</v>
      </c>
      <c r="D321" s="79" t="s">
        <v>17</v>
      </c>
      <c r="E321" s="79">
        <v>41894</v>
      </c>
      <c r="F321" s="82" t="s">
        <v>34</v>
      </c>
      <c r="G321" s="273"/>
      <c r="H321" s="128"/>
      <c r="I321" s="80">
        <v>25000</v>
      </c>
      <c r="J321" s="81" t="s">
        <v>242</v>
      </c>
      <c r="K321" s="81" t="s">
        <v>54</v>
      </c>
      <c r="L321" s="140" t="str">
        <f>IF(AND('331-CT'!$E$7=TH!H321,OR(J321="331",K321="331")),"x","")</f>
        <v/>
      </c>
    </row>
    <row r="322" spans="1:12" s="115" customFormat="1">
      <c r="A322" s="78">
        <f t="shared" si="13"/>
        <v>2014</v>
      </c>
      <c r="B322" s="78">
        <f t="shared" si="14"/>
        <v>9</v>
      </c>
      <c r="C322" s="79">
        <v>41894</v>
      </c>
      <c r="D322" s="79" t="s">
        <v>17</v>
      </c>
      <c r="E322" s="79">
        <v>41894</v>
      </c>
      <c r="F322" s="82" t="s">
        <v>35</v>
      </c>
      <c r="G322" s="273"/>
      <c r="H322" s="128"/>
      <c r="I322" s="80">
        <v>2500</v>
      </c>
      <c r="J322" s="81" t="s">
        <v>19</v>
      </c>
      <c r="K322" s="81" t="s">
        <v>54</v>
      </c>
      <c r="L322" s="140" t="str">
        <f>IF(AND('331-CT'!$E$7=TH!H322,OR(J322="331",K322="331")),"x","")</f>
        <v/>
      </c>
    </row>
    <row r="323" spans="1:12" s="115" customFormat="1">
      <c r="A323" s="78">
        <f t="shared" si="13"/>
        <v>2014</v>
      </c>
      <c r="B323" s="78">
        <f t="shared" si="14"/>
        <v>9</v>
      </c>
      <c r="C323" s="79">
        <v>41905</v>
      </c>
      <c r="D323" s="79" t="s">
        <v>166</v>
      </c>
      <c r="E323" s="79">
        <v>41905</v>
      </c>
      <c r="F323" s="82" t="s">
        <v>591</v>
      </c>
      <c r="G323" s="273"/>
      <c r="H323" s="128" t="s">
        <v>267</v>
      </c>
      <c r="I323" s="80">
        <v>9000000</v>
      </c>
      <c r="J323" s="81" t="s">
        <v>39</v>
      </c>
      <c r="K323" s="81" t="s">
        <v>203</v>
      </c>
      <c r="L323" s="140" t="str">
        <f>IF(AND('331-CT'!$E$7=TH!H323,OR(J323="331",K323="331")),"x","")</f>
        <v/>
      </c>
    </row>
    <row r="324" spans="1:12" s="115" customFormat="1">
      <c r="A324" s="78">
        <f t="shared" si="13"/>
        <v>2014</v>
      </c>
      <c r="B324" s="78">
        <f t="shared" si="14"/>
        <v>9</v>
      </c>
      <c r="C324" s="79">
        <v>41905</v>
      </c>
      <c r="D324" s="79" t="s">
        <v>21</v>
      </c>
      <c r="E324" s="79">
        <v>41905</v>
      </c>
      <c r="F324" s="82" t="s">
        <v>45</v>
      </c>
      <c r="G324" s="273"/>
      <c r="H324" s="128" t="s">
        <v>267</v>
      </c>
      <c r="I324" s="80">
        <v>9000000</v>
      </c>
      <c r="J324" s="81" t="s">
        <v>54</v>
      </c>
      <c r="K324" s="81" t="s">
        <v>39</v>
      </c>
      <c r="L324" s="140" t="str">
        <f>IF(AND('331-CT'!$E$7=TH!H324,OR(J324="331",K324="331")),"x","")</f>
        <v/>
      </c>
    </row>
    <row r="325" spans="1:12" s="115" customFormat="1">
      <c r="A325" s="78">
        <f t="shared" si="13"/>
        <v>2014</v>
      </c>
      <c r="B325" s="78">
        <f t="shared" si="14"/>
        <v>9</v>
      </c>
      <c r="C325" s="79">
        <v>41905</v>
      </c>
      <c r="D325" s="79" t="s">
        <v>17</v>
      </c>
      <c r="E325" s="79">
        <v>41905</v>
      </c>
      <c r="F325" s="261" t="s">
        <v>119</v>
      </c>
      <c r="G325" s="281"/>
      <c r="H325" s="9" t="s">
        <v>314</v>
      </c>
      <c r="I325" s="80">
        <v>8625463</v>
      </c>
      <c r="J325" s="81" t="s">
        <v>240</v>
      </c>
      <c r="K325" s="81" t="s">
        <v>54</v>
      </c>
      <c r="L325" s="140" t="str">
        <f>IF(AND('331-CT'!$E$7=TH!H325,OR(J325="331",K325="331")),"x","")</f>
        <v/>
      </c>
    </row>
    <row r="326" spans="1:12" s="115" customFormat="1">
      <c r="A326" s="78">
        <f t="shared" si="13"/>
        <v>2014</v>
      </c>
      <c r="B326" s="78">
        <f t="shared" si="14"/>
        <v>9</v>
      </c>
      <c r="C326" s="79">
        <v>41905</v>
      </c>
      <c r="D326" s="79" t="s">
        <v>17</v>
      </c>
      <c r="E326" s="79">
        <v>41905</v>
      </c>
      <c r="F326" s="82" t="s">
        <v>113</v>
      </c>
      <c r="G326" s="273"/>
      <c r="H326" s="128" t="s">
        <v>111</v>
      </c>
      <c r="I326" s="80">
        <v>752610000</v>
      </c>
      <c r="J326" s="81" t="s">
        <v>18</v>
      </c>
      <c r="K326" s="81" t="s">
        <v>54</v>
      </c>
      <c r="L326" s="140" t="str">
        <f>IF(AND('331-CT'!$E$7=TH!H326,OR(J326="331",K326="331")),"x","")</f>
        <v/>
      </c>
    </row>
    <row r="327" spans="1:12" s="115" customFormat="1">
      <c r="A327" s="78">
        <f t="shared" si="13"/>
        <v>2014</v>
      </c>
      <c r="B327" s="78">
        <f t="shared" si="14"/>
        <v>9</v>
      </c>
      <c r="C327" s="79">
        <v>41905</v>
      </c>
      <c r="D327" s="79" t="s">
        <v>17</v>
      </c>
      <c r="E327" s="79">
        <v>41905</v>
      </c>
      <c r="F327" s="82" t="s">
        <v>34</v>
      </c>
      <c r="G327" s="273"/>
      <c r="H327" s="128"/>
      <c r="I327" s="80">
        <v>225783</v>
      </c>
      <c r="J327" s="81" t="s">
        <v>242</v>
      </c>
      <c r="K327" s="81" t="s">
        <v>54</v>
      </c>
      <c r="L327" s="140" t="str">
        <f>IF(AND('331-CT'!$E$7=TH!H327,OR(J327="331",K327="331")),"x","")</f>
        <v/>
      </c>
    </row>
    <row r="328" spans="1:12" s="115" customFormat="1">
      <c r="A328" s="78">
        <f t="shared" si="13"/>
        <v>2014</v>
      </c>
      <c r="B328" s="78">
        <f t="shared" si="14"/>
        <v>9</v>
      </c>
      <c r="C328" s="79">
        <v>41905</v>
      </c>
      <c r="D328" s="79" t="s">
        <v>17</v>
      </c>
      <c r="E328" s="79">
        <v>41905</v>
      </c>
      <c r="F328" s="82" t="s">
        <v>35</v>
      </c>
      <c r="G328" s="273"/>
      <c r="H328" s="9"/>
      <c r="I328" s="80">
        <v>22578</v>
      </c>
      <c r="J328" s="81" t="s">
        <v>19</v>
      </c>
      <c r="K328" s="81" t="s">
        <v>54</v>
      </c>
      <c r="L328" s="140" t="str">
        <f>IF(AND('331-CT'!$E$7=TH!H328,OR(J328="331",K328="331")),"x","")</f>
        <v/>
      </c>
    </row>
    <row r="329" spans="1:12" s="115" customFormat="1">
      <c r="A329" s="78">
        <f t="shared" si="13"/>
        <v>2014</v>
      </c>
      <c r="B329" s="78">
        <f t="shared" si="14"/>
        <v>9</v>
      </c>
      <c r="C329" s="79">
        <v>41905</v>
      </c>
      <c r="D329" s="79" t="s">
        <v>17</v>
      </c>
      <c r="E329" s="79">
        <v>41905</v>
      </c>
      <c r="F329" s="82" t="s">
        <v>112</v>
      </c>
      <c r="G329" s="273"/>
      <c r="H329" s="128" t="s">
        <v>85</v>
      </c>
      <c r="I329" s="80">
        <v>800000000</v>
      </c>
      <c r="J329" s="81" t="s">
        <v>18</v>
      </c>
      <c r="K329" s="81" t="s">
        <v>54</v>
      </c>
      <c r="L329" s="140" t="str">
        <f>IF(AND('331-CT'!$E$7=TH!H329,OR(J329="331",K329="331")),"x","")</f>
        <v/>
      </c>
    </row>
    <row r="330" spans="1:12" s="115" customFormat="1">
      <c r="A330" s="78">
        <f t="shared" si="13"/>
        <v>2014</v>
      </c>
      <c r="B330" s="78">
        <f t="shared" si="14"/>
        <v>9</v>
      </c>
      <c r="C330" s="79">
        <v>41905</v>
      </c>
      <c r="D330" s="79" t="s">
        <v>17</v>
      </c>
      <c r="E330" s="79">
        <v>41905</v>
      </c>
      <c r="F330" s="82" t="s">
        <v>34</v>
      </c>
      <c r="G330" s="273"/>
      <c r="H330" s="128"/>
      <c r="I330" s="80">
        <v>400000</v>
      </c>
      <c r="J330" s="81" t="s">
        <v>242</v>
      </c>
      <c r="K330" s="81" t="s">
        <v>54</v>
      </c>
      <c r="L330" s="140" t="str">
        <f>IF(AND('331-CT'!$E$7=TH!H330,OR(J330="331",K330="331")),"x","")</f>
        <v/>
      </c>
    </row>
    <row r="331" spans="1:12" s="115" customFormat="1">
      <c r="A331" s="78">
        <f t="shared" si="13"/>
        <v>2014</v>
      </c>
      <c r="B331" s="78">
        <f t="shared" si="14"/>
        <v>9</v>
      </c>
      <c r="C331" s="136">
        <v>41905</v>
      </c>
      <c r="D331" s="136" t="s">
        <v>17</v>
      </c>
      <c r="E331" s="136">
        <v>41905</v>
      </c>
      <c r="F331" s="137" t="s">
        <v>35</v>
      </c>
      <c r="G331" s="279"/>
      <c r="H331" s="138"/>
      <c r="I331" s="139">
        <v>40000</v>
      </c>
      <c r="J331" s="140" t="s">
        <v>19</v>
      </c>
      <c r="K331" s="140" t="s">
        <v>54</v>
      </c>
      <c r="L331" s="140" t="str">
        <f>IF(AND('331-CT'!$E$7=TH!H331,OR(J331="331",K331="331")),"x","")</f>
        <v/>
      </c>
    </row>
    <row r="332" spans="1:12" s="115" customFormat="1">
      <c r="A332" s="78">
        <f t="shared" ref="A332:A395" si="15">IF(C332&lt;&gt;"",YEAR(C332),"")</f>
        <v>2014</v>
      </c>
      <c r="B332" s="78">
        <f t="shared" ref="B332:B395" si="16">IF(C332&lt;&gt;"",MONTH(C332),"")</f>
        <v>9</v>
      </c>
      <c r="C332" s="136">
        <v>41905</v>
      </c>
      <c r="D332" s="136" t="s">
        <v>21</v>
      </c>
      <c r="E332" s="136">
        <v>41905</v>
      </c>
      <c r="F332" s="137" t="s">
        <v>313</v>
      </c>
      <c r="G332" s="279"/>
      <c r="H332" s="138" t="s">
        <v>315</v>
      </c>
      <c r="I332" s="139">
        <v>2000000000</v>
      </c>
      <c r="J332" s="140" t="s">
        <v>54</v>
      </c>
      <c r="K332" s="140" t="s">
        <v>227</v>
      </c>
      <c r="L332" s="140" t="str">
        <f>IF(AND('331-CT'!$E$7=TH!H332,OR(J332="331",K332="331")),"x","")</f>
        <v/>
      </c>
    </row>
    <row r="333" spans="1:12" s="115" customFormat="1">
      <c r="A333" s="78">
        <f t="shared" si="15"/>
        <v>2014</v>
      </c>
      <c r="B333" s="78">
        <f t="shared" si="16"/>
        <v>9</v>
      </c>
      <c r="C333" s="79">
        <v>41906</v>
      </c>
      <c r="D333" s="79" t="s">
        <v>17</v>
      </c>
      <c r="E333" s="79">
        <v>41906</v>
      </c>
      <c r="F333" s="82" t="s">
        <v>120</v>
      </c>
      <c r="G333" s="273"/>
      <c r="H333" s="128"/>
      <c r="I333" s="80">
        <v>20000</v>
      </c>
      <c r="J333" s="81" t="s">
        <v>242</v>
      </c>
      <c r="K333" s="81" t="s">
        <v>54</v>
      </c>
      <c r="L333" s="140" t="str">
        <f>IF(AND('331-CT'!$E$7=TH!H333,OR(J333="331",K333="331")),"x","")</f>
        <v/>
      </c>
    </row>
    <row r="334" spans="1:12" s="115" customFormat="1">
      <c r="A334" s="78">
        <f t="shared" si="15"/>
        <v>2014</v>
      </c>
      <c r="B334" s="78">
        <f t="shared" si="16"/>
        <v>9</v>
      </c>
      <c r="C334" s="79">
        <v>41906</v>
      </c>
      <c r="D334" s="79" t="s">
        <v>17</v>
      </c>
      <c r="E334" s="79">
        <v>41906</v>
      </c>
      <c r="F334" s="82" t="s">
        <v>121</v>
      </c>
      <c r="G334" s="278"/>
      <c r="H334" s="128"/>
      <c r="I334" s="80">
        <v>2000</v>
      </c>
      <c r="J334" s="81" t="s">
        <v>19</v>
      </c>
      <c r="K334" s="81" t="s">
        <v>54</v>
      </c>
      <c r="L334" s="140" t="str">
        <f>IF(AND('331-CT'!$E$7=TH!H334,OR(J334="331",K334="331")),"x","")</f>
        <v/>
      </c>
    </row>
    <row r="335" spans="1:12" s="115" customFormat="1">
      <c r="A335" s="78">
        <f t="shared" si="15"/>
        <v>2014</v>
      </c>
      <c r="B335" s="78">
        <f t="shared" si="16"/>
        <v>9</v>
      </c>
      <c r="C335" s="79">
        <v>41907</v>
      </c>
      <c r="D335" s="79" t="s">
        <v>21</v>
      </c>
      <c r="E335" s="79">
        <v>41907</v>
      </c>
      <c r="F335" s="82" t="s">
        <v>98</v>
      </c>
      <c r="G335" s="273"/>
      <c r="H335" s="128"/>
      <c r="I335" s="80">
        <v>199881</v>
      </c>
      <c r="J335" s="81" t="s">
        <v>54</v>
      </c>
      <c r="K335" s="81" t="s">
        <v>99</v>
      </c>
      <c r="L335" s="140" t="str">
        <f>IF(AND('331-CT'!$E$7=TH!H335,OR(J335="331",K335="331")),"x","")</f>
        <v/>
      </c>
    </row>
    <row r="336" spans="1:12" s="115" customFormat="1">
      <c r="A336" s="78">
        <f t="shared" si="15"/>
        <v>2014</v>
      </c>
      <c r="B336" s="78">
        <f t="shared" si="16"/>
        <v>9</v>
      </c>
      <c r="C336" s="79">
        <v>41907</v>
      </c>
      <c r="D336" s="79" t="s">
        <v>17</v>
      </c>
      <c r="E336" s="79">
        <v>41907</v>
      </c>
      <c r="F336" s="82" t="s">
        <v>120</v>
      </c>
      <c r="G336" s="273"/>
      <c r="H336" s="128"/>
      <c r="I336" s="80">
        <v>20000</v>
      </c>
      <c r="J336" s="81" t="s">
        <v>242</v>
      </c>
      <c r="K336" s="81" t="s">
        <v>54</v>
      </c>
      <c r="L336" s="140" t="str">
        <f>IF(AND('331-CT'!$E$7=TH!H336,OR(J336="331",K336="331")),"x","")</f>
        <v/>
      </c>
    </row>
    <row r="337" spans="1:12" s="115" customFormat="1">
      <c r="A337" s="78">
        <f t="shared" si="15"/>
        <v>2014</v>
      </c>
      <c r="B337" s="78">
        <f t="shared" si="16"/>
        <v>9</v>
      </c>
      <c r="C337" s="79">
        <v>41907</v>
      </c>
      <c r="D337" s="79" t="s">
        <v>17</v>
      </c>
      <c r="E337" s="79">
        <v>41907</v>
      </c>
      <c r="F337" s="82" t="s">
        <v>121</v>
      </c>
      <c r="G337" s="273"/>
      <c r="H337" s="128"/>
      <c r="I337" s="80">
        <v>2000</v>
      </c>
      <c r="J337" s="81" t="s">
        <v>19</v>
      </c>
      <c r="K337" s="81" t="s">
        <v>54</v>
      </c>
      <c r="L337" s="140" t="str">
        <f>IF(AND('331-CT'!$E$7=TH!H337,OR(J337="331",K337="331")),"x","")</f>
        <v/>
      </c>
    </row>
    <row r="338" spans="1:12" s="115" customFormat="1">
      <c r="A338" s="78">
        <f t="shared" si="15"/>
        <v>2014</v>
      </c>
      <c r="B338" s="78">
        <f t="shared" si="16"/>
        <v>9</v>
      </c>
      <c r="C338" s="79">
        <v>41907</v>
      </c>
      <c r="D338" s="79" t="s">
        <v>17</v>
      </c>
      <c r="E338" s="79">
        <v>41907</v>
      </c>
      <c r="F338" s="82" t="s">
        <v>49</v>
      </c>
      <c r="G338" s="273"/>
      <c r="H338" s="7"/>
      <c r="I338" s="80">
        <v>50000</v>
      </c>
      <c r="J338" s="81" t="s">
        <v>242</v>
      </c>
      <c r="K338" s="81" t="s">
        <v>54</v>
      </c>
      <c r="L338" s="140" t="str">
        <f>IF(AND('331-CT'!$E$7=TH!H338,OR(J338="331",K338="331")),"x","")</f>
        <v/>
      </c>
    </row>
    <row r="339" spans="1:12" s="115" customFormat="1">
      <c r="A339" s="78">
        <f t="shared" si="15"/>
        <v>2014</v>
      </c>
      <c r="B339" s="78">
        <f t="shared" si="16"/>
        <v>9</v>
      </c>
      <c r="C339" s="79">
        <v>41907</v>
      </c>
      <c r="D339" s="79" t="s">
        <v>17</v>
      </c>
      <c r="E339" s="79">
        <v>41907</v>
      </c>
      <c r="F339" s="82" t="s">
        <v>44</v>
      </c>
      <c r="G339" s="273"/>
      <c r="H339" s="128"/>
      <c r="I339" s="80">
        <v>5000</v>
      </c>
      <c r="J339" s="81" t="s">
        <v>19</v>
      </c>
      <c r="K339" s="81" t="s">
        <v>54</v>
      </c>
      <c r="L339" s="140" t="str">
        <f>IF(AND('331-CT'!$E$7=TH!H339,OR(J339="331",K339="331")),"x","")</f>
        <v/>
      </c>
    </row>
    <row r="340" spans="1:12" s="115" customFormat="1">
      <c r="A340" s="78">
        <f t="shared" si="15"/>
        <v>2014</v>
      </c>
      <c r="B340" s="78">
        <f t="shared" si="16"/>
        <v>9</v>
      </c>
      <c r="C340" s="79">
        <v>41907</v>
      </c>
      <c r="D340" s="79" t="s">
        <v>17</v>
      </c>
      <c r="E340" s="79">
        <v>41907</v>
      </c>
      <c r="F340" s="82" t="s">
        <v>48</v>
      </c>
      <c r="G340" s="273"/>
      <c r="H340" s="128"/>
      <c r="I340" s="80">
        <v>50000</v>
      </c>
      <c r="J340" s="81" t="s">
        <v>242</v>
      </c>
      <c r="K340" s="81" t="s">
        <v>54</v>
      </c>
      <c r="L340" s="140" t="str">
        <f>IF(AND('331-CT'!$E$7=TH!H340,OR(J340="331",K340="331")),"x","")</f>
        <v/>
      </c>
    </row>
    <row r="341" spans="1:12" s="115" customFormat="1">
      <c r="A341" s="78">
        <f t="shared" si="15"/>
        <v>2014</v>
      </c>
      <c r="B341" s="78">
        <f t="shared" si="16"/>
        <v>9</v>
      </c>
      <c r="C341" s="79">
        <v>41907</v>
      </c>
      <c r="D341" s="79" t="s">
        <v>17</v>
      </c>
      <c r="E341" s="79">
        <v>41907</v>
      </c>
      <c r="F341" s="82" t="s">
        <v>44</v>
      </c>
      <c r="G341" s="273"/>
      <c r="H341" s="128"/>
      <c r="I341" s="80">
        <v>5000</v>
      </c>
      <c r="J341" s="81" t="s">
        <v>19</v>
      </c>
      <c r="K341" s="81" t="s">
        <v>54</v>
      </c>
      <c r="L341" s="140" t="str">
        <f>IF(AND('331-CT'!$E$7=TH!H341,OR(J341="331",K341="331")),"x","")</f>
        <v/>
      </c>
    </row>
    <row r="342" spans="1:12" s="115" customFormat="1">
      <c r="A342" s="78">
        <f t="shared" si="15"/>
        <v>2014</v>
      </c>
      <c r="B342" s="78">
        <f t="shared" si="16"/>
        <v>9</v>
      </c>
      <c r="C342" s="79">
        <v>41907</v>
      </c>
      <c r="D342" s="79" t="s">
        <v>17</v>
      </c>
      <c r="E342" s="79">
        <v>41907</v>
      </c>
      <c r="F342" s="82" t="s">
        <v>47</v>
      </c>
      <c r="G342" s="278"/>
      <c r="H342" s="128"/>
      <c r="I342" s="80">
        <v>50000</v>
      </c>
      <c r="J342" s="81" t="s">
        <v>242</v>
      </c>
      <c r="K342" s="81" t="s">
        <v>54</v>
      </c>
      <c r="L342" s="140" t="str">
        <f>IF(AND('331-CT'!$E$7=TH!H342,OR(J342="331",K342="331")),"x","")</f>
        <v/>
      </c>
    </row>
    <row r="343" spans="1:12" s="115" customFormat="1">
      <c r="A343" s="78">
        <f t="shared" si="15"/>
        <v>2014</v>
      </c>
      <c r="B343" s="78">
        <f t="shared" si="16"/>
        <v>9</v>
      </c>
      <c r="C343" s="79">
        <v>41907</v>
      </c>
      <c r="D343" s="79" t="s">
        <v>17</v>
      </c>
      <c r="E343" s="79">
        <v>41907</v>
      </c>
      <c r="F343" s="82" t="s">
        <v>44</v>
      </c>
      <c r="G343" s="278"/>
      <c r="H343" s="128"/>
      <c r="I343" s="80">
        <v>5000</v>
      </c>
      <c r="J343" s="81" t="s">
        <v>19</v>
      </c>
      <c r="K343" s="81" t="s">
        <v>54</v>
      </c>
      <c r="L343" s="140" t="str">
        <f>IF(AND('331-CT'!$E$7=TH!H343,OR(J343="331",K343="331")),"x","")</f>
        <v/>
      </c>
    </row>
    <row r="344" spans="1:12" s="115" customFormat="1">
      <c r="A344" s="78">
        <f t="shared" si="15"/>
        <v>2014</v>
      </c>
      <c r="B344" s="78">
        <f t="shared" si="16"/>
        <v>10</v>
      </c>
      <c r="C344" s="79">
        <v>41915</v>
      </c>
      <c r="D344" s="79" t="s">
        <v>17</v>
      </c>
      <c r="E344" s="79">
        <v>41915</v>
      </c>
      <c r="F344" s="82" t="s">
        <v>125</v>
      </c>
      <c r="G344" s="278"/>
      <c r="H344" s="7" t="s">
        <v>129</v>
      </c>
      <c r="I344" s="80">
        <v>16327199</v>
      </c>
      <c r="J344" s="81" t="s">
        <v>18</v>
      </c>
      <c r="K344" s="81" t="s">
        <v>54</v>
      </c>
      <c r="L344" s="140" t="str">
        <f>IF(AND('331-CT'!$E$7=TH!H344,OR(J344="331",K344="331")),"x","")</f>
        <v/>
      </c>
    </row>
    <row r="345" spans="1:12" s="115" customFormat="1">
      <c r="A345" s="78">
        <f t="shared" si="15"/>
        <v>2014</v>
      </c>
      <c r="B345" s="78">
        <f t="shared" si="16"/>
        <v>10</v>
      </c>
      <c r="C345" s="79">
        <v>41915</v>
      </c>
      <c r="D345" s="79" t="s">
        <v>17</v>
      </c>
      <c r="E345" s="79">
        <v>41915</v>
      </c>
      <c r="F345" s="82" t="s">
        <v>34</v>
      </c>
      <c r="G345" s="278"/>
      <c r="H345" s="7"/>
      <c r="I345" s="80">
        <v>25000</v>
      </c>
      <c r="J345" s="81" t="s">
        <v>242</v>
      </c>
      <c r="K345" s="81" t="s">
        <v>54</v>
      </c>
      <c r="L345" s="140" t="str">
        <f>IF(AND('331-CT'!$E$7=TH!H345,OR(J345="331",K345="331")),"x","")</f>
        <v/>
      </c>
    </row>
    <row r="346" spans="1:12" s="115" customFormat="1">
      <c r="A346" s="78">
        <f t="shared" si="15"/>
        <v>2014</v>
      </c>
      <c r="B346" s="78">
        <f t="shared" si="16"/>
        <v>10</v>
      </c>
      <c r="C346" s="79">
        <v>41915</v>
      </c>
      <c r="D346" s="79" t="s">
        <v>17</v>
      </c>
      <c r="E346" s="79">
        <v>41915</v>
      </c>
      <c r="F346" s="82" t="s">
        <v>35</v>
      </c>
      <c r="G346" s="273"/>
      <c r="H346" s="130"/>
      <c r="I346" s="80">
        <v>2500</v>
      </c>
      <c r="J346" s="81" t="s">
        <v>19</v>
      </c>
      <c r="K346" s="81" t="s">
        <v>54</v>
      </c>
      <c r="L346" s="140" t="str">
        <f>IF(AND('331-CT'!$E$7=TH!H346,OR(J346="331",K346="331")),"x","")</f>
        <v/>
      </c>
    </row>
    <row r="347" spans="1:12" s="115" customFormat="1">
      <c r="A347" s="78">
        <f t="shared" si="15"/>
        <v>2014</v>
      </c>
      <c r="B347" s="78">
        <f t="shared" si="16"/>
        <v>10</v>
      </c>
      <c r="C347" s="79">
        <v>41918</v>
      </c>
      <c r="D347" s="79" t="s">
        <v>17</v>
      </c>
      <c r="E347" s="79">
        <v>41918</v>
      </c>
      <c r="F347" s="82" t="s">
        <v>126</v>
      </c>
      <c r="G347" s="273"/>
      <c r="H347" s="128" t="s">
        <v>83</v>
      </c>
      <c r="I347" s="80">
        <v>34408000</v>
      </c>
      <c r="J347" s="81" t="s">
        <v>18</v>
      </c>
      <c r="K347" s="81" t="s">
        <v>54</v>
      </c>
      <c r="L347" s="140" t="str">
        <f>IF(AND('331-CT'!$E$7=TH!H347,OR(J347="331",K347="331")),"x","")</f>
        <v/>
      </c>
    </row>
    <row r="348" spans="1:12" s="115" customFormat="1">
      <c r="A348" s="78">
        <f t="shared" si="15"/>
        <v>2014</v>
      </c>
      <c r="B348" s="78">
        <f t="shared" si="16"/>
        <v>10</v>
      </c>
      <c r="C348" s="79">
        <v>41918</v>
      </c>
      <c r="D348" s="79" t="s">
        <v>17</v>
      </c>
      <c r="E348" s="79">
        <v>41918</v>
      </c>
      <c r="F348" s="82" t="s">
        <v>34</v>
      </c>
      <c r="G348" s="273"/>
      <c r="H348" s="128"/>
      <c r="I348" s="80">
        <v>25000</v>
      </c>
      <c r="J348" s="81" t="s">
        <v>242</v>
      </c>
      <c r="K348" s="81" t="s">
        <v>54</v>
      </c>
      <c r="L348" s="140" t="str">
        <f>IF(AND('331-CT'!$E$7=TH!H348,OR(J348="331",K348="331")),"x","")</f>
        <v/>
      </c>
    </row>
    <row r="349" spans="1:12" s="115" customFormat="1">
      <c r="A349" s="78">
        <f t="shared" si="15"/>
        <v>2014</v>
      </c>
      <c r="B349" s="78">
        <f t="shared" si="16"/>
        <v>10</v>
      </c>
      <c r="C349" s="79">
        <v>41918</v>
      </c>
      <c r="D349" s="79" t="s">
        <v>17</v>
      </c>
      <c r="E349" s="79">
        <v>41918</v>
      </c>
      <c r="F349" s="82" t="s">
        <v>35</v>
      </c>
      <c r="G349" s="273"/>
      <c r="H349" s="128"/>
      <c r="I349" s="80">
        <v>2500</v>
      </c>
      <c r="J349" s="81" t="s">
        <v>19</v>
      </c>
      <c r="K349" s="81" t="s">
        <v>54</v>
      </c>
      <c r="L349" s="140" t="str">
        <f>IF(AND('331-CT'!$E$7=TH!H349,OR(J349="331",K349="331")),"x","")</f>
        <v/>
      </c>
    </row>
    <row r="350" spans="1:12" s="115" customFormat="1">
      <c r="A350" s="78">
        <f t="shared" si="15"/>
        <v>2014</v>
      </c>
      <c r="B350" s="78">
        <f t="shared" si="16"/>
        <v>10</v>
      </c>
      <c r="C350" s="79">
        <v>41927</v>
      </c>
      <c r="D350" s="79" t="s">
        <v>78</v>
      </c>
      <c r="E350" s="79">
        <v>41927</v>
      </c>
      <c r="F350" s="82" t="s">
        <v>130</v>
      </c>
      <c r="G350" s="273" t="s">
        <v>581</v>
      </c>
      <c r="H350" s="128" t="s">
        <v>132</v>
      </c>
      <c r="I350" s="80">
        <v>28000005</v>
      </c>
      <c r="J350" s="81" t="s">
        <v>669</v>
      </c>
      <c r="K350" s="81" t="s">
        <v>18</v>
      </c>
      <c r="L350" s="140" t="str">
        <f>IF(AND('331-CT'!$E$7=TH!H350,OR(J350="331",K350="331")),"x","")</f>
        <v/>
      </c>
    </row>
    <row r="351" spans="1:12" s="115" customFormat="1">
      <c r="A351" s="78">
        <f t="shared" si="15"/>
        <v>2014</v>
      </c>
      <c r="B351" s="78">
        <f t="shared" si="16"/>
        <v>10</v>
      </c>
      <c r="C351" s="79">
        <v>41927</v>
      </c>
      <c r="D351" s="79" t="s">
        <v>78</v>
      </c>
      <c r="E351" s="79">
        <v>41927</v>
      </c>
      <c r="F351" s="82" t="s">
        <v>131</v>
      </c>
      <c r="G351" s="273" t="s">
        <v>581</v>
      </c>
      <c r="H351" s="128" t="s">
        <v>132</v>
      </c>
      <c r="I351" s="80">
        <v>2800000</v>
      </c>
      <c r="J351" s="81" t="s">
        <v>19</v>
      </c>
      <c r="K351" s="81" t="s">
        <v>18</v>
      </c>
      <c r="L351" s="140" t="str">
        <f>IF(AND('331-CT'!$E$7=TH!H351,OR(J351="331",K351="331")),"x","")</f>
        <v/>
      </c>
    </row>
    <row r="352" spans="1:12" s="115" customFormat="1">
      <c r="A352" s="78">
        <f t="shared" si="15"/>
        <v>2014</v>
      </c>
      <c r="B352" s="78">
        <f t="shared" si="16"/>
        <v>10</v>
      </c>
      <c r="C352" s="79">
        <v>41928</v>
      </c>
      <c r="D352" s="79" t="s">
        <v>17</v>
      </c>
      <c r="E352" s="79">
        <v>41928</v>
      </c>
      <c r="F352" s="82" t="s">
        <v>6</v>
      </c>
      <c r="G352" s="273"/>
      <c r="H352" s="129" t="s">
        <v>89</v>
      </c>
      <c r="I352" s="80">
        <v>323824160</v>
      </c>
      <c r="J352" s="81" t="s">
        <v>18</v>
      </c>
      <c r="K352" s="81" t="s">
        <v>54</v>
      </c>
      <c r="L352" s="140" t="str">
        <f>IF(AND('331-CT'!$E$7=TH!H352,OR(J352="331",K352="331")),"x","")</f>
        <v/>
      </c>
    </row>
    <row r="353" spans="1:12" s="115" customFormat="1">
      <c r="A353" s="78">
        <f t="shared" si="15"/>
        <v>2014</v>
      </c>
      <c r="B353" s="78">
        <f t="shared" si="16"/>
        <v>10</v>
      </c>
      <c r="C353" s="79">
        <v>41928</v>
      </c>
      <c r="D353" s="79" t="s">
        <v>17</v>
      </c>
      <c r="E353" s="79">
        <v>41928</v>
      </c>
      <c r="F353" s="82" t="s">
        <v>34</v>
      </c>
      <c r="G353" s="273"/>
      <c r="H353" s="9"/>
      <c r="I353" s="80">
        <v>97147</v>
      </c>
      <c r="J353" s="81" t="s">
        <v>242</v>
      </c>
      <c r="K353" s="81" t="s">
        <v>54</v>
      </c>
      <c r="L353" s="140" t="str">
        <f>IF(AND('331-CT'!$E$7=TH!H353,OR(J353="331",K353="331")),"x","")</f>
        <v/>
      </c>
    </row>
    <row r="354" spans="1:12" s="115" customFormat="1">
      <c r="A354" s="78">
        <f t="shared" si="15"/>
        <v>2014</v>
      </c>
      <c r="B354" s="78">
        <f t="shared" si="16"/>
        <v>10</v>
      </c>
      <c r="C354" s="79">
        <v>41928</v>
      </c>
      <c r="D354" s="79" t="s">
        <v>17</v>
      </c>
      <c r="E354" s="79">
        <v>41928</v>
      </c>
      <c r="F354" s="82" t="s">
        <v>35</v>
      </c>
      <c r="G354" s="273"/>
      <c r="H354" s="128"/>
      <c r="I354" s="80">
        <v>9715</v>
      </c>
      <c r="J354" s="81" t="s">
        <v>19</v>
      </c>
      <c r="K354" s="81" t="s">
        <v>54</v>
      </c>
      <c r="L354" s="140" t="str">
        <f>IF(AND('331-CT'!$E$7=TH!H354,OR(J354="331",K354="331")),"x","")</f>
        <v/>
      </c>
    </row>
    <row r="355" spans="1:12" s="115" customFormat="1">
      <c r="A355" s="78">
        <f t="shared" si="15"/>
        <v>2014</v>
      </c>
      <c r="B355" s="78">
        <f t="shared" si="16"/>
        <v>10</v>
      </c>
      <c r="C355" s="79">
        <v>41929</v>
      </c>
      <c r="D355" s="79" t="s">
        <v>167</v>
      </c>
      <c r="E355" s="79">
        <v>41929</v>
      </c>
      <c r="F355" s="82" t="s">
        <v>591</v>
      </c>
      <c r="G355" s="273"/>
      <c r="H355" s="128" t="s">
        <v>267</v>
      </c>
      <c r="I355" s="80">
        <v>25000000</v>
      </c>
      <c r="J355" s="81" t="s">
        <v>39</v>
      </c>
      <c r="K355" s="81" t="s">
        <v>203</v>
      </c>
      <c r="L355" s="140" t="str">
        <f>IF(AND('331-CT'!$E$7=TH!H355,OR(J355="331",K355="331")),"x","")</f>
        <v/>
      </c>
    </row>
    <row r="356" spans="1:12" s="115" customFormat="1">
      <c r="A356" s="78">
        <f t="shared" si="15"/>
        <v>2014</v>
      </c>
      <c r="B356" s="78">
        <f t="shared" si="16"/>
        <v>10</v>
      </c>
      <c r="C356" s="79">
        <v>41929</v>
      </c>
      <c r="D356" s="79" t="s">
        <v>21</v>
      </c>
      <c r="E356" s="79">
        <v>41929</v>
      </c>
      <c r="F356" s="82" t="s">
        <v>45</v>
      </c>
      <c r="G356" s="273"/>
      <c r="H356" s="128" t="s">
        <v>267</v>
      </c>
      <c r="I356" s="80">
        <v>25000000</v>
      </c>
      <c r="J356" s="81" t="s">
        <v>54</v>
      </c>
      <c r="K356" s="81" t="s">
        <v>39</v>
      </c>
      <c r="L356" s="140" t="str">
        <f>IF(AND('331-CT'!$E$7=TH!H356,OR(J356="331",K356="331")),"x","")</f>
        <v/>
      </c>
    </row>
    <row r="357" spans="1:12" s="115" customFormat="1">
      <c r="A357" s="78">
        <f t="shared" si="15"/>
        <v>2014</v>
      </c>
      <c r="B357" s="78">
        <f t="shared" si="16"/>
        <v>10</v>
      </c>
      <c r="C357" s="79">
        <v>41932</v>
      </c>
      <c r="D357" s="79" t="s">
        <v>17</v>
      </c>
      <c r="E357" s="79">
        <v>41932</v>
      </c>
      <c r="F357" s="82" t="s">
        <v>119</v>
      </c>
      <c r="G357" s="273"/>
      <c r="H357" s="128" t="s">
        <v>314</v>
      </c>
      <c r="I357" s="80">
        <v>8333333</v>
      </c>
      <c r="J357" s="81" t="s">
        <v>240</v>
      </c>
      <c r="K357" s="81" t="s">
        <v>54</v>
      </c>
      <c r="L357" s="140" t="str">
        <f>IF(AND('331-CT'!$E$7=TH!H357,OR(J357="331",K357="331")),"x","")</f>
        <v/>
      </c>
    </row>
    <row r="358" spans="1:12" s="115" customFormat="1">
      <c r="A358" s="78">
        <f t="shared" si="15"/>
        <v>2014</v>
      </c>
      <c r="B358" s="78">
        <f t="shared" si="16"/>
        <v>10</v>
      </c>
      <c r="C358" s="79">
        <v>41933</v>
      </c>
      <c r="D358" s="79" t="s">
        <v>78</v>
      </c>
      <c r="E358" s="79">
        <v>41933</v>
      </c>
      <c r="F358" s="82" t="s">
        <v>122</v>
      </c>
      <c r="G358" s="273" t="s">
        <v>582</v>
      </c>
      <c r="H358" s="128" t="s">
        <v>91</v>
      </c>
      <c r="I358" s="80">
        <v>262727273</v>
      </c>
      <c r="J358" s="81" t="s">
        <v>669</v>
      </c>
      <c r="K358" s="81" t="s">
        <v>18</v>
      </c>
      <c r="L358" s="140" t="str">
        <f>IF(AND('331-CT'!$E$7=TH!H358,OR(J358="331",K358="331")),"x","")</f>
        <v/>
      </c>
    </row>
    <row r="359" spans="1:12" s="115" customFormat="1">
      <c r="A359" s="78">
        <f t="shared" si="15"/>
        <v>2014</v>
      </c>
      <c r="B359" s="78">
        <f t="shared" si="16"/>
        <v>10</v>
      </c>
      <c r="C359" s="79">
        <v>41933</v>
      </c>
      <c r="D359" s="79" t="s">
        <v>78</v>
      </c>
      <c r="E359" s="79">
        <v>41933</v>
      </c>
      <c r="F359" s="82" t="s">
        <v>123</v>
      </c>
      <c r="G359" s="273" t="s">
        <v>582</v>
      </c>
      <c r="H359" s="9" t="s">
        <v>91</v>
      </c>
      <c r="I359" s="80">
        <v>26272727</v>
      </c>
      <c r="J359" s="81" t="s">
        <v>19</v>
      </c>
      <c r="K359" s="81" t="s">
        <v>18</v>
      </c>
      <c r="L359" s="140" t="str">
        <f>IF(AND('331-CT'!$E$7=TH!H359,OR(J359="331",K359="331")),"x","")</f>
        <v/>
      </c>
    </row>
    <row r="360" spans="1:12" s="115" customFormat="1">
      <c r="A360" s="78">
        <f t="shared" si="15"/>
        <v>2014</v>
      </c>
      <c r="B360" s="78">
        <f t="shared" si="16"/>
        <v>10</v>
      </c>
      <c r="C360" s="79">
        <v>41934</v>
      </c>
      <c r="D360" s="79" t="s">
        <v>78</v>
      </c>
      <c r="E360" s="79">
        <v>41934</v>
      </c>
      <c r="F360" s="82" t="s">
        <v>124</v>
      </c>
      <c r="G360" s="273" t="s">
        <v>583</v>
      </c>
      <c r="H360" s="128" t="s">
        <v>83</v>
      </c>
      <c r="I360" s="80">
        <v>31280000</v>
      </c>
      <c r="J360" s="81" t="s">
        <v>242</v>
      </c>
      <c r="K360" s="81" t="s">
        <v>18</v>
      </c>
      <c r="L360" s="140" t="str">
        <f>IF(AND('331-CT'!$E$7=TH!H360,OR(J360="331",K360="331")),"x","")</f>
        <v/>
      </c>
    </row>
    <row r="361" spans="1:12" s="115" customFormat="1">
      <c r="A361" s="78">
        <f t="shared" si="15"/>
        <v>2014</v>
      </c>
      <c r="B361" s="78">
        <f t="shared" si="16"/>
        <v>10</v>
      </c>
      <c r="C361" s="79">
        <v>41934</v>
      </c>
      <c r="D361" s="79" t="s">
        <v>78</v>
      </c>
      <c r="E361" s="79">
        <v>41934</v>
      </c>
      <c r="F361" s="82" t="s">
        <v>84</v>
      </c>
      <c r="G361" s="273" t="s">
        <v>583</v>
      </c>
      <c r="H361" s="128" t="s">
        <v>83</v>
      </c>
      <c r="I361" s="80">
        <v>3128000</v>
      </c>
      <c r="J361" s="81" t="s">
        <v>19</v>
      </c>
      <c r="K361" s="81" t="s">
        <v>18</v>
      </c>
      <c r="L361" s="140" t="str">
        <f>IF(AND('331-CT'!$E$7=TH!H361,OR(J361="331",K361="331")),"x","")</f>
        <v/>
      </c>
    </row>
    <row r="362" spans="1:12" s="115" customFormat="1">
      <c r="A362" s="78">
        <f t="shared" si="15"/>
        <v>2014</v>
      </c>
      <c r="B362" s="78">
        <f t="shared" si="16"/>
        <v>10</v>
      </c>
      <c r="C362" s="79">
        <v>41934</v>
      </c>
      <c r="D362" s="79" t="s">
        <v>21</v>
      </c>
      <c r="E362" s="79">
        <v>41934</v>
      </c>
      <c r="F362" s="82" t="s">
        <v>127</v>
      </c>
      <c r="G362" s="273"/>
      <c r="H362" s="9" t="s">
        <v>317</v>
      </c>
      <c r="I362" s="80">
        <v>1600000000</v>
      </c>
      <c r="J362" s="81" t="s">
        <v>54</v>
      </c>
      <c r="K362" s="81" t="s">
        <v>227</v>
      </c>
      <c r="L362" s="140" t="str">
        <f>IF(AND('331-CT'!$E$7=TH!H362,OR(J362="331",K362="331")),"x","")</f>
        <v/>
      </c>
    </row>
    <row r="363" spans="1:12" s="115" customFormat="1">
      <c r="A363" s="78">
        <f t="shared" si="15"/>
        <v>2014</v>
      </c>
      <c r="B363" s="78">
        <f t="shared" si="16"/>
        <v>10</v>
      </c>
      <c r="C363" s="79">
        <v>41935</v>
      </c>
      <c r="D363" s="79" t="s">
        <v>17</v>
      </c>
      <c r="E363" s="79">
        <v>41935</v>
      </c>
      <c r="F363" s="82" t="s">
        <v>112</v>
      </c>
      <c r="G363" s="273"/>
      <c r="H363" s="128" t="s">
        <v>85</v>
      </c>
      <c r="I363" s="80">
        <v>1500000000</v>
      </c>
      <c r="J363" s="81" t="s">
        <v>18</v>
      </c>
      <c r="K363" s="81" t="s">
        <v>54</v>
      </c>
      <c r="L363" s="140" t="str">
        <f>IF(AND('331-CT'!$E$7=TH!H363,OR(J363="331",K363="331")),"x","")</f>
        <v/>
      </c>
    </row>
    <row r="364" spans="1:12" s="115" customFormat="1">
      <c r="A364" s="78">
        <f t="shared" si="15"/>
        <v>2014</v>
      </c>
      <c r="B364" s="78">
        <f t="shared" si="16"/>
        <v>10</v>
      </c>
      <c r="C364" s="79">
        <v>41935</v>
      </c>
      <c r="D364" s="79" t="s">
        <v>17</v>
      </c>
      <c r="E364" s="79">
        <v>41935</v>
      </c>
      <c r="F364" s="82" t="s">
        <v>34</v>
      </c>
      <c r="G364" s="273"/>
      <c r="H364" s="128"/>
      <c r="I364" s="80">
        <v>750000</v>
      </c>
      <c r="J364" s="81" t="s">
        <v>242</v>
      </c>
      <c r="K364" s="81" t="s">
        <v>54</v>
      </c>
      <c r="L364" s="140" t="str">
        <f>IF(AND('331-CT'!$E$7=TH!H364,OR(J364="331",K364="331")),"x","")</f>
        <v/>
      </c>
    </row>
    <row r="365" spans="1:12" s="115" customFormat="1">
      <c r="A365" s="78">
        <f t="shared" si="15"/>
        <v>2014</v>
      </c>
      <c r="B365" s="78">
        <f t="shared" si="16"/>
        <v>10</v>
      </c>
      <c r="C365" s="79">
        <v>41935</v>
      </c>
      <c r="D365" s="79" t="s">
        <v>17</v>
      </c>
      <c r="E365" s="79">
        <v>41935</v>
      </c>
      <c r="F365" s="82" t="s">
        <v>35</v>
      </c>
      <c r="G365" s="273"/>
      <c r="H365" s="9"/>
      <c r="I365" s="80">
        <v>75000</v>
      </c>
      <c r="J365" s="81" t="s">
        <v>19</v>
      </c>
      <c r="K365" s="81" t="s">
        <v>54</v>
      </c>
      <c r="L365" s="140" t="str">
        <f>IF(AND('331-CT'!$E$7=TH!H365,OR(J365="331",K365="331")),"x","")</f>
        <v/>
      </c>
    </row>
    <row r="366" spans="1:12" s="115" customFormat="1">
      <c r="A366" s="78">
        <f t="shared" si="15"/>
        <v>2014</v>
      </c>
      <c r="B366" s="78">
        <f t="shared" si="16"/>
        <v>10</v>
      </c>
      <c r="C366" s="79">
        <v>41936</v>
      </c>
      <c r="D366" s="79" t="s">
        <v>21</v>
      </c>
      <c r="E366" s="79">
        <v>41936</v>
      </c>
      <c r="F366" s="82" t="s">
        <v>98</v>
      </c>
      <c r="G366" s="273"/>
      <c r="H366" s="128"/>
      <c r="I366" s="80">
        <v>322248</v>
      </c>
      <c r="J366" s="81" t="s">
        <v>54</v>
      </c>
      <c r="K366" s="81" t="s">
        <v>99</v>
      </c>
      <c r="L366" s="140" t="str">
        <f>IF(AND('331-CT'!$E$7=TH!H366,OR(J366="331",K366="331")),"x","")</f>
        <v/>
      </c>
    </row>
    <row r="367" spans="1:12" s="115" customFormat="1">
      <c r="A367" s="78">
        <f t="shared" si="15"/>
        <v>2014</v>
      </c>
      <c r="B367" s="78">
        <f t="shared" si="16"/>
        <v>10</v>
      </c>
      <c r="C367" s="79">
        <v>41942</v>
      </c>
      <c r="D367" s="79" t="s">
        <v>17</v>
      </c>
      <c r="E367" s="79">
        <v>41942</v>
      </c>
      <c r="F367" s="82" t="s">
        <v>128</v>
      </c>
      <c r="G367" s="273"/>
      <c r="H367" s="128" t="s">
        <v>132</v>
      </c>
      <c r="I367" s="80">
        <v>30800005</v>
      </c>
      <c r="J367" s="81" t="s">
        <v>18</v>
      </c>
      <c r="K367" s="81" t="s">
        <v>54</v>
      </c>
      <c r="L367" s="140" t="str">
        <f>IF(AND('331-CT'!$E$7=TH!H367,OR(J367="331",K367="331")),"x","")</f>
        <v/>
      </c>
    </row>
    <row r="368" spans="1:12" s="115" customFormat="1">
      <c r="A368" s="78">
        <f t="shared" si="15"/>
        <v>2014</v>
      </c>
      <c r="B368" s="78">
        <f t="shared" si="16"/>
        <v>10</v>
      </c>
      <c r="C368" s="79">
        <v>41942</v>
      </c>
      <c r="D368" s="79" t="s">
        <v>17</v>
      </c>
      <c r="E368" s="79">
        <v>41942</v>
      </c>
      <c r="F368" s="82" t="s">
        <v>34</v>
      </c>
      <c r="G368" s="273"/>
      <c r="H368" s="9"/>
      <c r="I368" s="80">
        <v>25000</v>
      </c>
      <c r="J368" s="81" t="s">
        <v>242</v>
      </c>
      <c r="K368" s="81" t="s">
        <v>54</v>
      </c>
      <c r="L368" s="140" t="str">
        <f>IF(AND('331-CT'!$E$7=TH!H368,OR(J368="331",K368="331")),"x","")</f>
        <v/>
      </c>
    </row>
    <row r="369" spans="1:12" s="115" customFormat="1">
      <c r="A369" s="78">
        <f t="shared" si="15"/>
        <v>2014</v>
      </c>
      <c r="B369" s="78">
        <f t="shared" si="16"/>
        <v>10</v>
      </c>
      <c r="C369" s="79">
        <v>41942</v>
      </c>
      <c r="D369" s="79" t="s">
        <v>17</v>
      </c>
      <c r="E369" s="79">
        <v>41942</v>
      </c>
      <c r="F369" s="82" t="s">
        <v>35</v>
      </c>
      <c r="G369" s="273"/>
      <c r="H369" s="128"/>
      <c r="I369" s="80">
        <v>2500</v>
      </c>
      <c r="J369" s="81" t="s">
        <v>19</v>
      </c>
      <c r="K369" s="81" t="s">
        <v>54</v>
      </c>
      <c r="L369" s="140" t="str">
        <f>IF(AND('331-CT'!$E$7=TH!H369,OR(J369="331",K369="331")),"x","")</f>
        <v/>
      </c>
    </row>
    <row r="370" spans="1:12" s="115" customFormat="1">
      <c r="A370" s="78">
        <f t="shared" si="15"/>
        <v>2014</v>
      </c>
      <c r="B370" s="78">
        <f t="shared" si="16"/>
        <v>10</v>
      </c>
      <c r="C370" s="79">
        <v>41942</v>
      </c>
      <c r="D370" s="79" t="s">
        <v>17</v>
      </c>
      <c r="E370" s="79">
        <v>41942</v>
      </c>
      <c r="F370" s="82" t="s">
        <v>5</v>
      </c>
      <c r="G370" s="273"/>
      <c r="H370" s="129" t="s">
        <v>91</v>
      </c>
      <c r="I370" s="80">
        <v>49000000</v>
      </c>
      <c r="J370" s="81" t="s">
        <v>18</v>
      </c>
      <c r="K370" s="81" t="s">
        <v>54</v>
      </c>
      <c r="L370" s="140" t="str">
        <f>IF(AND('331-CT'!$E$7=TH!H370,OR(J370="331",K370="331")),"x","")</f>
        <v/>
      </c>
    </row>
    <row r="371" spans="1:12" s="115" customFormat="1">
      <c r="A371" s="78">
        <f t="shared" si="15"/>
        <v>2014</v>
      </c>
      <c r="B371" s="78">
        <f t="shared" si="16"/>
        <v>10</v>
      </c>
      <c r="C371" s="79">
        <v>41942</v>
      </c>
      <c r="D371" s="79" t="s">
        <v>17</v>
      </c>
      <c r="E371" s="79">
        <v>41942</v>
      </c>
      <c r="F371" s="82" t="s">
        <v>34</v>
      </c>
      <c r="G371" s="273"/>
      <c r="H371" s="128"/>
      <c r="I371" s="80">
        <v>25000</v>
      </c>
      <c r="J371" s="81" t="s">
        <v>242</v>
      </c>
      <c r="K371" s="81" t="s">
        <v>54</v>
      </c>
      <c r="L371" s="140" t="str">
        <f>IF(AND('331-CT'!$E$7=TH!H371,OR(J371="331",K371="331")),"x","")</f>
        <v/>
      </c>
    </row>
    <row r="372" spans="1:12" s="115" customFormat="1">
      <c r="A372" s="78">
        <f t="shared" si="15"/>
        <v>2014</v>
      </c>
      <c r="B372" s="78">
        <f t="shared" si="16"/>
        <v>10</v>
      </c>
      <c r="C372" s="79">
        <v>41942</v>
      </c>
      <c r="D372" s="79" t="s">
        <v>17</v>
      </c>
      <c r="E372" s="79">
        <v>41942</v>
      </c>
      <c r="F372" s="82" t="s">
        <v>35</v>
      </c>
      <c r="G372" s="273"/>
      <c r="H372" s="128"/>
      <c r="I372" s="80">
        <v>2500</v>
      </c>
      <c r="J372" s="81" t="s">
        <v>19</v>
      </c>
      <c r="K372" s="81" t="s">
        <v>54</v>
      </c>
      <c r="L372" s="140" t="str">
        <f>IF(AND('331-CT'!$E$7=TH!H372,OR(J372="331",K372="331")),"x","")</f>
        <v/>
      </c>
    </row>
    <row r="373" spans="1:12" s="115" customFormat="1">
      <c r="A373" s="78">
        <f t="shared" si="15"/>
        <v>2014</v>
      </c>
      <c r="B373" s="78">
        <f t="shared" si="16"/>
        <v>10</v>
      </c>
      <c r="C373" s="79">
        <v>41942</v>
      </c>
      <c r="D373" s="79" t="s">
        <v>17</v>
      </c>
      <c r="E373" s="79">
        <v>41942</v>
      </c>
      <c r="F373" s="82" t="s">
        <v>113</v>
      </c>
      <c r="G373" s="273"/>
      <c r="H373" s="129" t="s">
        <v>111</v>
      </c>
      <c r="I373" s="80">
        <v>500000000</v>
      </c>
      <c r="J373" s="81" t="s">
        <v>18</v>
      </c>
      <c r="K373" s="81" t="s">
        <v>54</v>
      </c>
      <c r="L373" s="140" t="str">
        <f>IF(AND('331-CT'!$E$7=TH!H373,OR(J373="331",K373="331")),"x","")</f>
        <v/>
      </c>
    </row>
    <row r="374" spans="1:12" s="115" customFormat="1">
      <c r="A374" s="78">
        <f t="shared" si="15"/>
        <v>2014</v>
      </c>
      <c r="B374" s="78">
        <f t="shared" si="16"/>
        <v>10</v>
      </c>
      <c r="C374" s="79">
        <v>41942</v>
      </c>
      <c r="D374" s="79" t="s">
        <v>17</v>
      </c>
      <c r="E374" s="79">
        <v>41942</v>
      </c>
      <c r="F374" s="82" t="s">
        <v>34</v>
      </c>
      <c r="G374" s="273"/>
      <c r="H374" s="128"/>
      <c r="I374" s="80">
        <v>150000</v>
      </c>
      <c r="J374" s="81" t="s">
        <v>242</v>
      </c>
      <c r="K374" s="81" t="s">
        <v>54</v>
      </c>
      <c r="L374" s="140" t="str">
        <f>IF(AND('331-CT'!$E$7=TH!H374,OR(J374="331",K374="331")),"x","")</f>
        <v/>
      </c>
    </row>
    <row r="375" spans="1:12" s="115" customFormat="1">
      <c r="A375" s="78">
        <f t="shared" si="15"/>
        <v>2014</v>
      </c>
      <c r="B375" s="78">
        <f t="shared" si="16"/>
        <v>10</v>
      </c>
      <c r="C375" s="79">
        <v>41942</v>
      </c>
      <c r="D375" s="79" t="s">
        <v>17</v>
      </c>
      <c r="E375" s="79">
        <v>41942</v>
      </c>
      <c r="F375" s="99" t="s">
        <v>35</v>
      </c>
      <c r="G375" s="273"/>
      <c r="H375" s="128"/>
      <c r="I375" s="80">
        <v>15000</v>
      </c>
      <c r="J375" s="81" t="s">
        <v>19</v>
      </c>
      <c r="K375" s="81" t="s">
        <v>54</v>
      </c>
      <c r="L375" s="140" t="str">
        <f>IF(AND('331-CT'!$E$7=TH!H375,OR(J375="331",K375="331")),"x","")</f>
        <v/>
      </c>
    </row>
    <row r="376" spans="1:12" s="115" customFormat="1">
      <c r="A376" s="78">
        <f t="shared" si="15"/>
        <v>2014</v>
      </c>
      <c r="B376" s="78">
        <f t="shared" si="16"/>
        <v>10</v>
      </c>
      <c r="C376" s="79">
        <v>41943</v>
      </c>
      <c r="D376" s="79" t="s">
        <v>78</v>
      </c>
      <c r="E376" s="79">
        <v>41943</v>
      </c>
      <c r="F376" s="82" t="s">
        <v>136</v>
      </c>
      <c r="G376" s="273" t="s">
        <v>584</v>
      </c>
      <c r="H376" s="130" t="s">
        <v>129</v>
      </c>
      <c r="I376" s="80">
        <v>14842908</v>
      </c>
      <c r="J376" s="81" t="s">
        <v>669</v>
      </c>
      <c r="K376" s="81" t="s">
        <v>18</v>
      </c>
      <c r="L376" s="140" t="str">
        <f>IF(AND('331-CT'!$E$7=TH!H376,OR(J376="331",K376="331")),"x","")</f>
        <v/>
      </c>
    </row>
    <row r="377" spans="1:12" s="115" customFormat="1">
      <c r="A377" s="78">
        <f t="shared" si="15"/>
        <v>2014</v>
      </c>
      <c r="B377" s="78">
        <f t="shared" si="16"/>
        <v>10</v>
      </c>
      <c r="C377" s="79">
        <v>41943</v>
      </c>
      <c r="D377" s="79" t="s">
        <v>78</v>
      </c>
      <c r="E377" s="79">
        <v>41943</v>
      </c>
      <c r="F377" s="82" t="s">
        <v>137</v>
      </c>
      <c r="G377" s="273" t="s">
        <v>584</v>
      </c>
      <c r="H377" s="130" t="s">
        <v>129</v>
      </c>
      <c r="I377" s="80">
        <v>1484291</v>
      </c>
      <c r="J377" s="81" t="s">
        <v>19</v>
      </c>
      <c r="K377" s="81" t="s">
        <v>18</v>
      </c>
      <c r="L377" s="140" t="str">
        <f>IF(AND('331-CT'!$E$7=TH!H377,OR(J377="331",K377="331")),"x","")</f>
        <v/>
      </c>
    </row>
    <row r="378" spans="1:12" s="115" customFormat="1">
      <c r="A378" s="78">
        <f t="shared" si="15"/>
        <v>2014</v>
      </c>
      <c r="B378" s="78">
        <f t="shared" si="16"/>
        <v>11</v>
      </c>
      <c r="C378" s="79">
        <v>41949</v>
      </c>
      <c r="D378" s="79" t="s">
        <v>168</v>
      </c>
      <c r="E378" s="79">
        <v>41949</v>
      </c>
      <c r="F378" s="82" t="s">
        <v>155</v>
      </c>
      <c r="G378" s="273" t="s">
        <v>535</v>
      </c>
      <c r="H378" s="130" t="s">
        <v>537</v>
      </c>
      <c r="I378" s="80">
        <v>2160000</v>
      </c>
      <c r="J378" s="81" t="s">
        <v>242</v>
      </c>
      <c r="K378" s="81" t="s">
        <v>203</v>
      </c>
      <c r="L378" s="140" t="str">
        <f>IF(AND('331-CT'!$E$7=TH!H378,OR(J378="331",K378="331")),"x","")</f>
        <v/>
      </c>
    </row>
    <row r="379" spans="1:12" s="115" customFormat="1">
      <c r="A379" s="78">
        <f t="shared" si="15"/>
        <v>2014</v>
      </c>
      <c r="B379" s="78">
        <f t="shared" si="16"/>
        <v>11</v>
      </c>
      <c r="C379" s="79">
        <v>41949</v>
      </c>
      <c r="D379" s="79" t="s">
        <v>168</v>
      </c>
      <c r="E379" s="79">
        <v>41949</v>
      </c>
      <c r="F379" s="82" t="s">
        <v>156</v>
      </c>
      <c r="G379" s="273" t="s">
        <v>535</v>
      </c>
      <c r="H379" s="130" t="s">
        <v>537</v>
      </c>
      <c r="I379" s="80">
        <v>216000</v>
      </c>
      <c r="J379" s="81" t="s">
        <v>19</v>
      </c>
      <c r="K379" s="81" t="s">
        <v>203</v>
      </c>
      <c r="L379" s="140" t="str">
        <f>IF(AND('331-CT'!$E$7=TH!H379,OR(J379="331",K379="331")),"x","")</f>
        <v/>
      </c>
    </row>
    <row r="380" spans="1:12" s="115" customFormat="1">
      <c r="A380" s="78">
        <f t="shared" si="15"/>
        <v>2014</v>
      </c>
      <c r="B380" s="78">
        <f t="shared" si="16"/>
        <v>11</v>
      </c>
      <c r="C380" s="79">
        <v>41963</v>
      </c>
      <c r="D380" s="79" t="s">
        <v>169</v>
      </c>
      <c r="E380" s="79">
        <v>41963</v>
      </c>
      <c r="F380" s="82" t="s">
        <v>591</v>
      </c>
      <c r="G380" s="273"/>
      <c r="H380" s="130" t="s">
        <v>267</v>
      </c>
      <c r="I380" s="80">
        <v>40500000</v>
      </c>
      <c r="J380" s="142" t="s">
        <v>39</v>
      </c>
      <c r="K380" s="142" t="s">
        <v>203</v>
      </c>
      <c r="L380" s="140" t="str">
        <f>IF(AND('331-CT'!$E$7=TH!H380,OR(J380="331",K380="331")),"x","")</f>
        <v/>
      </c>
    </row>
    <row r="381" spans="1:12" s="115" customFormat="1">
      <c r="A381" s="78">
        <f t="shared" si="15"/>
        <v>2014</v>
      </c>
      <c r="B381" s="78">
        <f t="shared" si="16"/>
        <v>11</v>
      </c>
      <c r="C381" s="79">
        <v>41963</v>
      </c>
      <c r="D381" s="79" t="s">
        <v>21</v>
      </c>
      <c r="E381" s="79">
        <v>41963</v>
      </c>
      <c r="F381" s="82" t="s">
        <v>45</v>
      </c>
      <c r="G381" s="273"/>
      <c r="H381" s="130" t="s">
        <v>267</v>
      </c>
      <c r="I381" s="80">
        <v>40500000</v>
      </c>
      <c r="J381" s="142" t="s">
        <v>54</v>
      </c>
      <c r="K381" s="142" t="s">
        <v>39</v>
      </c>
      <c r="L381" s="140" t="str">
        <f>IF(AND('331-CT'!$E$7=TH!H381,OR(J381="331",K381="331")),"x","")</f>
        <v/>
      </c>
    </row>
    <row r="382" spans="1:12" s="115" customFormat="1">
      <c r="A382" s="78">
        <f t="shared" si="15"/>
        <v>2014</v>
      </c>
      <c r="B382" s="78">
        <f t="shared" si="16"/>
        <v>11</v>
      </c>
      <c r="C382" s="79">
        <v>41963</v>
      </c>
      <c r="D382" s="79" t="s">
        <v>17</v>
      </c>
      <c r="E382" s="79">
        <v>41963</v>
      </c>
      <c r="F382" s="82" t="s">
        <v>140</v>
      </c>
      <c r="G382" s="273"/>
      <c r="H382" s="128" t="s">
        <v>314</v>
      </c>
      <c r="I382" s="80">
        <v>8614699</v>
      </c>
      <c r="J382" s="81" t="s">
        <v>240</v>
      </c>
      <c r="K382" s="81" t="s">
        <v>54</v>
      </c>
      <c r="L382" s="140" t="str">
        <f>IF(AND('331-CT'!$E$7=TH!H382,OR(J382="331",K382="331")),"x","")</f>
        <v/>
      </c>
    </row>
    <row r="383" spans="1:12" s="115" customFormat="1">
      <c r="A383" s="78">
        <f t="shared" si="15"/>
        <v>2014</v>
      </c>
      <c r="B383" s="78">
        <f t="shared" si="16"/>
        <v>11</v>
      </c>
      <c r="C383" s="79">
        <v>41963</v>
      </c>
      <c r="D383" s="79" t="s">
        <v>17</v>
      </c>
      <c r="E383" s="79">
        <v>41963</v>
      </c>
      <c r="F383" s="82" t="s">
        <v>141</v>
      </c>
      <c r="G383" s="273"/>
      <c r="H383" s="128" t="s">
        <v>315</v>
      </c>
      <c r="I383" s="80">
        <v>31679861</v>
      </c>
      <c r="J383" s="81" t="s">
        <v>240</v>
      </c>
      <c r="K383" s="81" t="s">
        <v>54</v>
      </c>
      <c r="L383" s="140" t="str">
        <f>IF(AND('331-CT'!$E$7=TH!H383,OR(J383="331",K383="331")),"x","")</f>
        <v/>
      </c>
    </row>
    <row r="384" spans="1:12" s="115" customFormat="1">
      <c r="A384" s="78">
        <f t="shared" si="15"/>
        <v>2014</v>
      </c>
      <c r="B384" s="78">
        <f t="shared" si="16"/>
        <v>11</v>
      </c>
      <c r="C384" s="79">
        <v>41963</v>
      </c>
      <c r="D384" s="79" t="s">
        <v>17</v>
      </c>
      <c r="E384" s="79">
        <v>41963</v>
      </c>
      <c r="F384" s="82" t="s">
        <v>112</v>
      </c>
      <c r="G384" s="273"/>
      <c r="H384" s="128" t="s">
        <v>85</v>
      </c>
      <c r="I384" s="80">
        <v>1000000000</v>
      </c>
      <c r="J384" s="81" t="s">
        <v>18</v>
      </c>
      <c r="K384" s="81" t="s">
        <v>54</v>
      </c>
      <c r="L384" s="140" t="str">
        <f>IF(AND('331-CT'!$E$7=TH!H384,OR(J384="331",K384="331")),"x","")</f>
        <v/>
      </c>
    </row>
    <row r="385" spans="1:12" s="115" customFormat="1">
      <c r="A385" s="78">
        <f t="shared" si="15"/>
        <v>2014</v>
      </c>
      <c r="B385" s="78">
        <f t="shared" si="16"/>
        <v>11</v>
      </c>
      <c r="C385" s="79">
        <v>41963</v>
      </c>
      <c r="D385" s="79" t="s">
        <v>17</v>
      </c>
      <c r="E385" s="79">
        <v>41963</v>
      </c>
      <c r="F385" s="82" t="s">
        <v>34</v>
      </c>
      <c r="G385" s="273"/>
      <c r="H385" s="128"/>
      <c r="I385" s="80">
        <v>500000</v>
      </c>
      <c r="J385" s="81" t="s">
        <v>242</v>
      </c>
      <c r="K385" s="81" t="s">
        <v>54</v>
      </c>
      <c r="L385" s="140" t="str">
        <f>IF(AND('331-CT'!$E$7=TH!H385,OR(J385="331",K385="331")),"x","")</f>
        <v/>
      </c>
    </row>
    <row r="386" spans="1:12" s="115" customFormat="1">
      <c r="A386" s="78">
        <f t="shared" si="15"/>
        <v>2014</v>
      </c>
      <c r="B386" s="78">
        <f t="shared" si="16"/>
        <v>11</v>
      </c>
      <c r="C386" s="79">
        <v>41963</v>
      </c>
      <c r="D386" s="79" t="s">
        <v>17</v>
      </c>
      <c r="E386" s="79">
        <v>41963</v>
      </c>
      <c r="F386" s="82" t="s">
        <v>35</v>
      </c>
      <c r="G386" s="273"/>
      <c r="H386" s="128"/>
      <c r="I386" s="80">
        <v>50000</v>
      </c>
      <c r="J386" s="81" t="s">
        <v>19</v>
      </c>
      <c r="K386" s="81" t="s">
        <v>54</v>
      </c>
      <c r="L386" s="140" t="str">
        <f>IF(AND('331-CT'!$E$7=TH!H386,OR(J386="331",K386="331")),"x","")</f>
        <v/>
      </c>
    </row>
    <row r="387" spans="1:12" s="115" customFormat="1">
      <c r="A387" s="78">
        <f t="shared" si="15"/>
        <v>2014</v>
      </c>
      <c r="B387" s="78">
        <f t="shared" si="16"/>
        <v>11</v>
      </c>
      <c r="C387" s="79">
        <v>41963</v>
      </c>
      <c r="D387" s="79" t="s">
        <v>21</v>
      </c>
      <c r="E387" s="79">
        <v>41963</v>
      </c>
      <c r="F387" s="82" t="s">
        <v>139</v>
      </c>
      <c r="G387" s="273"/>
      <c r="H387" s="129" t="s">
        <v>316</v>
      </c>
      <c r="I387" s="80">
        <v>1500000000</v>
      </c>
      <c r="J387" s="81" t="s">
        <v>54</v>
      </c>
      <c r="K387" s="81" t="s">
        <v>227</v>
      </c>
      <c r="L387" s="140" t="str">
        <f>IF(AND('331-CT'!$E$7=TH!H387,OR(J387="331",K387="331")),"x","")</f>
        <v/>
      </c>
    </row>
    <row r="388" spans="1:12" s="115" customFormat="1">
      <c r="A388" s="78">
        <f t="shared" si="15"/>
        <v>2014</v>
      </c>
      <c r="B388" s="78">
        <f t="shared" si="16"/>
        <v>11</v>
      </c>
      <c r="C388" s="79">
        <v>41968</v>
      </c>
      <c r="D388" s="79" t="s">
        <v>21</v>
      </c>
      <c r="E388" s="79">
        <v>41968</v>
      </c>
      <c r="F388" s="82" t="s">
        <v>98</v>
      </c>
      <c r="G388" s="273"/>
      <c r="H388" s="128"/>
      <c r="I388" s="80">
        <v>61267</v>
      </c>
      <c r="J388" s="81" t="s">
        <v>54</v>
      </c>
      <c r="K388" s="81" t="s">
        <v>99</v>
      </c>
      <c r="L388" s="140" t="str">
        <f>IF(AND('331-CT'!$E$7=TH!H388,OR(J388="331",K388="331")),"x","")</f>
        <v/>
      </c>
    </row>
    <row r="389" spans="1:12" s="115" customFormat="1">
      <c r="A389" s="78">
        <f t="shared" si="15"/>
        <v>2014</v>
      </c>
      <c r="B389" s="78">
        <f t="shared" si="16"/>
        <v>12</v>
      </c>
      <c r="C389" s="79">
        <v>41984</v>
      </c>
      <c r="D389" s="79" t="s">
        <v>17</v>
      </c>
      <c r="E389" s="79">
        <v>41984</v>
      </c>
      <c r="F389" s="82" t="s">
        <v>112</v>
      </c>
      <c r="G389" s="273"/>
      <c r="H389" s="128" t="s">
        <v>85</v>
      </c>
      <c r="I389" s="80">
        <v>1000000000</v>
      </c>
      <c r="J389" s="81" t="s">
        <v>18</v>
      </c>
      <c r="K389" s="81" t="s">
        <v>54</v>
      </c>
      <c r="L389" s="140" t="str">
        <f>IF(AND('331-CT'!$E$7=TH!H389,OR(J389="331",K389="331")),"x","")</f>
        <v/>
      </c>
    </row>
    <row r="390" spans="1:12" s="115" customFormat="1">
      <c r="A390" s="78">
        <f t="shared" si="15"/>
        <v>2014</v>
      </c>
      <c r="B390" s="78">
        <f t="shared" si="16"/>
        <v>12</v>
      </c>
      <c r="C390" s="79">
        <v>41984</v>
      </c>
      <c r="D390" s="79" t="s">
        <v>21</v>
      </c>
      <c r="E390" s="79">
        <v>41984</v>
      </c>
      <c r="F390" s="82" t="s">
        <v>142</v>
      </c>
      <c r="G390" s="273"/>
      <c r="H390" s="128" t="s">
        <v>318</v>
      </c>
      <c r="I390" s="80">
        <v>1000000000</v>
      </c>
      <c r="J390" s="81" t="s">
        <v>54</v>
      </c>
      <c r="K390" s="81" t="s">
        <v>227</v>
      </c>
      <c r="L390" s="140" t="str">
        <f>IF(AND('331-CT'!$E$7=TH!H390,OR(J390="331",K390="331")),"x","")</f>
        <v/>
      </c>
    </row>
    <row r="391" spans="1:12" s="115" customFormat="1">
      <c r="A391" s="78">
        <f t="shared" si="15"/>
        <v>2014</v>
      </c>
      <c r="B391" s="78">
        <f t="shared" si="16"/>
        <v>12</v>
      </c>
      <c r="C391" s="79">
        <v>41993</v>
      </c>
      <c r="D391" s="79" t="s">
        <v>17</v>
      </c>
      <c r="E391" s="79">
        <v>41993</v>
      </c>
      <c r="F391" s="82" t="s">
        <v>119</v>
      </c>
      <c r="G391" s="278"/>
      <c r="H391" s="128" t="s">
        <v>314</v>
      </c>
      <c r="I391" s="80">
        <v>8336805</v>
      </c>
      <c r="J391" s="142" t="s">
        <v>240</v>
      </c>
      <c r="K391" s="81" t="s">
        <v>54</v>
      </c>
      <c r="L391" s="140" t="str">
        <f>IF(AND('331-CT'!$E$7=TH!H391,OR(J391="331",K391="331")),"x","")</f>
        <v/>
      </c>
    </row>
    <row r="392" spans="1:12" s="115" customFormat="1">
      <c r="A392" s="78">
        <f t="shared" si="15"/>
        <v>2014</v>
      </c>
      <c r="B392" s="78">
        <f t="shared" si="16"/>
        <v>12</v>
      </c>
      <c r="C392" s="79">
        <v>41993</v>
      </c>
      <c r="D392" s="79" t="s">
        <v>17</v>
      </c>
      <c r="E392" s="79">
        <v>41993</v>
      </c>
      <c r="F392" s="82" t="s">
        <v>141</v>
      </c>
      <c r="G392" s="278"/>
      <c r="H392" s="128" t="s">
        <v>315</v>
      </c>
      <c r="I392" s="80">
        <v>16673611</v>
      </c>
      <c r="J392" s="142" t="s">
        <v>240</v>
      </c>
      <c r="K392" s="81" t="s">
        <v>54</v>
      </c>
      <c r="L392" s="140" t="str">
        <f>IF(AND('331-CT'!$E$7=TH!H392,OR(J392="331",K392="331")),"x","")</f>
        <v/>
      </c>
    </row>
    <row r="393" spans="1:12" s="115" customFormat="1">
      <c r="A393" s="78">
        <f t="shared" si="15"/>
        <v>2014</v>
      </c>
      <c r="B393" s="78">
        <f t="shared" si="16"/>
        <v>12</v>
      </c>
      <c r="C393" s="79">
        <v>41993</v>
      </c>
      <c r="D393" s="79" t="s">
        <v>17</v>
      </c>
      <c r="E393" s="79">
        <v>41993</v>
      </c>
      <c r="F393" s="82" t="s">
        <v>143</v>
      </c>
      <c r="G393" s="273"/>
      <c r="H393" s="9" t="s">
        <v>317</v>
      </c>
      <c r="I393" s="80">
        <v>25788519</v>
      </c>
      <c r="J393" s="81" t="s">
        <v>240</v>
      </c>
      <c r="K393" s="81" t="s">
        <v>54</v>
      </c>
      <c r="L393" s="140" t="str">
        <f>IF(AND('331-CT'!$E$7=TH!H393,OR(J393="331",K393="331")),"x","")</f>
        <v/>
      </c>
    </row>
    <row r="394" spans="1:12" s="115" customFormat="1">
      <c r="A394" s="78">
        <f t="shared" si="15"/>
        <v>2014</v>
      </c>
      <c r="B394" s="78">
        <f t="shared" si="16"/>
        <v>12</v>
      </c>
      <c r="C394" s="79">
        <v>41993</v>
      </c>
      <c r="D394" s="79" t="s">
        <v>170</v>
      </c>
      <c r="E394" s="79">
        <v>41993</v>
      </c>
      <c r="F394" s="82" t="s">
        <v>590</v>
      </c>
      <c r="G394" s="273"/>
      <c r="H394" s="128" t="s">
        <v>272</v>
      </c>
      <c r="I394" s="80">
        <v>51000000</v>
      </c>
      <c r="J394" s="81" t="s">
        <v>54</v>
      </c>
      <c r="K394" s="81" t="s">
        <v>203</v>
      </c>
      <c r="L394" s="140" t="str">
        <f>IF(AND('331-CT'!$E$7=TH!H394,OR(J394="331",K394="331")),"x","")</f>
        <v/>
      </c>
    </row>
    <row r="395" spans="1:12" s="115" customFormat="1">
      <c r="A395" s="78">
        <f t="shared" si="15"/>
        <v>2014</v>
      </c>
      <c r="B395" s="78">
        <f t="shared" si="16"/>
        <v>12</v>
      </c>
      <c r="C395" s="79">
        <v>41996</v>
      </c>
      <c r="D395" s="79" t="s">
        <v>17</v>
      </c>
      <c r="E395" s="79">
        <v>41996</v>
      </c>
      <c r="F395" s="82" t="s">
        <v>49</v>
      </c>
      <c r="G395" s="273"/>
      <c r="H395" s="128"/>
      <c r="I395" s="80">
        <v>50000</v>
      </c>
      <c r="J395" s="81" t="s">
        <v>242</v>
      </c>
      <c r="K395" s="81" t="s">
        <v>54</v>
      </c>
      <c r="L395" s="140" t="str">
        <f>IF(AND('331-CT'!$E$7=TH!H395,OR(J395="331",K395="331")),"x","")</f>
        <v/>
      </c>
    </row>
    <row r="396" spans="1:12" s="115" customFormat="1">
      <c r="A396" s="78">
        <f t="shared" ref="A396:A404" si="17">IF(C396&lt;&gt;"",YEAR(C396),"")</f>
        <v>2014</v>
      </c>
      <c r="B396" s="78">
        <f t="shared" ref="B396:B404" si="18">IF(C396&lt;&gt;"",MONTH(C396),"")</f>
        <v>12</v>
      </c>
      <c r="C396" s="79">
        <v>41996</v>
      </c>
      <c r="D396" s="79" t="s">
        <v>17</v>
      </c>
      <c r="E396" s="79">
        <v>41996</v>
      </c>
      <c r="F396" s="82" t="s">
        <v>44</v>
      </c>
      <c r="G396" s="273"/>
      <c r="H396" s="9"/>
      <c r="I396" s="80">
        <v>5000</v>
      </c>
      <c r="J396" s="81" t="s">
        <v>19</v>
      </c>
      <c r="K396" s="81" t="s">
        <v>54</v>
      </c>
      <c r="L396" s="140" t="str">
        <f>IF(AND('331-CT'!$E$7=TH!H396,OR(J396="331",K396="331")),"x","")</f>
        <v/>
      </c>
    </row>
    <row r="397" spans="1:12" s="115" customFormat="1">
      <c r="A397" s="78">
        <f t="shared" si="17"/>
        <v>2014</v>
      </c>
      <c r="B397" s="78">
        <f t="shared" si="18"/>
        <v>12</v>
      </c>
      <c r="C397" s="79">
        <v>41996</v>
      </c>
      <c r="D397" s="79" t="s">
        <v>17</v>
      </c>
      <c r="E397" s="79">
        <v>41996</v>
      </c>
      <c r="F397" s="82" t="s">
        <v>48</v>
      </c>
      <c r="G397" s="273"/>
      <c r="H397" s="128"/>
      <c r="I397" s="80">
        <v>50000</v>
      </c>
      <c r="J397" s="81" t="s">
        <v>242</v>
      </c>
      <c r="K397" s="81" t="s">
        <v>54</v>
      </c>
      <c r="L397" s="140" t="str">
        <f>IF(AND('331-CT'!$E$7=TH!H397,OR(J397="331",K397="331")),"x","")</f>
        <v/>
      </c>
    </row>
    <row r="398" spans="1:12" s="115" customFormat="1">
      <c r="A398" s="78">
        <f t="shared" si="17"/>
        <v>2014</v>
      </c>
      <c r="B398" s="78">
        <f t="shared" si="18"/>
        <v>12</v>
      </c>
      <c r="C398" s="79">
        <v>41996</v>
      </c>
      <c r="D398" s="79" t="s">
        <v>17</v>
      </c>
      <c r="E398" s="79">
        <v>41996</v>
      </c>
      <c r="F398" s="82" t="s">
        <v>44</v>
      </c>
      <c r="G398" s="273"/>
      <c r="H398" s="128"/>
      <c r="I398" s="80">
        <v>5000</v>
      </c>
      <c r="J398" s="81" t="s">
        <v>19</v>
      </c>
      <c r="K398" s="81" t="s">
        <v>54</v>
      </c>
      <c r="L398" s="140" t="str">
        <f>IF(AND('331-CT'!$E$7=TH!H398,OR(J398="331",K398="331")),"x","")</f>
        <v/>
      </c>
    </row>
    <row r="399" spans="1:12" s="115" customFormat="1">
      <c r="A399" s="78">
        <f t="shared" si="17"/>
        <v>2014</v>
      </c>
      <c r="B399" s="78">
        <f t="shared" si="18"/>
        <v>12</v>
      </c>
      <c r="C399" s="79">
        <v>41996</v>
      </c>
      <c r="D399" s="79" t="s">
        <v>17</v>
      </c>
      <c r="E399" s="79">
        <v>41996</v>
      </c>
      <c r="F399" s="82" t="s">
        <v>47</v>
      </c>
      <c r="G399" s="278"/>
      <c r="H399" s="128"/>
      <c r="I399" s="80">
        <v>50000</v>
      </c>
      <c r="J399" s="81" t="s">
        <v>242</v>
      </c>
      <c r="K399" s="81" t="s">
        <v>54</v>
      </c>
      <c r="L399" s="140" t="str">
        <f>IF(AND('331-CT'!$E$7=TH!H399,OR(J399="331",K399="331")),"x","")</f>
        <v/>
      </c>
    </row>
    <row r="400" spans="1:12" s="115" customFormat="1">
      <c r="A400" s="78">
        <f t="shared" si="17"/>
        <v>2014</v>
      </c>
      <c r="B400" s="78">
        <f t="shared" si="18"/>
        <v>12</v>
      </c>
      <c r="C400" s="79">
        <v>41996</v>
      </c>
      <c r="D400" s="79" t="s">
        <v>17</v>
      </c>
      <c r="E400" s="79">
        <v>41996</v>
      </c>
      <c r="F400" s="82" t="s">
        <v>44</v>
      </c>
      <c r="G400" s="278"/>
      <c r="H400" s="128"/>
      <c r="I400" s="80">
        <v>5000</v>
      </c>
      <c r="J400" s="81" t="s">
        <v>19</v>
      </c>
      <c r="K400" s="81" t="s">
        <v>54</v>
      </c>
      <c r="L400" s="140" t="str">
        <f>IF(AND('331-CT'!$E$7=TH!H400,OR(J400="331",K400="331")),"x","")</f>
        <v/>
      </c>
    </row>
    <row r="401" spans="1:12" s="115" customFormat="1">
      <c r="A401" s="78">
        <f t="shared" si="17"/>
        <v>2014</v>
      </c>
      <c r="B401" s="78">
        <f t="shared" si="18"/>
        <v>12</v>
      </c>
      <c r="C401" s="79">
        <v>41998</v>
      </c>
      <c r="D401" s="79" t="s">
        <v>21</v>
      </c>
      <c r="E401" s="79">
        <v>41998</v>
      </c>
      <c r="F401" s="82" t="s">
        <v>98</v>
      </c>
      <c r="G401" s="278"/>
      <c r="H401" s="128"/>
      <c r="I401" s="80">
        <v>125079</v>
      </c>
      <c r="J401" s="81" t="s">
        <v>54</v>
      </c>
      <c r="K401" s="81" t="s">
        <v>99</v>
      </c>
      <c r="L401" s="140" t="str">
        <f>IF(AND('331-CT'!$E$7=TH!H401,OR(J401="331",K401="331")),"x","")</f>
        <v/>
      </c>
    </row>
    <row r="402" spans="1:12" s="115" customFormat="1">
      <c r="A402" s="78">
        <f t="shared" si="17"/>
        <v>2014</v>
      </c>
      <c r="B402" s="78">
        <f t="shared" si="18"/>
        <v>12</v>
      </c>
      <c r="C402" s="79">
        <v>42003</v>
      </c>
      <c r="D402" s="79" t="s">
        <v>171</v>
      </c>
      <c r="E402" s="79">
        <v>42003</v>
      </c>
      <c r="F402" s="82" t="s">
        <v>590</v>
      </c>
      <c r="G402" s="278"/>
      <c r="H402" s="128" t="s">
        <v>272</v>
      </c>
      <c r="I402" s="80">
        <v>1000000</v>
      </c>
      <c r="J402" s="81" t="s">
        <v>54</v>
      </c>
      <c r="K402" s="81" t="s">
        <v>203</v>
      </c>
      <c r="L402" s="140" t="str">
        <f>IF(AND('331-CT'!$E$7=TH!H402,OR(J402="331",K402="331")),"x","")</f>
        <v/>
      </c>
    </row>
    <row r="403" spans="1:12" s="115" customFormat="1">
      <c r="A403" s="78">
        <f t="shared" si="17"/>
        <v>2014</v>
      </c>
      <c r="B403" s="78">
        <f t="shared" si="18"/>
        <v>12</v>
      </c>
      <c r="C403" s="79">
        <v>42004</v>
      </c>
      <c r="D403" s="79" t="s">
        <v>17</v>
      </c>
      <c r="E403" s="79">
        <v>42004</v>
      </c>
      <c r="F403" s="82" t="s">
        <v>34</v>
      </c>
      <c r="G403" s="143"/>
      <c r="H403" s="9"/>
      <c r="I403" s="80">
        <v>500000</v>
      </c>
      <c r="J403" s="81" t="s">
        <v>242</v>
      </c>
      <c r="K403" s="81" t="s">
        <v>54</v>
      </c>
      <c r="L403" s="140" t="str">
        <f>IF(AND('331-CT'!$E$7=TH!H403,OR(J403="331",K403="331")),"x","")</f>
        <v/>
      </c>
    </row>
    <row r="404" spans="1:12" s="115" customFormat="1">
      <c r="A404" s="78">
        <f t="shared" si="17"/>
        <v>2014</v>
      </c>
      <c r="B404" s="78">
        <f t="shared" si="18"/>
        <v>12</v>
      </c>
      <c r="C404" s="79">
        <v>42004</v>
      </c>
      <c r="D404" s="79" t="s">
        <v>17</v>
      </c>
      <c r="E404" s="79">
        <v>42004</v>
      </c>
      <c r="F404" s="82" t="s">
        <v>35</v>
      </c>
      <c r="G404" s="143"/>
      <c r="H404" s="9"/>
      <c r="I404" s="80">
        <v>50000</v>
      </c>
      <c r="J404" s="81" t="s">
        <v>19</v>
      </c>
      <c r="K404" s="81" t="s">
        <v>54</v>
      </c>
      <c r="L404" s="140" t="str">
        <f>IF(AND('331-CT'!$E$7=TH!H404,OR(J404="331",K404="331")),"x","")</f>
        <v/>
      </c>
    </row>
    <row r="405" spans="1:12" s="115" customFormat="1">
      <c r="A405" s="78">
        <f t="shared" ref="A405:A468" si="19">IF(C405&lt;&gt;"",YEAR(C405),"")</f>
        <v>2015</v>
      </c>
      <c r="B405" s="78">
        <f t="shared" ref="B405:B468" si="20">IF(C405&lt;&gt;"",MONTH(C405),"")</f>
        <v>1</v>
      </c>
      <c r="C405" s="113">
        <f>E405</f>
        <v>42012</v>
      </c>
      <c r="D405" s="79" t="s">
        <v>17</v>
      </c>
      <c r="E405" s="79">
        <v>42012</v>
      </c>
      <c r="F405" s="82" t="s">
        <v>181</v>
      </c>
      <c r="G405" s="273"/>
      <c r="H405" s="128" t="s">
        <v>111</v>
      </c>
      <c r="I405" s="80">
        <v>500000000</v>
      </c>
      <c r="J405" s="84" t="s">
        <v>18</v>
      </c>
      <c r="K405" s="81" t="s">
        <v>54</v>
      </c>
      <c r="L405" s="140" t="str">
        <f>IF(AND('331-CT'!$E$7=TH!H405,OR(J405="331",K405="331")),"x","")</f>
        <v/>
      </c>
    </row>
    <row r="406" spans="1:12" s="115" customFormat="1">
      <c r="A406" s="78">
        <f t="shared" si="19"/>
        <v>2015</v>
      </c>
      <c r="B406" s="78">
        <f t="shared" si="20"/>
        <v>1</v>
      </c>
      <c r="C406" s="79">
        <v>42012</v>
      </c>
      <c r="D406" s="79" t="s">
        <v>17</v>
      </c>
      <c r="E406" s="79">
        <v>42012</v>
      </c>
      <c r="F406" s="82" t="s">
        <v>34</v>
      </c>
      <c r="G406" s="273"/>
      <c r="H406" s="128"/>
      <c r="I406" s="80">
        <v>150000</v>
      </c>
      <c r="J406" s="81" t="s">
        <v>242</v>
      </c>
      <c r="K406" s="81" t="s">
        <v>54</v>
      </c>
      <c r="L406" s="140" t="str">
        <f>IF(AND('331-CT'!$E$7=TH!H406,OR(J406="331",K406="331")),"x","")</f>
        <v/>
      </c>
    </row>
    <row r="407" spans="1:12" s="115" customFormat="1">
      <c r="A407" s="78">
        <f t="shared" si="19"/>
        <v>2015</v>
      </c>
      <c r="B407" s="78">
        <f t="shared" si="20"/>
        <v>1</v>
      </c>
      <c r="C407" s="79">
        <v>42012</v>
      </c>
      <c r="D407" s="79" t="s">
        <v>17</v>
      </c>
      <c r="E407" s="79">
        <v>42012</v>
      </c>
      <c r="F407" s="82" t="s">
        <v>35</v>
      </c>
      <c r="G407" s="273"/>
      <c r="H407" s="128"/>
      <c r="I407" s="80">
        <v>15000</v>
      </c>
      <c r="J407" s="81" t="s">
        <v>19</v>
      </c>
      <c r="K407" s="81" t="s">
        <v>54</v>
      </c>
      <c r="L407" s="140" t="str">
        <f>IF(AND('331-CT'!$E$7=TH!H407,OR(J407="331",K407="331")),"x","")</f>
        <v/>
      </c>
    </row>
    <row r="408" spans="1:12" s="115" customFormat="1">
      <c r="A408" s="78">
        <f t="shared" si="19"/>
        <v>2015</v>
      </c>
      <c r="B408" s="78">
        <f t="shared" si="20"/>
        <v>1</v>
      </c>
      <c r="C408" s="79">
        <v>42017</v>
      </c>
      <c r="D408" s="79" t="s">
        <v>73</v>
      </c>
      <c r="E408" s="79">
        <f>C408</f>
        <v>42017</v>
      </c>
      <c r="F408" s="99" t="s">
        <v>591</v>
      </c>
      <c r="G408" s="273"/>
      <c r="H408" s="126" t="s">
        <v>267</v>
      </c>
      <c r="I408" s="80">
        <v>1500000</v>
      </c>
      <c r="J408" s="81" t="s">
        <v>39</v>
      </c>
      <c r="K408" s="81" t="s">
        <v>203</v>
      </c>
      <c r="L408" s="140" t="str">
        <f>IF(AND('331-CT'!$E$7=TH!H408,OR(J408="331",K408="331")),"x","")</f>
        <v/>
      </c>
    </row>
    <row r="409" spans="1:12" s="115" customFormat="1">
      <c r="A409" s="78">
        <f t="shared" si="19"/>
        <v>2015</v>
      </c>
      <c r="B409" s="78">
        <f t="shared" si="20"/>
        <v>1</v>
      </c>
      <c r="C409" s="113">
        <v>42017</v>
      </c>
      <c r="D409" s="79" t="s">
        <v>21</v>
      </c>
      <c r="E409" s="79">
        <v>42017</v>
      </c>
      <c r="F409" s="82" t="s">
        <v>45</v>
      </c>
      <c r="G409" s="273"/>
      <c r="H409" s="126" t="s">
        <v>267</v>
      </c>
      <c r="I409" s="80">
        <v>1500000</v>
      </c>
      <c r="J409" s="81" t="s">
        <v>54</v>
      </c>
      <c r="K409" s="81" t="s">
        <v>39</v>
      </c>
      <c r="L409" s="140" t="str">
        <f>IF(AND('331-CT'!$E$7=TH!H409,OR(J409="331",K409="331")),"x","")</f>
        <v/>
      </c>
    </row>
    <row r="410" spans="1:12" s="115" customFormat="1">
      <c r="A410" s="78">
        <f t="shared" si="19"/>
        <v>2015</v>
      </c>
      <c r="B410" s="78">
        <f t="shared" si="20"/>
        <v>1</v>
      </c>
      <c r="C410" s="79">
        <v>42017</v>
      </c>
      <c r="D410" s="79" t="s">
        <v>78</v>
      </c>
      <c r="E410" s="79">
        <v>42017</v>
      </c>
      <c r="F410" s="82" t="s">
        <v>149</v>
      </c>
      <c r="G410" s="273"/>
      <c r="H410" s="128"/>
      <c r="I410" s="80">
        <v>1500000</v>
      </c>
      <c r="J410" s="81" t="s">
        <v>242</v>
      </c>
      <c r="K410" s="81" t="s">
        <v>219</v>
      </c>
      <c r="L410" s="140" t="str">
        <f>IF(AND('331-CT'!$E$7=TH!H410,OR(J410="331",K410="331")),"x","")</f>
        <v/>
      </c>
    </row>
    <row r="411" spans="1:12" s="115" customFormat="1">
      <c r="A411" s="78">
        <f t="shared" si="19"/>
        <v>2015</v>
      </c>
      <c r="B411" s="78">
        <f t="shared" si="20"/>
        <v>1</v>
      </c>
      <c r="C411" s="79">
        <v>42017</v>
      </c>
      <c r="D411" s="79" t="s">
        <v>17</v>
      </c>
      <c r="E411" s="79">
        <v>42017</v>
      </c>
      <c r="F411" s="82" t="s">
        <v>149</v>
      </c>
      <c r="G411" s="273"/>
      <c r="H411" s="128"/>
      <c r="I411" s="80">
        <v>1500000</v>
      </c>
      <c r="J411" s="81" t="s">
        <v>219</v>
      </c>
      <c r="K411" s="81" t="s">
        <v>54</v>
      </c>
      <c r="L411" s="140" t="str">
        <f>IF(AND('331-CT'!$E$7=TH!H411,OR(J411="331",K411="331")),"x","")</f>
        <v/>
      </c>
    </row>
    <row r="412" spans="1:12" s="115" customFormat="1">
      <c r="A412" s="78">
        <f t="shared" si="19"/>
        <v>2015</v>
      </c>
      <c r="B412" s="78">
        <f t="shared" si="20"/>
        <v>1</v>
      </c>
      <c r="C412" s="79">
        <v>42017</v>
      </c>
      <c r="D412" s="79" t="s">
        <v>17</v>
      </c>
      <c r="E412" s="79">
        <v>42017</v>
      </c>
      <c r="F412" s="82" t="s">
        <v>34</v>
      </c>
      <c r="G412" s="273"/>
      <c r="H412" s="128"/>
      <c r="I412" s="80">
        <v>25000</v>
      </c>
      <c r="J412" s="81" t="s">
        <v>242</v>
      </c>
      <c r="K412" s="81" t="s">
        <v>54</v>
      </c>
      <c r="L412" s="140" t="str">
        <f>IF(AND('331-CT'!$E$7=TH!H412,OR(J412="331",K412="331")),"x","")</f>
        <v/>
      </c>
    </row>
    <row r="413" spans="1:12" s="115" customFormat="1">
      <c r="A413" s="78">
        <f t="shared" si="19"/>
        <v>2015</v>
      </c>
      <c r="B413" s="78">
        <f t="shared" si="20"/>
        <v>1</v>
      </c>
      <c r="C413" s="79">
        <v>42017</v>
      </c>
      <c r="D413" s="79" t="s">
        <v>17</v>
      </c>
      <c r="E413" s="79">
        <v>42017</v>
      </c>
      <c r="F413" s="82" t="s">
        <v>35</v>
      </c>
      <c r="G413" s="273"/>
      <c r="H413" s="128"/>
      <c r="I413" s="80">
        <v>2500</v>
      </c>
      <c r="J413" s="81" t="s">
        <v>19</v>
      </c>
      <c r="K413" s="81" t="s">
        <v>54</v>
      </c>
      <c r="L413" s="140" t="str">
        <f>IF(AND('331-CT'!$E$7=TH!H413,OR(J413="331",K413="331")),"x","")</f>
        <v/>
      </c>
    </row>
    <row r="414" spans="1:12" s="115" customFormat="1">
      <c r="A414" s="78">
        <f t="shared" si="19"/>
        <v>2015</v>
      </c>
      <c r="B414" s="78">
        <f t="shared" si="20"/>
        <v>1</v>
      </c>
      <c r="C414" s="79">
        <v>42025</v>
      </c>
      <c r="D414" s="79" t="s">
        <v>92</v>
      </c>
      <c r="E414" s="79">
        <f>C414</f>
        <v>42025</v>
      </c>
      <c r="F414" s="99" t="s">
        <v>590</v>
      </c>
      <c r="G414" s="273"/>
      <c r="H414" s="128" t="s">
        <v>272</v>
      </c>
      <c r="I414" s="80">
        <v>73000000</v>
      </c>
      <c r="J414" s="81" t="s">
        <v>54</v>
      </c>
      <c r="K414" s="81" t="s">
        <v>203</v>
      </c>
      <c r="L414" s="140" t="str">
        <f>IF(AND('331-CT'!$E$7=TH!H414,OR(J414="331",K414="331")),"x","")</f>
        <v/>
      </c>
    </row>
    <row r="415" spans="1:12" s="115" customFormat="1">
      <c r="A415" s="78">
        <f t="shared" si="19"/>
        <v>2015</v>
      </c>
      <c r="B415" s="78">
        <f t="shared" si="20"/>
        <v>1</v>
      </c>
      <c r="C415" s="79">
        <v>42025</v>
      </c>
      <c r="D415" s="79" t="s">
        <v>17</v>
      </c>
      <c r="E415" s="79">
        <v>42025</v>
      </c>
      <c r="F415" s="82" t="s">
        <v>119</v>
      </c>
      <c r="G415" s="273"/>
      <c r="H415" s="128" t="s">
        <v>314</v>
      </c>
      <c r="I415" s="80">
        <v>8187032</v>
      </c>
      <c r="J415" s="81" t="s">
        <v>240</v>
      </c>
      <c r="K415" s="81" t="s">
        <v>54</v>
      </c>
      <c r="L415" s="140" t="str">
        <f>IF(AND('331-CT'!$E$7=TH!H415,OR(J415="331",K415="331")),"x","")</f>
        <v/>
      </c>
    </row>
    <row r="416" spans="1:12" s="115" customFormat="1">
      <c r="A416" s="78">
        <f t="shared" si="19"/>
        <v>2015</v>
      </c>
      <c r="B416" s="78">
        <f t="shared" si="20"/>
        <v>1</v>
      </c>
      <c r="C416" s="79">
        <v>42025</v>
      </c>
      <c r="D416" s="79" t="s">
        <v>17</v>
      </c>
      <c r="E416" s="79">
        <v>42025</v>
      </c>
      <c r="F416" s="82" t="s">
        <v>141</v>
      </c>
      <c r="G416" s="273"/>
      <c r="H416" s="128" t="s">
        <v>315</v>
      </c>
      <c r="I416" s="80">
        <v>16374064</v>
      </c>
      <c r="J416" s="81" t="s">
        <v>240</v>
      </c>
      <c r="K416" s="81" t="s">
        <v>54</v>
      </c>
      <c r="L416" s="140" t="str">
        <f>IF(AND('331-CT'!$E$7=TH!H416,OR(J416="331",K416="331")),"x","")</f>
        <v/>
      </c>
    </row>
    <row r="417" spans="1:12" s="115" customFormat="1">
      <c r="A417" s="78">
        <f t="shared" si="19"/>
        <v>2015</v>
      </c>
      <c r="B417" s="78">
        <f t="shared" si="20"/>
        <v>1</v>
      </c>
      <c r="C417" s="79">
        <v>42025</v>
      </c>
      <c r="D417" s="79" t="s">
        <v>17</v>
      </c>
      <c r="E417" s="79">
        <v>42025</v>
      </c>
      <c r="F417" s="82" t="s">
        <v>143</v>
      </c>
      <c r="G417" s="273"/>
      <c r="H417" s="128" t="s">
        <v>317</v>
      </c>
      <c r="I417" s="80">
        <v>13099251</v>
      </c>
      <c r="J417" s="81" t="s">
        <v>240</v>
      </c>
      <c r="K417" s="81" t="s">
        <v>54</v>
      </c>
      <c r="L417" s="140" t="str">
        <f>IF(AND('331-CT'!$E$7=TH!H417,OR(J417="331",K417="331")),"x","")</f>
        <v/>
      </c>
    </row>
    <row r="418" spans="1:12" s="115" customFormat="1">
      <c r="A418" s="78">
        <f t="shared" si="19"/>
        <v>2015</v>
      </c>
      <c r="B418" s="78">
        <f t="shared" si="20"/>
        <v>1</v>
      </c>
      <c r="C418" s="79">
        <v>42025</v>
      </c>
      <c r="D418" s="79" t="s">
        <v>17</v>
      </c>
      <c r="E418" s="79">
        <v>42025</v>
      </c>
      <c r="F418" s="82" t="s">
        <v>144</v>
      </c>
      <c r="G418" s="273"/>
      <c r="H418" s="128" t="s">
        <v>316</v>
      </c>
      <c r="I418" s="80">
        <v>24310897</v>
      </c>
      <c r="J418" s="81" t="s">
        <v>240</v>
      </c>
      <c r="K418" s="81" t="s">
        <v>54</v>
      </c>
      <c r="L418" s="140" t="str">
        <f>IF(AND('331-CT'!$E$7=TH!H418,OR(J418="331",K418="331")),"x","")</f>
        <v/>
      </c>
    </row>
    <row r="419" spans="1:12" s="115" customFormat="1">
      <c r="A419" s="78">
        <f t="shared" si="19"/>
        <v>2015</v>
      </c>
      <c r="B419" s="78">
        <f t="shared" si="20"/>
        <v>1</v>
      </c>
      <c r="C419" s="79">
        <v>42025</v>
      </c>
      <c r="D419" s="79" t="s">
        <v>17</v>
      </c>
      <c r="E419" s="79">
        <v>42025</v>
      </c>
      <c r="F419" s="82" t="s">
        <v>145</v>
      </c>
      <c r="G419" s="273"/>
      <c r="H419" s="128" t="s">
        <v>318</v>
      </c>
      <c r="I419" s="80">
        <v>10299815</v>
      </c>
      <c r="J419" s="81" t="s">
        <v>240</v>
      </c>
      <c r="K419" s="81" t="s">
        <v>54</v>
      </c>
      <c r="L419" s="140" t="str">
        <f>IF(AND('331-CT'!$E$7=TH!H419,OR(J419="331",K419="331")),"x","")</f>
        <v/>
      </c>
    </row>
    <row r="420" spans="1:12" s="115" customFormat="1">
      <c r="A420" s="78">
        <f t="shared" si="19"/>
        <v>2015</v>
      </c>
      <c r="B420" s="78">
        <f t="shared" si="20"/>
        <v>1</v>
      </c>
      <c r="C420" s="113">
        <v>42028</v>
      </c>
      <c r="D420" s="79" t="s">
        <v>21</v>
      </c>
      <c r="E420" s="79">
        <v>42028</v>
      </c>
      <c r="F420" s="82" t="s">
        <v>98</v>
      </c>
      <c r="G420" s="273"/>
      <c r="H420" s="128"/>
      <c r="I420" s="80">
        <v>58551</v>
      </c>
      <c r="J420" s="81" t="s">
        <v>54</v>
      </c>
      <c r="K420" s="81" t="s">
        <v>99</v>
      </c>
      <c r="L420" s="140" t="str">
        <f>IF(AND('331-CT'!$E$7=TH!H420,OR(J420="331",K420="331")),"x","")</f>
        <v/>
      </c>
    </row>
    <row r="421" spans="1:12" s="115" customFormat="1">
      <c r="A421" s="78">
        <f t="shared" si="19"/>
        <v>2015</v>
      </c>
      <c r="B421" s="78">
        <f t="shared" si="20"/>
        <v>1</v>
      </c>
      <c r="C421" s="113">
        <v>42033</v>
      </c>
      <c r="D421" s="79" t="s">
        <v>21</v>
      </c>
      <c r="E421" s="79">
        <v>42033</v>
      </c>
      <c r="F421" s="82" t="s">
        <v>146</v>
      </c>
      <c r="G421" s="273"/>
      <c r="H421" s="128" t="s">
        <v>319</v>
      </c>
      <c r="I421" s="80">
        <v>1500000000</v>
      </c>
      <c r="J421" s="81" t="s">
        <v>54</v>
      </c>
      <c r="K421" s="81" t="s">
        <v>227</v>
      </c>
      <c r="L421" s="140" t="str">
        <f>IF(AND('331-CT'!$E$7=TH!H421,OR(J421="331",K421="331")),"x","")</f>
        <v/>
      </c>
    </row>
    <row r="422" spans="1:12" s="115" customFormat="1">
      <c r="A422" s="78">
        <f t="shared" si="19"/>
        <v>2015</v>
      </c>
      <c r="B422" s="78">
        <f t="shared" si="20"/>
        <v>1</v>
      </c>
      <c r="C422" s="113">
        <f>E422</f>
        <v>42034</v>
      </c>
      <c r="D422" s="79" t="s">
        <v>17</v>
      </c>
      <c r="E422" s="79">
        <v>42034</v>
      </c>
      <c r="F422" s="82" t="s">
        <v>113</v>
      </c>
      <c r="G422" s="273"/>
      <c r="H422" s="128" t="s">
        <v>138</v>
      </c>
      <c r="I422" s="80">
        <v>600000000</v>
      </c>
      <c r="J422" s="81" t="s">
        <v>18</v>
      </c>
      <c r="K422" s="81" t="s">
        <v>54</v>
      </c>
      <c r="L422" s="140" t="str">
        <f>IF(AND('331-CT'!$E$7=TH!H422,OR(J422="331",K422="331")),"x","")</f>
        <v/>
      </c>
    </row>
    <row r="423" spans="1:12" s="115" customFormat="1">
      <c r="A423" s="78">
        <f t="shared" si="19"/>
        <v>2015</v>
      </c>
      <c r="B423" s="78">
        <f t="shared" si="20"/>
        <v>1</v>
      </c>
      <c r="C423" s="79">
        <v>42034</v>
      </c>
      <c r="D423" s="79" t="s">
        <v>17</v>
      </c>
      <c r="E423" s="79">
        <v>42034</v>
      </c>
      <c r="F423" s="82" t="s">
        <v>34</v>
      </c>
      <c r="G423" s="273"/>
      <c r="H423" s="128"/>
      <c r="I423" s="80">
        <v>180000</v>
      </c>
      <c r="J423" s="81" t="s">
        <v>242</v>
      </c>
      <c r="K423" s="81" t="s">
        <v>54</v>
      </c>
      <c r="L423" s="140" t="str">
        <f>IF(AND('331-CT'!$E$7=TH!H423,OR(J423="331",K423="331")),"x","")</f>
        <v/>
      </c>
    </row>
    <row r="424" spans="1:12" s="115" customFormat="1">
      <c r="A424" s="78">
        <f t="shared" si="19"/>
        <v>2015</v>
      </c>
      <c r="B424" s="78">
        <f t="shared" si="20"/>
        <v>1</v>
      </c>
      <c r="C424" s="79">
        <v>42034</v>
      </c>
      <c r="D424" s="79" t="s">
        <v>17</v>
      </c>
      <c r="E424" s="79">
        <v>42034</v>
      </c>
      <c r="F424" s="82" t="s">
        <v>35</v>
      </c>
      <c r="G424" s="273"/>
      <c r="H424" s="128"/>
      <c r="I424" s="80">
        <v>18000</v>
      </c>
      <c r="J424" s="81" t="s">
        <v>19</v>
      </c>
      <c r="K424" s="81" t="s">
        <v>54</v>
      </c>
      <c r="L424" s="140" t="str">
        <f>IF(AND('331-CT'!$E$7=TH!H424,OR(J424="331",K424="331")),"x","")</f>
        <v/>
      </c>
    </row>
    <row r="425" spans="1:12" s="115" customFormat="1">
      <c r="A425" s="78">
        <f t="shared" si="19"/>
        <v>2015</v>
      </c>
      <c r="B425" s="78">
        <f t="shared" si="20"/>
        <v>1</v>
      </c>
      <c r="C425" s="113">
        <f>E425</f>
        <v>42034</v>
      </c>
      <c r="D425" s="79" t="s">
        <v>17</v>
      </c>
      <c r="E425" s="79">
        <v>42034</v>
      </c>
      <c r="F425" s="82" t="s">
        <v>179</v>
      </c>
      <c r="G425" s="273"/>
      <c r="H425" s="128" t="s">
        <v>109</v>
      </c>
      <c r="I425" s="80">
        <v>50000000</v>
      </c>
      <c r="J425" s="84" t="s">
        <v>18</v>
      </c>
      <c r="K425" s="81" t="s">
        <v>54</v>
      </c>
      <c r="L425" s="140" t="str">
        <f>IF(AND('331-CT'!$E$7=TH!H425,OR(J425="331",K425="331")),"x","")</f>
        <v/>
      </c>
    </row>
    <row r="426" spans="1:12" s="115" customFormat="1">
      <c r="A426" s="78">
        <f t="shared" si="19"/>
        <v>2015</v>
      </c>
      <c r="B426" s="78">
        <f t="shared" si="20"/>
        <v>1</v>
      </c>
      <c r="C426" s="79">
        <v>42034</v>
      </c>
      <c r="D426" s="79" t="s">
        <v>17</v>
      </c>
      <c r="E426" s="79">
        <v>42034</v>
      </c>
      <c r="F426" s="82" t="s">
        <v>34</v>
      </c>
      <c r="G426" s="273"/>
      <c r="H426" s="128"/>
      <c r="I426" s="80">
        <v>20000</v>
      </c>
      <c r="J426" s="81" t="s">
        <v>242</v>
      </c>
      <c r="K426" s="81" t="s">
        <v>54</v>
      </c>
      <c r="L426" s="140" t="str">
        <f>IF(AND('331-CT'!$E$7=TH!H426,OR(J426="331",K426="331")),"x","")</f>
        <v/>
      </c>
    </row>
    <row r="427" spans="1:12" s="115" customFormat="1">
      <c r="A427" s="78">
        <f t="shared" si="19"/>
        <v>2015</v>
      </c>
      <c r="B427" s="78">
        <f t="shared" si="20"/>
        <v>1</v>
      </c>
      <c r="C427" s="79">
        <v>42034</v>
      </c>
      <c r="D427" s="79" t="s">
        <v>17</v>
      </c>
      <c r="E427" s="79">
        <v>42034</v>
      </c>
      <c r="F427" s="82" t="s">
        <v>35</v>
      </c>
      <c r="G427" s="273"/>
      <c r="H427" s="128"/>
      <c r="I427" s="80">
        <v>2000</v>
      </c>
      <c r="J427" s="81" t="s">
        <v>19</v>
      </c>
      <c r="K427" s="81" t="s">
        <v>54</v>
      </c>
      <c r="L427" s="140" t="str">
        <f>IF(AND('331-CT'!$E$7=TH!H427,OR(J427="331",K427="331")),"x","")</f>
        <v/>
      </c>
    </row>
    <row r="428" spans="1:12" s="115" customFormat="1">
      <c r="A428" s="78">
        <f t="shared" si="19"/>
        <v>2015</v>
      </c>
      <c r="B428" s="78">
        <f t="shared" si="20"/>
        <v>1</v>
      </c>
      <c r="C428" s="113">
        <f>E428</f>
        <v>42034</v>
      </c>
      <c r="D428" s="79" t="s">
        <v>17</v>
      </c>
      <c r="E428" s="79">
        <v>42034</v>
      </c>
      <c r="F428" s="82" t="s">
        <v>113</v>
      </c>
      <c r="G428" s="273"/>
      <c r="H428" s="128" t="s">
        <v>85</v>
      </c>
      <c r="I428" s="80">
        <v>700000000</v>
      </c>
      <c r="J428" s="84" t="s">
        <v>18</v>
      </c>
      <c r="K428" s="81" t="s">
        <v>54</v>
      </c>
      <c r="L428" s="140" t="str">
        <f>IF(AND('331-CT'!$E$7=TH!H428,OR(J428="331",K428="331")),"x","")</f>
        <v/>
      </c>
    </row>
    <row r="429" spans="1:12" s="115" customFormat="1">
      <c r="A429" s="78">
        <f t="shared" si="19"/>
        <v>2015</v>
      </c>
      <c r="B429" s="78">
        <f t="shared" si="20"/>
        <v>1</v>
      </c>
      <c r="C429" s="79">
        <v>42034</v>
      </c>
      <c r="D429" s="79" t="s">
        <v>17</v>
      </c>
      <c r="E429" s="79">
        <v>42034</v>
      </c>
      <c r="F429" s="82" t="s">
        <v>34</v>
      </c>
      <c r="G429" s="273"/>
      <c r="H429" s="128"/>
      <c r="I429" s="80">
        <v>350000</v>
      </c>
      <c r="J429" s="81" t="s">
        <v>242</v>
      </c>
      <c r="K429" s="81" t="s">
        <v>54</v>
      </c>
      <c r="L429" s="140" t="str">
        <f>IF(AND('331-CT'!$E$7=TH!H429,OR(J429="331",K429="331")),"x","")</f>
        <v/>
      </c>
    </row>
    <row r="430" spans="1:12" s="115" customFormat="1">
      <c r="A430" s="78">
        <f t="shared" si="19"/>
        <v>2015</v>
      </c>
      <c r="B430" s="78">
        <f t="shared" si="20"/>
        <v>1</v>
      </c>
      <c r="C430" s="79">
        <v>42034</v>
      </c>
      <c r="D430" s="79" t="s">
        <v>17</v>
      </c>
      <c r="E430" s="79">
        <v>42034</v>
      </c>
      <c r="F430" s="82" t="s">
        <v>35</v>
      </c>
      <c r="G430" s="273"/>
      <c r="H430" s="128"/>
      <c r="I430" s="80">
        <v>35000</v>
      </c>
      <c r="J430" s="81" t="s">
        <v>19</v>
      </c>
      <c r="K430" s="81" t="s">
        <v>54</v>
      </c>
      <c r="L430" s="140" t="str">
        <f>IF(AND('331-CT'!$E$7=TH!H430,OR(J430="331",K430="331")),"x","")</f>
        <v/>
      </c>
    </row>
    <row r="431" spans="1:12" s="115" customFormat="1">
      <c r="A431" s="78">
        <f t="shared" si="19"/>
        <v>2015</v>
      </c>
      <c r="B431" s="78">
        <f t="shared" si="20"/>
        <v>2</v>
      </c>
      <c r="C431" s="113">
        <v>42059</v>
      </c>
      <c r="D431" s="79" t="s">
        <v>21</v>
      </c>
      <c r="E431" s="79">
        <v>42059</v>
      </c>
      <c r="F431" s="82" t="s">
        <v>98</v>
      </c>
      <c r="G431" s="273"/>
      <c r="H431" s="128"/>
      <c r="I431" s="80">
        <v>45256</v>
      </c>
      <c r="J431" s="81" t="s">
        <v>54</v>
      </c>
      <c r="K431" s="81" t="s">
        <v>99</v>
      </c>
      <c r="L431" s="140" t="str">
        <f>IF(AND('331-CT'!$E$7=TH!H431,OR(J431="331",K431="331")),"x","")</f>
        <v/>
      </c>
    </row>
    <row r="432" spans="1:12" s="115" customFormat="1">
      <c r="A432" s="78">
        <f t="shared" si="19"/>
        <v>2015</v>
      </c>
      <c r="B432" s="78">
        <f t="shared" si="20"/>
        <v>2</v>
      </c>
      <c r="C432" s="79">
        <v>42061</v>
      </c>
      <c r="D432" s="79" t="s">
        <v>73</v>
      </c>
      <c r="E432" s="79">
        <f>C432</f>
        <v>42061</v>
      </c>
      <c r="F432" s="99" t="s">
        <v>591</v>
      </c>
      <c r="G432" s="273"/>
      <c r="H432" s="126" t="s">
        <v>267</v>
      </c>
      <c r="I432" s="80">
        <v>60000000</v>
      </c>
      <c r="J432" s="81" t="s">
        <v>39</v>
      </c>
      <c r="K432" s="81" t="s">
        <v>203</v>
      </c>
      <c r="L432" s="140" t="str">
        <f>IF(AND('331-CT'!$E$7=TH!H432,OR(J432="331",K432="331")),"x","")</f>
        <v/>
      </c>
    </row>
    <row r="433" spans="1:12" s="115" customFormat="1">
      <c r="A433" s="78">
        <f t="shared" si="19"/>
        <v>2015</v>
      </c>
      <c r="B433" s="78">
        <f t="shared" si="20"/>
        <v>2</v>
      </c>
      <c r="C433" s="113">
        <v>42061</v>
      </c>
      <c r="D433" s="79" t="s">
        <v>21</v>
      </c>
      <c r="E433" s="79">
        <v>42061</v>
      </c>
      <c r="F433" s="82" t="s">
        <v>45</v>
      </c>
      <c r="G433" s="273"/>
      <c r="H433" s="126" t="s">
        <v>267</v>
      </c>
      <c r="I433" s="80">
        <v>60000000</v>
      </c>
      <c r="J433" s="81" t="s">
        <v>54</v>
      </c>
      <c r="K433" s="81" t="s">
        <v>39</v>
      </c>
      <c r="L433" s="140" t="str">
        <f>IF(AND('331-CT'!$E$7=TH!H433,OR(J433="331",K433="331")),"x","")</f>
        <v/>
      </c>
    </row>
    <row r="434" spans="1:12" s="115" customFormat="1">
      <c r="A434" s="78">
        <f t="shared" si="19"/>
        <v>2015</v>
      </c>
      <c r="B434" s="78">
        <f t="shared" si="20"/>
        <v>2</v>
      </c>
      <c r="C434" s="79">
        <v>42061</v>
      </c>
      <c r="D434" s="79" t="s">
        <v>17</v>
      </c>
      <c r="E434" s="79">
        <v>42061</v>
      </c>
      <c r="F434" s="82" t="s">
        <v>119</v>
      </c>
      <c r="G434" s="273"/>
      <c r="H434" s="128" t="s">
        <v>314</v>
      </c>
      <c r="I434" s="80">
        <v>8190270</v>
      </c>
      <c r="J434" s="81" t="s">
        <v>240</v>
      </c>
      <c r="K434" s="81" t="s">
        <v>54</v>
      </c>
      <c r="L434" s="140" t="str">
        <f>IF(AND('331-CT'!$E$7=TH!H434,OR(J434="331",K434="331")),"x","")</f>
        <v/>
      </c>
    </row>
    <row r="435" spans="1:12" s="115" customFormat="1">
      <c r="A435" s="78">
        <f t="shared" si="19"/>
        <v>2015</v>
      </c>
      <c r="B435" s="78">
        <f t="shared" si="20"/>
        <v>2</v>
      </c>
      <c r="C435" s="79">
        <v>42061</v>
      </c>
      <c r="D435" s="79" t="s">
        <v>17</v>
      </c>
      <c r="E435" s="79">
        <v>42061</v>
      </c>
      <c r="F435" s="82" t="s">
        <v>141</v>
      </c>
      <c r="G435" s="273"/>
      <c r="H435" s="128" t="s">
        <v>315</v>
      </c>
      <c r="I435" s="80">
        <v>16380540</v>
      </c>
      <c r="J435" s="81" t="s">
        <v>240</v>
      </c>
      <c r="K435" s="81" t="s">
        <v>54</v>
      </c>
      <c r="L435" s="140" t="str">
        <f>IF(AND('331-CT'!$E$7=TH!H435,OR(J435="331",K435="331")),"x","")</f>
        <v/>
      </c>
    </row>
    <row r="436" spans="1:12" s="115" customFormat="1">
      <c r="A436" s="78">
        <f t="shared" si="19"/>
        <v>2015</v>
      </c>
      <c r="B436" s="78">
        <f t="shared" si="20"/>
        <v>2</v>
      </c>
      <c r="C436" s="79">
        <v>42061</v>
      </c>
      <c r="D436" s="79" t="s">
        <v>17</v>
      </c>
      <c r="E436" s="79">
        <v>42061</v>
      </c>
      <c r="F436" s="82" t="s">
        <v>143</v>
      </c>
      <c r="G436" s="273"/>
      <c r="H436" s="128" t="s">
        <v>317</v>
      </c>
      <c r="I436" s="80">
        <v>13104432</v>
      </c>
      <c r="J436" s="81" t="s">
        <v>240</v>
      </c>
      <c r="K436" s="81" t="s">
        <v>54</v>
      </c>
      <c r="L436" s="140" t="str">
        <f>IF(AND('331-CT'!$E$7=TH!H436,OR(J436="331",K436="331")),"x","")</f>
        <v/>
      </c>
    </row>
    <row r="437" spans="1:12" s="115" customFormat="1">
      <c r="A437" s="78">
        <f t="shared" si="19"/>
        <v>2015</v>
      </c>
      <c r="B437" s="78">
        <f t="shared" si="20"/>
        <v>2</v>
      </c>
      <c r="C437" s="79">
        <v>42061</v>
      </c>
      <c r="D437" s="79" t="s">
        <v>17</v>
      </c>
      <c r="E437" s="79">
        <v>42061</v>
      </c>
      <c r="F437" s="82" t="s">
        <v>144</v>
      </c>
      <c r="G437" s="273"/>
      <c r="H437" s="128" t="s">
        <v>316</v>
      </c>
      <c r="I437" s="80">
        <v>12285405</v>
      </c>
      <c r="J437" s="81" t="s">
        <v>240</v>
      </c>
      <c r="K437" s="81" t="s">
        <v>54</v>
      </c>
      <c r="L437" s="140" t="str">
        <f>IF(AND('331-CT'!$E$7=TH!H437,OR(J437="331",K437="331")),"x","")</f>
        <v/>
      </c>
    </row>
    <row r="438" spans="1:12" s="115" customFormat="1">
      <c r="A438" s="78">
        <f t="shared" si="19"/>
        <v>2015</v>
      </c>
      <c r="B438" s="78">
        <f t="shared" si="20"/>
        <v>2</v>
      </c>
      <c r="C438" s="79">
        <v>42061</v>
      </c>
      <c r="D438" s="79" t="s">
        <v>17</v>
      </c>
      <c r="E438" s="79">
        <v>42061</v>
      </c>
      <c r="F438" s="82" t="s">
        <v>145</v>
      </c>
      <c r="G438" s="273"/>
      <c r="H438" s="128" t="s">
        <v>318</v>
      </c>
      <c r="I438" s="80">
        <v>8190270</v>
      </c>
      <c r="J438" s="81" t="s">
        <v>240</v>
      </c>
      <c r="K438" s="81" t="s">
        <v>54</v>
      </c>
      <c r="L438" s="140" t="str">
        <f>IF(AND('331-CT'!$E$7=TH!H438,OR(J438="331",K438="331")),"x","")</f>
        <v/>
      </c>
    </row>
    <row r="439" spans="1:12" s="115" customFormat="1">
      <c r="A439" s="78">
        <f t="shared" si="19"/>
        <v>2015</v>
      </c>
      <c r="B439" s="78">
        <f t="shared" si="20"/>
        <v>3</v>
      </c>
      <c r="C439" s="79">
        <v>42086</v>
      </c>
      <c r="D439" s="79" t="s">
        <v>73</v>
      </c>
      <c r="E439" s="79">
        <f>C439</f>
        <v>42086</v>
      </c>
      <c r="F439" s="99" t="s">
        <v>591</v>
      </c>
      <c r="G439" s="273"/>
      <c r="H439" s="126" t="s">
        <v>267</v>
      </c>
      <c r="I439" s="80">
        <v>72000000</v>
      </c>
      <c r="J439" s="81" t="s">
        <v>39</v>
      </c>
      <c r="K439" s="81" t="s">
        <v>203</v>
      </c>
      <c r="L439" s="140" t="str">
        <f>IF(AND('331-CT'!$E$7=TH!H439,OR(J439="331",K439="331")),"x","")</f>
        <v/>
      </c>
    </row>
    <row r="440" spans="1:12" s="115" customFormat="1">
      <c r="A440" s="78">
        <f t="shared" si="19"/>
        <v>2015</v>
      </c>
      <c r="B440" s="78">
        <f t="shared" si="20"/>
        <v>3</v>
      </c>
      <c r="C440" s="113">
        <v>42086</v>
      </c>
      <c r="D440" s="79" t="s">
        <v>21</v>
      </c>
      <c r="E440" s="79">
        <v>42086</v>
      </c>
      <c r="F440" s="82" t="s">
        <v>45</v>
      </c>
      <c r="G440" s="273"/>
      <c r="H440" s="126" t="s">
        <v>267</v>
      </c>
      <c r="I440" s="80">
        <v>72000000</v>
      </c>
      <c r="J440" s="81" t="s">
        <v>54</v>
      </c>
      <c r="K440" s="81" t="s">
        <v>39</v>
      </c>
      <c r="L440" s="140" t="str">
        <f>IF(AND('331-CT'!$E$7=TH!H440,OR(J440="331",K440="331")),"x","")</f>
        <v/>
      </c>
    </row>
    <row r="441" spans="1:12" s="115" customFormat="1">
      <c r="A441" s="78">
        <f t="shared" si="19"/>
        <v>2015</v>
      </c>
      <c r="B441" s="78">
        <f t="shared" si="20"/>
        <v>3</v>
      </c>
      <c r="C441" s="79">
        <v>42086</v>
      </c>
      <c r="D441" s="79" t="s">
        <v>17</v>
      </c>
      <c r="E441" s="79">
        <v>42086</v>
      </c>
      <c r="F441" s="82" t="s">
        <v>119</v>
      </c>
      <c r="G441" s="273"/>
      <c r="H441" s="128" t="s">
        <v>314</v>
      </c>
      <c r="I441" s="80">
        <v>7400588</v>
      </c>
      <c r="J441" s="81" t="s">
        <v>240</v>
      </c>
      <c r="K441" s="81" t="s">
        <v>54</v>
      </c>
      <c r="L441" s="140" t="str">
        <f>IF(AND('331-CT'!$E$7=TH!H441,OR(J441="331",K441="331")),"x","")</f>
        <v/>
      </c>
    </row>
    <row r="442" spans="1:12" s="115" customFormat="1">
      <c r="A442" s="78">
        <f t="shared" si="19"/>
        <v>2015</v>
      </c>
      <c r="B442" s="78">
        <f t="shared" si="20"/>
        <v>3</v>
      </c>
      <c r="C442" s="79">
        <v>42086</v>
      </c>
      <c r="D442" s="79" t="s">
        <v>17</v>
      </c>
      <c r="E442" s="79">
        <v>42086</v>
      </c>
      <c r="F442" s="82" t="s">
        <v>141</v>
      </c>
      <c r="G442" s="273"/>
      <c r="H442" s="128" t="s">
        <v>315</v>
      </c>
      <c r="I442" s="80">
        <v>14801176</v>
      </c>
      <c r="J442" s="81" t="s">
        <v>240</v>
      </c>
      <c r="K442" s="81" t="s">
        <v>54</v>
      </c>
      <c r="L442" s="140" t="str">
        <f>IF(AND('331-CT'!$E$7=TH!H442,OR(J442="331",K442="331")),"x","")</f>
        <v/>
      </c>
    </row>
    <row r="443" spans="1:12" s="115" customFormat="1">
      <c r="A443" s="78">
        <f t="shared" si="19"/>
        <v>2015</v>
      </c>
      <c r="B443" s="78">
        <f t="shared" si="20"/>
        <v>3</v>
      </c>
      <c r="C443" s="79">
        <v>42086</v>
      </c>
      <c r="D443" s="79" t="s">
        <v>17</v>
      </c>
      <c r="E443" s="79">
        <v>42086</v>
      </c>
      <c r="F443" s="82" t="s">
        <v>143</v>
      </c>
      <c r="G443" s="273"/>
      <c r="H443" s="128" t="s">
        <v>317</v>
      </c>
      <c r="I443" s="80">
        <v>11840941</v>
      </c>
      <c r="J443" s="81" t="s">
        <v>240</v>
      </c>
      <c r="K443" s="81" t="s">
        <v>54</v>
      </c>
      <c r="L443" s="140" t="str">
        <f>IF(AND('331-CT'!$E$7=TH!H443,OR(J443="331",K443="331")),"x","")</f>
        <v/>
      </c>
    </row>
    <row r="444" spans="1:12" s="115" customFormat="1">
      <c r="A444" s="78">
        <f t="shared" si="19"/>
        <v>2015</v>
      </c>
      <c r="B444" s="78">
        <f t="shared" si="20"/>
        <v>3</v>
      </c>
      <c r="C444" s="79">
        <v>42086</v>
      </c>
      <c r="D444" s="79" t="s">
        <v>17</v>
      </c>
      <c r="E444" s="79">
        <v>42086</v>
      </c>
      <c r="F444" s="82" t="s">
        <v>144</v>
      </c>
      <c r="G444" s="273"/>
      <c r="H444" s="128" t="s">
        <v>316</v>
      </c>
      <c r="I444" s="80">
        <v>11100882</v>
      </c>
      <c r="J444" s="81" t="s">
        <v>240</v>
      </c>
      <c r="K444" s="81" t="s">
        <v>54</v>
      </c>
      <c r="L444" s="140" t="str">
        <f>IF(AND('331-CT'!$E$7=TH!H444,OR(J444="331",K444="331")),"x","")</f>
        <v/>
      </c>
    </row>
    <row r="445" spans="1:12" s="115" customFormat="1">
      <c r="A445" s="78">
        <f t="shared" si="19"/>
        <v>2015</v>
      </c>
      <c r="B445" s="78">
        <f t="shared" si="20"/>
        <v>3</v>
      </c>
      <c r="C445" s="79">
        <v>42086</v>
      </c>
      <c r="D445" s="79" t="s">
        <v>17</v>
      </c>
      <c r="E445" s="79">
        <v>42086</v>
      </c>
      <c r="F445" s="82" t="s">
        <v>145</v>
      </c>
      <c r="G445" s="273"/>
      <c r="H445" s="128" t="s">
        <v>318</v>
      </c>
      <c r="I445" s="80">
        <v>7400588</v>
      </c>
      <c r="J445" s="81" t="s">
        <v>240</v>
      </c>
      <c r="K445" s="81" t="s">
        <v>54</v>
      </c>
      <c r="L445" s="140" t="str">
        <f>IF(AND('331-CT'!$E$7=TH!H445,OR(J445="331",K445="331")),"x","")</f>
        <v/>
      </c>
    </row>
    <row r="446" spans="1:12" s="115" customFormat="1">
      <c r="A446" s="78">
        <f t="shared" si="19"/>
        <v>2015</v>
      </c>
      <c r="B446" s="78">
        <f t="shared" si="20"/>
        <v>3</v>
      </c>
      <c r="C446" s="79">
        <v>42086</v>
      </c>
      <c r="D446" s="79" t="s">
        <v>17</v>
      </c>
      <c r="E446" s="79">
        <v>42086</v>
      </c>
      <c r="F446" s="82" t="s">
        <v>147</v>
      </c>
      <c r="G446" s="273"/>
      <c r="H446" s="128" t="s">
        <v>319</v>
      </c>
      <c r="I446" s="80">
        <v>19426543</v>
      </c>
      <c r="J446" s="81" t="s">
        <v>240</v>
      </c>
      <c r="K446" s="81" t="s">
        <v>54</v>
      </c>
      <c r="L446" s="140" t="str">
        <f>IF(AND('331-CT'!$E$7=TH!H446,OR(J446="331",K446="331")),"x","")</f>
        <v/>
      </c>
    </row>
    <row r="447" spans="1:12" s="115" customFormat="1">
      <c r="A447" s="78">
        <f t="shared" si="19"/>
        <v>2015</v>
      </c>
      <c r="B447" s="78">
        <f t="shared" si="20"/>
        <v>3</v>
      </c>
      <c r="C447" s="79">
        <v>42086</v>
      </c>
      <c r="D447" s="79" t="s">
        <v>17</v>
      </c>
      <c r="E447" s="79">
        <v>42086</v>
      </c>
      <c r="F447" s="82" t="s">
        <v>49</v>
      </c>
      <c r="G447" s="273"/>
      <c r="H447" s="128"/>
      <c r="I447" s="80">
        <v>50000</v>
      </c>
      <c r="J447" s="81" t="s">
        <v>242</v>
      </c>
      <c r="K447" s="81" t="s">
        <v>54</v>
      </c>
      <c r="L447" s="140" t="str">
        <f>IF(AND('331-CT'!$E$7=TH!H447,OR(J447="331",K447="331")),"x","")</f>
        <v/>
      </c>
    </row>
    <row r="448" spans="1:12" s="115" customFormat="1">
      <c r="A448" s="78">
        <f t="shared" si="19"/>
        <v>2015</v>
      </c>
      <c r="B448" s="78">
        <f t="shared" si="20"/>
        <v>3</v>
      </c>
      <c r="C448" s="79">
        <v>42086</v>
      </c>
      <c r="D448" s="79" t="s">
        <v>17</v>
      </c>
      <c r="E448" s="79">
        <v>42086</v>
      </c>
      <c r="F448" s="82" t="s">
        <v>44</v>
      </c>
      <c r="G448" s="273"/>
      <c r="H448" s="128"/>
      <c r="I448" s="80">
        <v>5000</v>
      </c>
      <c r="J448" s="81" t="s">
        <v>19</v>
      </c>
      <c r="K448" s="81" t="s">
        <v>54</v>
      </c>
      <c r="L448" s="140" t="str">
        <f>IF(AND('331-CT'!$E$7=TH!H448,OR(J448="331",K448="331")),"x","")</f>
        <v/>
      </c>
    </row>
    <row r="449" spans="1:12" s="115" customFormat="1">
      <c r="A449" s="78">
        <f t="shared" si="19"/>
        <v>2015</v>
      </c>
      <c r="B449" s="78">
        <f t="shared" si="20"/>
        <v>3</v>
      </c>
      <c r="C449" s="79">
        <v>42086</v>
      </c>
      <c r="D449" s="79" t="s">
        <v>17</v>
      </c>
      <c r="E449" s="79">
        <v>42086</v>
      </c>
      <c r="F449" s="82" t="s">
        <v>47</v>
      </c>
      <c r="G449" s="273"/>
      <c r="H449" s="128"/>
      <c r="I449" s="80">
        <v>50000</v>
      </c>
      <c r="J449" s="81" t="s">
        <v>242</v>
      </c>
      <c r="K449" s="81" t="s">
        <v>54</v>
      </c>
      <c r="L449" s="140" t="str">
        <f>IF(AND('331-CT'!$E$7=TH!H449,OR(J449="331",K449="331")),"x","")</f>
        <v/>
      </c>
    </row>
    <row r="450" spans="1:12" s="115" customFormat="1">
      <c r="A450" s="78">
        <f t="shared" si="19"/>
        <v>2015</v>
      </c>
      <c r="B450" s="78">
        <f t="shared" si="20"/>
        <v>3</v>
      </c>
      <c r="C450" s="79">
        <v>42086</v>
      </c>
      <c r="D450" s="79" t="s">
        <v>17</v>
      </c>
      <c r="E450" s="79">
        <v>42086</v>
      </c>
      <c r="F450" s="82" t="s">
        <v>44</v>
      </c>
      <c r="G450" s="273"/>
      <c r="H450" s="128"/>
      <c r="I450" s="80">
        <v>5000</v>
      </c>
      <c r="J450" s="81" t="s">
        <v>19</v>
      </c>
      <c r="K450" s="81" t="s">
        <v>54</v>
      </c>
      <c r="L450" s="140" t="str">
        <f>IF(AND('331-CT'!$E$7=TH!H450,OR(J450="331",K450="331")),"x","")</f>
        <v/>
      </c>
    </row>
    <row r="451" spans="1:12" s="115" customFormat="1">
      <c r="A451" s="78">
        <f t="shared" si="19"/>
        <v>2015</v>
      </c>
      <c r="B451" s="78">
        <f t="shared" si="20"/>
        <v>3</v>
      </c>
      <c r="C451" s="113">
        <v>42087</v>
      </c>
      <c r="D451" s="79" t="s">
        <v>21</v>
      </c>
      <c r="E451" s="79">
        <v>42087</v>
      </c>
      <c r="F451" s="82" t="s">
        <v>98</v>
      </c>
      <c r="G451" s="273"/>
      <c r="H451" s="128"/>
      <c r="I451" s="80">
        <v>35634</v>
      </c>
      <c r="J451" s="81" t="s">
        <v>54</v>
      </c>
      <c r="K451" s="81" t="s">
        <v>99</v>
      </c>
      <c r="L451" s="140" t="str">
        <f>IF(AND('331-CT'!$E$7=TH!H451,OR(J451="331",K451="331")),"x","")</f>
        <v/>
      </c>
    </row>
    <row r="452" spans="1:12" s="115" customFormat="1">
      <c r="A452" s="78">
        <f t="shared" si="19"/>
        <v>2015</v>
      </c>
      <c r="B452" s="78">
        <f t="shared" si="20"/>
        <v>3</v>
      </c>
      <c r="C452" s="113">
        <v>42088</v>
      </c>
      <c r="D452" s="79" t="s">
        <v>21</v>
      </c>
      <c r="E452" s="79">
        <v>42088</v>
      </c>
      <c r="F452" s="82" t="s">
        <v>148</v>
      </c>
      <c r="G452" s="273"/>
      <c r="H452" s="128" t="s">
        <v>320</v>
      </c>
      <c r="I452" s="80">
        <v>2000000000</v>
      </c>
      <c r="J452" s="81" t="s">
        <v>54</v>
      </c>
      <c r="K452" s="81" t="s">
        <v>227</v>
      </c>
      <c r="L452" s="140" t="str">
        <f>IF(AND('331-CT'!$E$7=TH!H452,OR(J452="331",K452="331")),"x","")</f>
        <v/>
      </c>
    </row>
    <row r="453" spans="1:12" s="115" customFormat="1">
      <c r="A453" s="78">
        <f t="shared" si="19"/>
        <v>2015</v>
      </c>
      <c r="B453" s="78">
        <f t="shared" si="20"/>
        <v>3</v>
      </c>
      <c r="C453" s="113">
        <f>E453</f>
        <v>42088</v>
      </c>
      <c r="D453" s="79" t="s">
        <v>17</v>
      </c>
      <c r="E453" s="79">
        <v>42088</v>
      </c>
      <c r="F453" s="82" t="s">
        <v>113</v>
      </c>
      <c r="G453" s="273"/>
      <c r="H453" s="128" t="s">
        <v>138</v>
      </c>
      <c r="I453" s="80">
        <v>600000000</v>
      </c>
      <c r="J453" s="83" t="s">
        <v>18</v>
      </c>
      <c r="K453" s="81" t="s">
        <v>54</v>
      </c>
      <c r="L453" s="140" t="str">
        <f>IF(AND('331-CT'!$E$7=TH!H453,OR(J453="331",K453="331")),"x","")</f>
        <v/>
      </c>
    </row>
    <row r="454" spans="1:12" s="115" customFormat="1">
      <c r="A454" s="78">
        <f t="shared" si="19"/>
        <v>2015</v>
      </c>
      <c r="B454" s="78">
        <f t="shared" si="20"/>
        <v>3</v>
      </c>
      <c r="C454" s="79">
        <v>42088</v>
      </c>
      <c r="D454" s="79" t="s">
        <v>17</v>
      </c>
      <c r="E454" s="79">
        <v>42088</v>
      </c>
      <c r="F454" s="82" t="s">
        <v>34</v>
      </c>
      <c r="G454" s="273"/>
      <c r="H454" s="128"/>
      <c r="I454" s="80">
        <v>180000</v>
      </c>
      <c r="J454" s="81" t="s">
        <v>242</v>
      </c>
      <c r="K454" s="81" t="s">
        <v>54</v>
      </c>
      <c r="L454" s="140" t="str">
        <f>IF(AND('331-CT'!$E$7=TH!H454,OR(J454="331",K454="331")),"x","")</f>
        <v/>
      </c>
    </row>
    <row r="455" spans="1:12" s="115" customFormat="1">
      <c r="A455" s="78">
        <f t="shared" si="19"/>
        <v>2015</v>
      </c>
      <c r="B455" s="78">
        <f t="shared" si="20"/>
        <v>3</v>
      </c>
      <c r="C455" s="79">
        <v>42088</v>
      </c>
      <c r="D455" s="79" t="s">
        <v>17</v>
      </c>
      <c r="E455" s="79">
        <v>42088</v>
      </c>
      <c r="F455" s="82" t="s">
        <v>35</v>
      </c>
      <c r="G455" s="273"/>
      <c r="H455" s="128"/>
      <c r="I455" s="80">
        <v>18000</v>
      </c>
      <c r="J455" s="81" t="s">
        <v>19</v>
      </c>
      <c r="K455" s="81" t="s">
        <v>54</v>
      </c>
      <c r="L455" s="140" t="str">
        <f>IF(AND('331-CT'!$E$7=TH!H455,OR(J455="331",K455="331")),"x","")</f>
        <v/>
      </c>
    </row>
    <row r="456" spans="1:12" s="115" customFormat="1">
      <c r="A456" s="78">
        <f t="shared" si="19"/>
        <v>2015</v>
      </c>
      <c r="B456" s="78">
        <f t="shared" si="20"/>
        <v>3</v>
      </c>
      <c r="C456" s="113">
        <f>E456</f>
        <v>42094</v>
      </c>
      <c r="D456" s="79" t="s">
        <v>17</v>
      </c>
      <c r="E456" s="79">
        <v>42094</v>
      </c>
      <c r="F456" s="82" t="s">
        <v>182</v>
      </c>
      <c r="G456" s="273"/>
      <c r="H456" s="128" t="s">
        <v>150</v>
      </c>
      <c r="I456" s="80">
        <v>360000000</v>
      </c>
      <c r="J456" s="83" t="s">
        <v>18</v>
      </c>
      <c r="K456" s="81" t="s">
        <v>54</v>
      </c>
      <c r="L456" s="140" t="str">
        <f>IF(AND('331-CT'!$E$7=TH!H456,OR(J456="331",K456="331")),"x","")</f>
        <v/>
      </c>
    </row>
    <row r="457" spans="1:12" s="115" customFormat="1">
      <c r="A457" s="78">
        <f t="shared" si="19"/>
        <v>2015</v>
      </c>
      <c r="B457" s="78">
        <f t="shared" si="20"/>
        <v>3</v>
      </c>
      <c r="C457" s="113">
        <f>E457</f>
        <v>42094</v>
      </c>
      <c r="D457" s="79" t="s">
        <v>17</v>
      </c>
      <c r="E457" s="79">
        <v>42094</v>
      </c>
      <c r="F457" s="82" t="s">
        <v>181</v>
      </c>
      <c r="G457" s="273"/>
      <c r="H457" s="128" t="s">
        <v>111</v>
      </c>
      <c r="I457" s="80">
        <v>251000000</v>
      </c>
      <c r="J457" s="83" t="s">
        <v>18</v>
      </c>
      <c r="K457" s="81" t="s">
        <v>54</v>
      </c>
      <c r="L457" s="140" t="str">
        <f>IF(AND('331-CT'!$E$7=TH!H457,OR(J457="331",K457="331")),"x","")</f>
        <v/>
      </c>
    </row>
    <row r="458" spans="1:12" s="115" customFormat="1">
      <c r="A458" s="78">
        <f t="shared" si="19"/>
        <v>2015</v>
      </c>
      <c r="B458" s="78">
        <f t="shared" si="20"/>
        <v>3</v>
      </c>
      <c r="C458" s="79">
        <v>42094</v>
      </c>
      <c r="D458" s="79" t="s">
        <v>17</v>
      </c>
      <c r="E458" s="79">
        <v>42094</v>
      </c>
      <c r="F458" s="82" t="s">
        <v>34</v>
      </c>
      <c r="G458" s="273"/>
      <c r="H458" s="128"/>
      <c r="I458" s="80">
        <v>75300</v>
      </c>
      <c r="J458" s="81" t="s">
        <v>242</v>
      </c>
      <c r="K458" s="81" t="s">
        <v>54</v>
      </c>
      <c r="L458" s="140" t="str">
        <f>IF(AND('331-CT'!$E$7=TH!H458,OR(J458="331",K458="331")),"x","")</f>
        <v/>
      </c>
    </row>
    <row r="459" spans="1:12" s="115" customFormat="1">
      <c r="A459" s="78">
        <f t="shared" si="19"/>
        <v>2015</v>
      </c>
      <c r="B459" s="78">
        <f t="shared" si="20"/>
        <v>3</v>
      </c>
      <c r="C459" s="79">
        <v>42094</v>
      </c>
      <c r="D459" s="79" t="s">
        <v>17</v>
      </c>
      <c r="E459" s="79">
        <v>42094</v>
      </c>
      <c r="F459" s="82" t="s">
        <v>35</v>
      </c>
      <c r="G459" s="273"/>
      <c r="H459" s="128"/>
      <c r="I459" s="80">
        <v>7530</v>
      </c>
      <c r="J459" s="81" t="s">
        <v>19</v>
      </c>
      <c r="K459" s="81" t="s">
        <v>54</v>
      </c>
      <c r="L459" s="140" t="str">
        <f>IF(AND('331-CT'!$E$7=TH!H459,OR(J459="331",K459="331")),"x","")</f>
        <v/>
      </c>
    </row>
    <row r="460" spans="1:12" s="115" customFormat="1">
      <c r="A460" s="78">
        <f t="shared" si="19"/>
        <v>2015</v>
      </c>
      <c r="B460" s="78">
        <f t="shared" si="20"/>
        <v>4</v>
      </c>
      <c r="C460" s="79">
        <v>42095</v>
      </c>
      <c r="D460" s="79" t="s">
        <v>73</v>
      </c>
      <c r="E460" s="79">
        <f>C460</f>
        <v>42095</v>
      </c>
      <c r="F460" s="82" t="s">
        <v>159</v>
      </c>
      <c r="G460" s="278" t="s">
        <v>538</v>
      </c>
      <c r="H460" s="128" t="s">
        <v>539</v>
      </c>
      <c r="I460" s="80">
        <v>17290000</v>
      </c>
      <c r="J460" s="81" t="s">
        <v>669</v>
      </c>
      <c r="K460" s="81" t="s">
        <v>203</v>
      </c>
      <c r="L460" s="140" t="str">
        <f>IF(AND('331-CT'!$E$7=TH!H460,OR(J460="331",K460="331")),"x","")</f>
        <v/>
      </c>
    </row>
    <row r="461" spans="1:12" s="115" customFormat="1">
      <c r="A461" s="78">
        <f t="shared" si="19"/>
        <v>2015</v>
      </c>
      <c r="B461" s="78">
        <f t="shared" si="20"/>
        <v>4</v>
      </c>
      <c r="C461" s="79">
        <v>42095</v>
      </c>
      <c r="D461" s="79" t="s">
        <v>73</v>
      </c>
      <c r="E461" s="79">
        <f>C461</f>
        <v>42095</v>
      </c>
      <c r="F461" s="82" t="s">
        <v>160</v>
      </c>
      <c r="G461" s="278" t="s">
        <v>538</v>
      </c>
      <c r="H461" s="128" t="s">
        <v>539</v>
      </c>
      <c r="I461" s="80">
        <v>1729000</v>
      </c>
      <c r="J461" s="81" t="s">
        <v>19</v>
      </c>
      <c r="K461" s="81" t="s">
        <v>203</v>
      </c>
      <c r="L461" s="140" t="str">
        <f>IF(AND('331-CT'!$E$7=TH!H461,OR(J461="331",K461="331")),"x","")</f>
        <v/>
      </c>
    </row>
    <row r="462" spans="1:12" s="115" customFormat="1">
      <c r="A462" s="78">
        <f t="shared" si="19"/>
        <v>2015</v>
      </c>
      <c r="B462" s="78">
        <f t="shared" si="20"/>
        <v>4</v>
      </c>
      <c r="C462" s="113">
        <f>E462</f>
        <v>42096</v>
      </c>
      <c r="D462" s="79" t="s">
        <v>17</v>
      </c>
      <c r="E462" s="79">
        <v>42096</v>
      </c>
      <c r="F462" s="82" t="s">
        <v>113</v>
      </c>
      <c r="G462" s="273"/>
      <c r="H462" s="128" t="s">
        <v>85</v>
      </c>
      <c r="I462" s="80">
        <v>500000000</v>
      </c>
      <c r="J462" s="83" t="s">
        <v>18</v>
      </c>
      <c r="K462" s="81" t="s">
        <v>54</v>
      </c>
      <c r="L462" s="140" t="str">
        <f>IF(AND('331-CT'!$E$7=TH!H462,OR(J462="331",K462="331")),"x","")</f>
        <v/>
      </c>
    </row>
    <row r="463" spans="1:12" s="115" customFormat="1">
      <c r="A463" s="78">
        <f t="shared" si="19"/>
        <v>2015</v>
      </c>
      <c r="B463" s="78">
        <f t="shared" si="20"/>
        <v>4</v>
      </c>
      <c r="C463" s="79">
        <v>42096</v>
      </c>
      <c r="D463" s="79" t="s">
        <v>17</v>
      </c>
      <c r="E463" s="79">
        <v>42096</v>
      </c>
      <c r="F463" s="82" t="s">
        <v>34</v>
      </c>
      <c r="G463" s="273"/>
      <c r="H463" s="128"/>
      <c r="I463" s="80">
        <v>250000</v>
      </c>
      <c r="J463" s="81" t="s">
        <v>242</v>
      </c>
      <c r="K463" s="81" t="s">
        <v>54</v>
      </c>
      <c r="L463" s="140" t="str">
        <f>IF(AND('331-CT'!$E$7=TH!H463,OR(J463="331",K463="331")),"x","")</f>
        <v/>
      </c>
    </row>
    <row r="464" spans="1:12" s="115" customFormat="1">
      <c r="A464" s="78">
        <f t="shared" si="19"/>
        <v>2015</v>
      </c>
      <c r="B464" s="78">
        <f t="shared" si="20"/>
        <v>4</v>
      </c>
      <c r="C464" s="79">
        <v>42096</v>
      </c>
      <c r="D464" s="79" t="s">
        <v>17</v>
      </c>
      <c r="E464" s="79">
        <v>42096</v>
      </c>
      <c r="F464" s="82" t="s">
        <v>35</v>
      </c>
      <c r="G464" s="273"/>
      <c r="H464" s="128"/>
      <c r="I464" s="80">
        <v>25000</v>
      </c>
      <c r="J464" s="81" t="s">
        <v>19</v>
      </c>
      <c r="K464" s="81" t="s">
        <v>54</v>
      </c>
      <c r="L464" s="140" t="str">
        <f>IF(AND('331-CT'!$E$7=TH!H464,OR(J464="331",K464="331")),"x","")</f>
        <v/>
      </c>
    </row>
    <row r="465" spans="1:12" s="115" customFormat="1">
      <c r="A465" s="78">
        <f t="shared" si="19"/>
        <v>2015</v>
      </c>
      <c r="B465" s="78">
        <f t="shared" si="20"/>
        <v>4</v>
      </c>
      <c r="C465" s="79">
        <v>42096</v>
      </c>
      <c r="D465" s="79" t="s">
        <v>92</v>
      </c>
      <c r="E465" s="79">
        <f>C465</f>
        <v>42096</v>
      </c>
      <c r="F465" s="82" t="s">
        <v>159</v>
      </c>
      <c r="G465" s="278" t="s">
        <v>540</v>
      </c>
      <c r="H465" s="128" t="s">
        <v>539</v>
      </c>
      <c r="I465" s="80">
        <v>8170000</v>
      </c>
      <c r="J465" s="81" t="s">
        <v>669</v>
      </c>
      <c r="K465" s="81" t="s">
        <v>203</v>
      </c>
      <c r="L465" s="140" t="str">
        <f>IF(AND('331-CT'!$E$7=TH!H465,OR(J465="331",K465="331")),"x","")</f>
        <v/>
      </c>
    </row>
    <row r="466" spans="1:12" s="115" customFormat="1">
      <c r="A466" s="78">
        <f t="shared" si="19"/>
        <v>2015</v>
      </c>
      <c r="B466" s="78">
        <f t="shared" si="20"/>
        <v>4</v>
      </c>
      <c r="C466" s="79">
        <v>42096</v>
      </c>
      <c r="D466" s="79" t="s">
        <v>92</v>
      </c>
      <c r="E466" s="79">
        <f>C466</f>
        <v>42096</v>
      </c>
      <c r="F466" s="82" t="s">
        <v>160</v>
      </c>
      <c r="G466" s="278" t="s">
        <v>540</v>
      </c>
      <c r="H466" s="128" t="s">
        <v>539</v>
      </c>
      <c r="I466" s="80">
        <v>817000</v>
      </c>
      <c r="J466" s="81" t="s">
        <v>19</v>
      </c>
      <c r="K466" s="81" t="s">
        <v>203</v>
      </c>
      <c r="L466" s="140" t="str">
        <f>IF(AND('331-CT'!$E$7=TH!H466,OR(J466="331",K466="331")),"x","")</f>
        <v/>
      </c>
    </row>
    <row r="467" spans="1:12" s="115" customFormat="1">
      <c r="A467" s="78">
        <f t="shared" si="19"/>
        <v>2015</v>
      </c>
      <c r="B467" s="78">
        <f t="shared" si="20"/>
        <v>4</v>
      </c>
      <c r="C467" s="79">
        <v>42100</v>
      </c>
      <c r="D467" s="79" t="s">
        <v>93</v>
      </c>
      <c r="E467" s="79">
        <f>C467</f>
        <v>42100</v>
      </c>
      <c r="F467" s="82" t="s">
        <v>161</v>
      </c>
      <c r="G467" s="278" t="s">
        <v>541</v>
      </c>
      <c r="H467" s="128" t="s">
        <v>543</v>
      </c>
      <c r="I467" s="80">
        <v>17726430</v>
      </c>
      <c r="J467" s="81" t="s">
        <v>669</v>
      </c>
      <c r="K467" s="81" t="s">
        <v>203</v>
      </c>
      <c r="L467" s="140" t="str">
        <f>IF(AND('331-CT'!$E$7=TH!H467,OR(J467="331",K467="331")),"x","")</f>
        <v/>
      </c>
    </row>
    <row r="468" spans="1:12" s="115" customFormat="1">
      <c r="A468" s="78">
        <f t="shared" si="19"/>
        <v>2015</v>
      </c>
      <c r="B468" s="78">
        <f t="shared" si="20"/>
        <v>4</v>
      </c>
      <c r="C468" s="79">
        <v>42100</v>
      </c>
      <c r="D468" s="79" t="s">
        <v>93</v>
      </c>
      <c r="E468" s="79">
        <f>C468</f>
        <v>42100</v>
      </c>
      <c r="F468" s="82" t="s">
        <v>162</v>
      </c>
      <c r="G468" s="278" t="s">
        <v>541</v>
      </c>
      <c r="H468" s="128" t="s">
        <v>543</v>
      </c>
      <c r="I468" s="80">
        <v>1772643</v>
      </c>
      <c r="J468" s="81" t="s">
        <v>19</v>
      </c>
      <c r="K468" s="81" t="s">
        <v>203</v>
      </c>
      <c r="L468" s="140" t="str">
        <f>IF(AND('331-CT'!$E$7=TH!H468,OR(J468="331",K468="331")),"x","")</f>
        <v/>
      </c>
    </row>
    <row r="469" spans="1:12" s="115" customFormat="1">
      <c r="A469" s="78">
        <f t="shared" ref="A469:A532" si="21">IF(C469&lt;&gt;"",YEAR(C469),"")</f>
        <v>2015</v>
      </c>
      <c r="B469" s="78">
        <f t="shared" ref="B469:B532" si="22">IF(C469&lt;&gt;"",MONTH(C469),"")</f>
        <v>4</v>
      </c>
      <c r="C469" s="113">
        <f>E469</f>
        <v>42103</v>
      </c>
      <c r="D469" s="79" t="s">
        <v>17</v>
      </c>
      <c r="E469" s="79">
        <v>42103</v>
      </c>
      <c r="F469" s="82" t="s">
        <v>173</v>
      </c>
      <c r="G469" s="273"/>
      <c r="H469" s="128" t="s">
        <v>151</v>
      </c>
      <c r="I469" s="80">
        <v>195195000</v>
      </c>
      <c r="J469" s="83" t="s">
        <v>18</v>
      </c>
      <c r="K469" s="81" t="s">
        <v>54</v>
      </c>
      <c r="L469" s="140" t="str">
        <f>IF(AND('331-CT'!$E$7=TH!H469,OR(J469="331",K469="331")),"x","")</f>
        <v/>
      </c>
    </row>
    <row r="470" spans="1:12" s="115" customFormat="1">
      <c r="A470" s="78">
        <f t="shared" si="21"/>
        <v>2015</v>
      </c>
      <c r="B470" s="78">
        <f t="shared" si="22"/>
        <v>4</v>
      </c>
      <c r="C470" s="79">
        <v>42103</v>
      </c>
      <c r="D470" s="79" t="s">
        <v>17</v>
      </c>
      <c r="E470" s="79">
        <v>42103</v>
      </c>
      <c r="F470" s="82" t="s">
        <v>34</v>
      </c>
      <c r="G470" s="273"/>
      <c r="H470" s="128"/>
      <c r="I470" s="80">
        <v>58559</v>
      </c>
      <c r="J470" s="81" t="s">
        <v>242</v>
      </c>
      <c r="K470" s="81" t="s">
        <v>54</v>
      </c>
      <c r="L470" s="140" t="str">
        <f>IF(AND('331-CT'!$E$7=TH!H470,OR(J470="331",K470="331")),"x","")</f>
        <v/>
      </c>
    </row>
    <row r="471" spans="1:12" s="115" customFormat="1">
      <c r="A471" s="78">
        <f t="shared" si="21"/>
        <v>2015</v>
      </c>
      <c r="B471" s="78">
        <f t="shared" si="22"/>
        <v>4</v>
      </c>
      <c r="C471" s="79">
        <v>42103</v>
      </c>
      <c r="D471" s="79" t="s">
        <v>17</v>
      </c>
      <c r="E471" s="79">
        <v>42103</v>
      </c>
      <c r="F471" s="82" t="s">
        <v>35</v>
      </c>
      <c r="G471" s="273"/>
      <c r="H471" s="128"/>
      <c r="I471" s="80">
        <v>5856</v>
      </c>
      <c r="J471" s="81" t="s">
        <v>19</v>
      </c>
      <c r="K471" s="81" t="s">
        <v>54</v>
      </c>
      <c r="L471" s="140" t="str">
        <f>IF(AND('331-CT'!$E$7=TH!H471,OR(J471="331",K471="331")),"x","")</f>
        <v/>
      </c>
    </row>
    <row r="472" spans="1:12" s="115" customFormat="1">
      <c r="A472" s="78">
        <f t="shared" si="21"/>
        <v>2015</v>
      </c>
      <c r="B472" s="78">
        <f t="shared" si="22"/>
        <v>4</v>
      </c>
      <c r="C472" s="79">
        <v>42110</v>
      </c>
      <c r="D472" s="79" t="s">
        <v>72</v>
      </c>
      <c r="E472" s="79">
        <f>C472</f>
        <v>42110</v>
      </c>
      <c r="F472" s="82" t="s">
        <v>161</v>
      </c>
      <c r="G472" s="278" t="s">
        <v>542</v>
      </c>
      <c r="H472" s="128" t="s">
        <v>543</v>
      </c>
      <c r="I472" s="80">
        <v>17424628</v>
      </c>
      <c r="J472" s="81" t="s">
        <v>669</v>
      </c>
      <c r="K472" s="81" t="s">
        <v>203</v>
      </c>
      <c r="L472" s="140" t="str">
        <f>IF(AND('331-CT'!$E$7=TH!H472,OR(J472="331",K472="331")),"x","")</f>
        <v/>
      </c>
    </row>
    <row r="473" spans="1:12" s="115" customFormat="1">
      <c r="A473" s="78">
        <f t="shared" si="21"/>
        <v>2015</v>
      </c>
      <c r="B473" s="78">
        <f t="shared" si="22"/>
        <v>4</v>
      </c>
      <c r="C473" s="79">
        <v>42110</v>
      </c>
      <c r="D473" s="79" t="s">
        <v>72</v>
      </c>
      <c r="E473" s="79">
        <f>C473</f>
        <v>42110</v>
      </c>
      <c r="F473" s="82" t="s">
        <v>162</v>
      </c>
      <c r="G473" s="278" t="s">
        <v>542</v>
      </c>
      <c r="H473" s="128" t="s">
        <v>543</v>
      </c>
      <c r="I473" s="80">
        <v>1742463</v>
      </c>
      <c r="J473" s="81" t="s">
        <v>19</v>
      </c>
      <c r="K473" s="81" t="s">
        <v>203</v>
      </c>
      <c r="L473" s="140" t="str">
        <f>IF(AND('331-CT'!$E$7=TH!H473,OR(J473="331",K473="331")),"x","")</f>
        <v/>
      </c>
    </row>
    <row r="474" spans="1:12" s="115" customFormat="1">
      <c r="A474" s="78">
        <f t="shared" si="21"/>
        <v>2015</v>
      </c>
      <c r="B474" s="78">
        <f t="shared" si="22"/>
        <v>4</v>
      </c>
      <c r="C474" s="79">
        <v>42114</v>
      </c>
      <c r="D474" s="79" t="s">
        <v>17</v>
      </c>
      <c r="E474" s="79">
        <v>42114</v>
      </c>
      <c r="F474" s="82" t="s">
        <v>119</v>
      </c>
      <c r="G474" s="273"/>
      <c r="H474" s="128" t="s">
        <v>314</v>
      </c>
      <c r="I474" s="80">
        <v>8180556</v>
      </c>
      <c r="J474" s="81" t="s">
        <v>240</v>
      </c>
      <c r="K474" s="81" t="s">
        <v>54</v>
      </c>
      <c r="L474" s="140" t="str">
        <f>IF(AND('331-CT'!$E$7=TH!H474,OR(J474="331",K474="331")),"x","")</f>
        <v/>
      </c>
    </row>
    <row r="475" spans="1:12" s="141" customFormat="1">
      <c r="A475" s="78">
        <f t="shared" si="21"/>
        <v>2015</v>
      </c>
      <c r="B475" s="78">
        <f t="shared" si="22"/>
        <v>4</v>
      </c>
      <c r="C475" s="79">
        <v>42114</v>
      </c>
      <c r="D475" s="79" t="s">
        <v>17</v>
      </c>
      <c r="E475" s="79">
        <v>42114</v>
      </c>
      <c r="F475" s="82" t="s">
        <v>141</v>
      </c>
      <c r="G475" s="273"/>
      <c r="H475" s="128" t="s">
        <v>315</v>
      </c>
      <c r="I475" s="80">
        <v>16361111</v>
      </c>
      <c r="J475" s="81" t="s">
        <v>240</v>
      </c>
      <c r="K475" s="81" t="s">
        <v>54</v>
      </c>
      <c r="L475" s="140" t="str">
        <f>IF(AND('331-CT'!$E$7=TH!H475,OR(J475="331",K475="331")),"x","")</f>
        <v/>
      </c>
    </row>
    <row r="476" spans="1:12" s="141" customFormat="1">
      <c r="A476" s="78">
        <f t="shared" si="21"/>
        <v>2015</v>
      </c>
      <c r="B476" s="78">
        <f t="shared" si="22"/>
        <v>4</v>
      </c>
      <c r="C476" s="79">
        <v>42114</v>
      </c>
      <c r="D476" s="79" t="s">
        <v>17</v>
      </c>
      <c r="E476" s="79">
        <v>42114</v>
      </c>
      <c r="F476" s="82" t="s">
        <v>143</v>
      </c>
      <c r="G476" s="273"/>
      <c r="H476" s="128" t="s">
        <v>317</v>
      </c>
      <c r="I476" s="80">
        <v>13088889</v>
      </c>
      <c r="J476" s="81" t="s">
        <v>240</v>
      </c>
      <c r="K476" s="81" t="s">
        <v>54</v>
      </c>
      <c r="L476" s="140" t="str">
        <f>IF(AND('331-CT'!$E$7=TH!H476,OR(J476="331",K476="331")),"x","")</f>
        <v/>
      </c>
    </row>
    <row r="477" spans="1:12" s="115" customFormat="1">
      <c r="A477" s="78">
        <f t="shared" si="21"/>
        <v>2015</v>
      </c>
      <c r="B477" s="78">
        <f t="shared" si="22"/>
        <v>4</v>
      </c>
      <c r="C477" s="79">
        <v>42114</v>
      </c>
      <c r="D477" s="79" t="s">
        <v>17</v>
      </c>
      <c r="E477" s="79">
        <v>42114</v>
      </c>
      <c r="F477" s="82" t="s">
        <v>144</v>
      </c>
      <c r="G477" s="273"/>
      <c r="H477" s="128" t="s">
        <v>316</v>
      </c>
      <c r="I477" s="80">
        <v>12270833</v>
      </c>
      <c r="J477" s="81" t="s">
        <v>240</v>
      </c>
      <c r="K477" s="81" t="s">
        <v>54</v>
      </c>
      <c r="L477" s="140" t="str">
        <f>IF(AND('331-CT'!$E$7=TH!H477,OR(J477="331",K477="331")),"x","")</f>
        <v/>
      </c>
    </row>
    <row r="478" spans="1:12" s="115" customFormat="1">
      <c r="A478" s="78">
        <f t="shared" si="21"/>
        <v>2015</v>
      </c>
      <c r="B478" s="78">
        <f t="shared" si="22"/>
        <v>4</v>
      </c>
      <c r="C478" s="79">
        <v>42114</v>
      </c>
      <c r="D478" s="79" t="s">
        <v>17</v>
      </c>
      <c r="E478" s="79">
        <v>42114</v>
      </c>
      <c r="F478" s="82" t="s">
        <v>145</v>
      </c>
      <c r="G478" s="273"/>
      <c r="H478" s="128" t="s">
        <v>318</v>
      </c>
      <c r="I478" s="80">
        <v>8180556</v>
      </c>
      <c r="J478" s="81" t="s">
        <v>240</v>
      </c>
      <c r="K478" s="81" t="s">
        <v>54</v>
      </c>
      <c r="L478" s="140" t="str">
        <f>IF(AND('331-CT'!$E$7=TH!H478,OR(J478="331",K478="331")),"x","")</f>
        <v/>
      </c>
    </row>
    <row r="479" spans="1:12" s="115" customFormat="1">
      <c r="A479" s="78">
        <f t="shared" si="21"/>
        <v>2015</v>
      </c>
      <c r="B479" s="78">
        <f t="shared" si="22"/>
        <v>4</v>
      </c>
      <c r="C479" s="79">
        <v>42114</v>
      </c>
      <c r="D479" s="79" t="s">
        <v>17</v>
      </c>
      <c r="E479" s="79">
        <v>42114</v>
      </c>
      <c r="F479" s="82" t="s">
        <v>147</v>
      </c>
      <c r="G479" s="273"/>
      <c r="H479" s="128" t="s">
        <v>319</v>
      </c>
      <c r="I479" s="80">
        <v>12270833</v>
      </c>
      <c r="J479" s="81" t="s">
        <v>240</v>
      </c>
      <c r="K479" s="81" t="s">
        <v>54</v>
      </c>
      <c r="L479" s="140" t="str">
        <f>IF(AND('331-CT'!$E$7=TH!H479,OR(J479="331",K479="331")),"x","")</f>
        <v/>
      </c>
    </row>
    <row r="480" spans="1:12" s="115" customFormat="1">
      <c r="A480" s="78">
        <f t="shared" si="21"/>
        <v>2015</v>
      </c>
      <c r="B480" s="78">
        <f t="shared" si="22"/>
        <v>4</v>
      </c>
      <c r="C480" s="79">
        <v>42114</v>
      </c>
      <c r="D480" s="79" t="s">
        <v>71</v>
      </c>
      <c r="E480" s="79">
        <f>C480</f>
        <v>42114</v>
      </c>
      <c r="F480" s="99" t="s">
        <v>590</v>
      </c>
      <c r="G480" s="273"/>
      <c r="H480" s="128" t="s">
        <v>272</v>
      </c>
      <c r="I480" s="80">
        <v>71000000</v>
      </c>
      <c r="J480" s="84" t="s">
        <v>54</v>
      </c>
      <c r="K480" s="81" t="s">
        <v>203</v>
      </c>
      <c r="L480" s="140" t="str">
        <f>IF(AND('331-CT'!$E$7=TH!H480,OR(J480="331",K480="331")),"x","")</f>
        <v/>
      </c>
    </row>
    <row r="481" spans="1:12" s="115" customFormat="1">
      <c r="A481" s="78">
        <f t="shared" si="21"/>
        <v>2015</v>
      </c>
      <c r="B481" s="78">
        <f t="shared" si="22"/>
        <v>4</v>
      </c>
      <c r="C481" s="113">
        <v>42114</v>
      </c>
      <c r="D481" s="79" t="s">
        <v>21</v>
      </c>
      <c r="E481" s="79">
        <v>42114</v>
      </c>
      <c r="F481" s="82" t="s">
        <v>174</v>
      </c>
      <c r="G481" s="273"/>
      <c r="H481" s="128" t="s">
        <v>321</v>
      </c>
      <c r="I481" s="80">
        <v>1400000000</v>
      </c>
      <c r="J481" s="81" t="s">
        <v>54</v>
      </c>
      <c r="K481" s="81" t="s">
        <v>227</v>
      </c>
      <c r="L481" s="140" t="str">
        <f>IF(AND('331-CT'!$E$7=TH!H481,OR(J481="331",K481="331")),"x","")</f>
        <v/>
      </c>
    </row>
    <row r="482" spans="1:12" s="115" customFormat="1">
      <c r="A482" s="135">
        <f t="shared" si="21"/>
        <v>2015</v>
      </c>
      <c r="B482" s="135">
        <f t="shared" si="22"/>
        <v>4</v>
      </c>
      <c r="C482" s="136">
        <v>42115</v>
      </c>
      <c r="D482" s="136" t="s">
        <v>133</v>
      </c>
      <c r="E482" s="136">
        <f>C482</f>
        <v>42115</v>
      </c>
      <c r="F482" s="137" t="s">
        <v>277</v>
      </c>
      <c r="G482" s="279" t="s">
        <v>544</v>
      </c>
      <c r="H482" s="138" t="s">
        <v>188</v>
      </c>
      <c r="I482" s="139">
        <v>3714800</v>
      </c>
      <c r="J482" s="140" t="s">
        <v>242</v>
      </c>
      <c r="K482" s="140" t="s">
        <v>203</v>
      </c>
      <c r="L482" s="140" t="str">
        <f>IF(AND('331-CT'!$E$7=TH!H482,OR(J482="331",K482="331")),"x","")</f>
        <v/>
      </c>
    </row>
    <row r="483" spans="1:12" s="115" customFormat="1">
      <c r="A483" s="135">
        <f t="shared" si="21"/>
        <v>2015</v>
      </c>
      <c r="B483" s="135">
        <f t="shared" si="22"/>
        <v>4</v>
      </c>
      <c r="C483" s="136">
        <v>42115</v>
      </c>
      <c r="D483" s="136" t="s">
        <v>133</v>
      </c>
      <c r="E483" s="136">
        <f>C483</f>
        <v>42115</v>
      </c>
      <c r="F483" s="137" t="s">
        <v>278</v>
      </c>
      <c r="G483" s="279" t="s">
        <v>544</v>
      </c>
      <c r="H483" s="138" t="s">
        <v>188</v>
      </c>
      <c r="I483" s="139">
        <v>185740</v>
      </c>
      <c r="J483" s="140" t="s">
        <v>19</v>
      </c>
      <c r="K483" s="140" t="s">
        <v>203</v>
      </c>
      <c r="L483" s="140" t="str">
        <f>IF(AND('331-CT'!$E$7=TH!H483,OR(J483="331",K483="331")),"x","")</f>
        <v/>
      </c>
    </row>
    <row r="484" spans="1:12" s="115" customFormat="1">
      <c r="A484" s="78">
        <f t="shared" si="21"/>
        <v>2015</v>
      </c>
      <c r="B484" s="78">
        <f t="shared" si="22"/>
        <v>4</v>
      </c>
      <c r="C484" s="113">
        <f>E484</f>
        <v>42116</v>
      </c>
      <c r="D484" s="79" t="s">
        <v>17</v>
      </c>
      <c r="E484" s="79">
        <v>42116</v>
      </c>
      <c r="F484" s="82" t="s">
        <v>113</v>
      </c>
      <c r="G484" s="273"/>
      <c r="H484" s="128" t="s">
        <v>85</v>
      </c>
      <c r="I484" s="80">
        <v>500000000</v>
      </c>
      <c r="J484" s="81" t="s">
        <v>18</v>
      </c>
      <c r="K484" s="81" t="s">
        <v>54</v>
      </c>
      <c r="L484" s="140" t="str">
        <f>IF(AND('331-CT'!$E$7=TH!H484,OR(J484="331",K484="331")),"x","")</f>
        <v/>
      </c>
    </row>
    <row r="485" spans="1:12" s="115" customFormat="1">
      <c r="A485" s="78">
        <f t="shared" si="21"/>
        <v>2015</v>
      </c>
      <c r="B485" s="78">
        <f t="shared" si="22"/>
        <v>4</v>
      </c>
      <c r="C485" s="79">
        <v>42116</v>
      </c>
      <c r="D485" s="79" t="s">
        <v>17</v>
      </c>
      <c r="E485" s="79">
        <v>42116</v>
      </c>
      <c r="F485" s="82" t="s">
        <v>34</v>
      </c>
      <c r="G485" s="273"/>
      <c r="H485" s="128"/>
      <c r="I485" s="80">
        <v>250000</v>
      </c>
      <c r="J485" s="81" t="s">
        <v>242</v>
      </c>
      <c r="K485" s="81" t="s">
        <v>54</v>
      </c>
      <c r="L485" s="140" t="str">
        <f>IF(AND('331-CT'!$E$7=TH!H485,OR(J485="331",K485="331")),"x","")</f>
        <v/>
      </c>
    </row>
    <row r="486" spans="1:12" s="115" customFormat="1">
      <c r="A486" s="78">
        <f t="shared" si="21"/>
        <v>2015</v>
      </c>
      <c r="B486" s="78">
        <f t="shared" si="22"/>
        <v>4</v>
      </c>
      <c r="C486" s="113">
        <f>E486</f>
        <v>42116</v>
      </c>
      <c r="D486" s="79" t="s">
        <v>17</v>
      </c>
      <c r="E486" s="79">
        <v>42116</v>
      </c>
      <c r="F486" s="82" t="s">
        <v>183</v>
      </c>
      <c r="G486" s="273"/>
      <c r="H486" s="128" t="s">
        <v>152</v>
      </c>
      <c r="I486" s="80">
        <v>100000000</v>
      </c>
      <c r="J486" s="81" t="s">
        <v>18</v>
      </c>
      <c r="K486" s="81" t="s">
        <v>54</v>
      </c>
      <c r="L486" s="140" t="str">
        <f>IF(AND('331-CT'!$E$7=TH!H486,OR(J486="331",K486="331")),"x","")</f>
        <v/>
      </c>
    </row>
    <row r="487" spans="1:12" s="115" customFormat="1">
      <c r="A487" s="78">
        <f t="shared" si="21"/>
        <v>2015</v>
      </c>
      <c r="B487" s="78">
        <f t="shared" si="22"/>
        <v>4</v>
      </c>
      <c r="C487" s="79">
        <v>42116</v>
      </c>
      <c r="D487" s="79" t="s">
        <v>17</v>
      </c>
      <c r="E487" s="79">
        <v>42116</v>
      </c>
      <c r="F487" s="82" t="s">
        <v>35</v>
      </c>
      <c r="G487" s="273"/>
      <c r="H487" s="128"/>
      <c r="I487" s="80">
        <v>25000</v>
      </c>
      <c r="J487" s="81" t="s">
        <v>19</v>
      </c>
      <c r="K487" s="81" t="s">
        <v>54</v>
      </c>
      <c r="L487" s="140" t="str">
        <f>IF(AND('331-CT'!$E$7=TH!H487,OR(J487="331",K487="331")),"x","")</f>
        <v/>
      </c>
    </row>
    <row r="488" spans="1:12" s="115" customFormat="1">
      <c r="A488" s="78">
        <f t="shared" si="21"/>
        <v>2015</v>
      </c>
      <c r="B488" s="78">
        <f t="shared" si="22"/>
        <v>4</v>
      </c>
      <c r="C488" s="79">
        <v>42116</v>
      </c>
      <c r="D488" s="79" t="s">
        <v>17</v>
      </c>
      <c r="E488" s="79">
        <v>42116</v>
      </c>
      <c r="F488" s="82" t="s">
        <v>34</v>
      </c>
      <c r="G488" s="273"/>
      <c r="H488" s="130"/>
      <c r="I488" s="80">
        <v>30000</v>
      </c>
      <c r="J488" s="81" t="s">
        <v>242</v>
      </c>
      <c r="K488" s="81" t="s">
        <v>54</v>
      </c>
      <c r="L488" s="140" t="str">
        <f>IF(AND('331-CT'!$E$7=TH!H488,OR(J488="331",K488="331")),"x","")</f>
        <v/>
      </c>
    </row>
    <row r="489" spans="1:12" s="115" customFormat="1">
      <c r="A489" s="78">
        <f t="shared" si="21"/>
        <v>2015</v>
      </c>
      <c r="B489" s="78">
        <f t="shared" si="22"/>
        <v>4</v>
      </c>
      <c r="C489" s="79">
        <v>42116</v>
      </c>
      <c r="D489" s="79" t="s">
        <v>17</v>
      </c>
      <c r="E489" s="79">
        <v>42116</v>
      </c>
      <c r="F489" s="82" t="s">
        <v>35</v>
      </c>
      <c r="G489" s="273"/>
      <c r="H489" s="130"/>
      <c r="I489" s="80">
        <v>3000</v>
      </c>
      <c r="J489" s="81" t="s">
        <v>19</v>
      </c>
      <c r="K489" s="81" t="s">
        <v>54</v>
      </c>
      <c r="L489" s="140" t="str">
        <f>IF(AND('331-CT'!$E$7=TH!H489,OR(J489="331",K489="331")),"x","")</f>
        <v/>
      </c>
    </row>
    <row r="490" spans="1:12" s="115" customFormat="1">
      <c r="A490" s="78">
        <f t="shared" si="21"/>
        <v>2015</v>
      </c>
      <c r="B490" s="78">
        <f t="shared" si="22"/>
        <v>4</v>
      </c>
      <c r="C490" s="113">
        <v>42118</v>
      </c>
      <c r="D490" s="79" t="s">
        <v>21</v>
      </c>
      <c r="E490" s="79">
        <v>42118</v>
      </c>
      <c r="F490" s="82" t="s">
        <v>98</v>
      </c>
      <c r="G490" s="273"/>
      <c r="H490" s="128"/>
      <c r="I490" s="80">
        <v>195198</v>
      </c>
      <c r="J490" s="81" t="s">
        <v>54</v>
      </c>
      <c r="K490" s="81" t="s">
        <v>99</v>
      </c>
      <c r="L490" s="140" t="str">
        <f>IF(AND('331-CT'!$E$7=TH!H490,OR(J490="331",K490="331")),"x","")</f>
        <v/>
      </c>
    </row>
    <row r="491" spans="1:12" s="115" customFormat="1">
      <c r="A491" s="78">
        <f t="shared" si="21"/>
        <v>2015</v>
      </c>
      <c r="B491" s="78">
        <f t="shared" si="22"/>
        <v>5</v>
      </c>
      <c r="C491" s="113">
        <f>E491</f>
        <v>42131</v>
      </c>
      <c r="D491" s="79" t="s">
        <v>17</v>
      </c>
      <c r="E491" s="79">
        <v>42131</v>
      </c>
      <c r="F491" s="82" t="s">
        <v>175</v>
      </c>
      <c r="G491" s="273"/>
      <c r="H491" s="130" t="s">
        <v>138</v>
      </c>
      <c r="I491" s="80">
        <v>500000000</v>
      </c>
      <c r="J491" s="81" t="s">
        <v>18</v>
      </c>
      <c r="K491" s="81" t="s">
        <v>54</v>
      </c>
      <c r="L491" s="140" t="str">
        <f>IF(AND('331-CT'!$E$7=TH!H491,OR(J491="331",K491="331")),"x","")</f>
        <v/>
      </c>
    </row>
    <row r="492" spans="1:12" s="115" customFormat="1">
      <c r="A492" s="78">
        <f t="shared" si="21"/>
        <v>2015</v>
      </c>
      <c r="B492" s="78">
        <f t="shared" si="22"/>
        <v>5</v>
      </c>
      <c r="C492" s="79">
        <v>42131</v>
      </c>
      <c r="D492" s="79" t="s">
        <v>17</v>
      </c>
      <c r="E492" s="79">
        <v>42131</v>
      </c>
      <c r="F492" s="82" t="s">
        <v>34</v>
      </c>
      <c r="G492" s="273"/>
      <c r="H492" s="128"/>
      <c r="I492" s="80">
        <v>150000</v>
      </c>
      <c r="J492" s="81" t="s">
        <v>242</v>
      </c>
      <c r="K492" s="81" t="s">
        <v>54</v>
      </c>
      <c r="L492" s="140" t="str">
        <f>IF(AND('331-CT'!$E$7=TH!H492,OR(J492="331",K492="331")),"x","")</f>
        <v/>
      </c>
    </row>
    <row r="493" spans="1:12" s="115" customFormat="1">
      <c r="A493" s="78">
        <f t="shared" si="21"/>
        <v>2015</v>
      </c>
      <c r="B493" s="78">
        <f t="shared" si="22"/>
        <v>5</v>
      </c>
      <c r="C493" s="79">
        <v>42131</v>
      </c>
      <c r="D493" s="79" t="s">
        <v>17</v>
      </c>
      <c r="E493" s="79">
        <v>42131</v>
      </c>
      <c r="F493" s="82" t="s">
        <v>35</v>
      </c>
      <c r="G493" s="273"/>
      <c r="H493" s="128"/>
      <c r="I493" s="80">
        <v>15000</v>
      </c>
      <c r="J493" s="81" t="s">
        <v>19</v>
      </c>
      <c r="K493" s="81" t="s">
        <v>54</v>
      </c>
      <c r="L493" s="140" t="str">
        <f>IF(AND('331-CT'!$E$7=TH!H493,OR(J493="331",K493="331")),"x","")</f>
        <v/>
      </c>
    </row>
    <row r="494" spans="1:12" s="115" customFormat="1">
      <c r="A494" s="78">
        <f t="shared" si="21"/>
        <v>2015</v>
      </c>
      <c r="B494" s="78">
        <f t="shared" si="22"/>
        <v>5</v>
      </c>
      <c r="C494" s="113">
        <f>E494</f>
        <v>42131</v>
      </c>
      <c r="D494" s="79" t="s">
        <v>17</v>
      </c>
      <c r="E494" s="79">
        <v>42131</v>
      </c>
      <c r="F494" s="82" t="s">
        <v>176</v>
      </c>
      <c r="G494" s="273"/>
      <c r="H494" s="130" t="s">
        <v>300</v>
      </c>
      <c r="I494" s="80">
        <v>100000000</v>
      </c>
      <c r="J494" s="81" t="s">
        <v>18</v>
      </c>
      <c r="K494" s="81" t="s">
        <v>54</v>
      </c>
      <c r="L494" s="140" t="str">
        <f>IF(AND('331-CT'!$E$7=TH!H494,OR(J494="331",K494="331")),"x","")</f>
        <v/>
      </c>
    </row>
    <row r="495" spans="1:12" s="115" customFormat="1">
      <c r="A495" s="78">
        <f t="shared" si="21"/>
        <v>2015</v>
      </c>
      <c r="B495" s="78">
        <f t="shared" si="22"/>
        <v>5</v>
      </c>
      <c r="C495" s="79">
        <v>42131</v>
      </c>
      <c r="D495" s="79" t="s">
        <v>17</v>
      </c>
      <c r="E495" s="79">
        <v>42131</v>
      </c>
      <c r="F495" s="82" t="s">
        <v>34</v>
      </c>
      <c r="G495" s="273"/>
      <c r="H495" s="130"/>
      <c r="I495" s="80">
        <v>30000</v>
      </c>
      <c r="J495" s="81" t="s">
        <v>242</v>
      </c>
      <c r="K495" s="81" t="s">
        <v>54</v>
      </c>
      <c r="L495" s="140" t="str">
        <f>IF(AND('331-CT'!$E$7=TH!H495,OR(J495="331",K495="331")),"x","")</f>
        <v/>
      </c>
    </row>
    <row r="496" spans="1:12" s="115" customFormat="1">
      <c r="A496" s="78">
        <f t="shared" si="21"/>
        <v>2015</v>
      </c>
      <c r="B496" s="78">
        <f t="shared" si="22"/>
        <v>5</v>
      </c>
      <c r="C496" s="79">
        <v>42131</v>
      </c>
      <c r="D496" s="79" t="s">
        <v>17</v>
      </c>
      <c r="E496" s="79">
        <v>42131</v>
      </c>
      <c r="F496" s="82" t="s">
        <v>35</v>
      </c>
      <c r="G496" s="273"/>
      <c r="H496" s="130"/>
      <c r="I496" s="80">
        <v>3000</v>
      </c>
      <c r="J496" s="81" t="s">
        <v>19</v>
      </c>
      <c r="K496" s="81" t="s">
        <v>54</v>
      </c>
      <c r="L496" s="140" t="str">
        <f>IF(AND('331-CT'!$E$7=TH!H496,OR(J496="331",K496="331")),"x","")</f>
        <v/>
      </c>
    </row>
    <row r="497" spans="1:12" s="115" customFormat="1">
      <c r="A497" s="78">
        <f t="shared" si="21"/>
        <v>2015</v>
      </c>
      <c r="B497" s="78">
        <f t="shared" si="22"/>
        <v>5</v>
      </c>
      <c r="C497" s="79">
        <v>42132</v>
      </c>
      <c r="D497" s="79" t="s">
        <v>78</v>
      </c>
      <c r="E497" s="79">
        <f>C497</f>
        <v>42132</v>
      </c>
      <c r="F497" s="82" t="s">
        <v>284</v>
      </c>
      <c r="G497" s="278" t="s">
        <v>585</v>
      </c>
      <c r="H497" s="7" t="s">
        <v>285</v>
      </c>
      <c r="I497" s="80">
        <v>30440000</v>
      </c>
      <c r="J497" s="142" t="s">
        <v>669</v>
      </c>
      <c r="K497" s="142" t="s">
        <v>18</v>
      </c>
      <c r="L497" s="140" t="str">
        <f>IF(AND('331-CT'!$E$7=TH!H497,OR(J497="331",K497="331")),"x","")</f>
        <v/>
      </c>
    </row>
    <row r="498" spans="1:12" s="115" customFormat="1">
      <c r="A498" s="78">
        <f t="shared" si="21"/>
        <v>2015</v>
      </c>
      <c r="B498" s="78">
        <f t="shared" si="22"/>
        <v>5</v>
      </c>
      <c r="C498" s="113">
        <f>E498</f>
        <v>42132</v>
      </c>
      <c r="D498" s="79" t="s">
        <v>17</v>
      </c>
      <c r="E498" s="79">
        <v>42132</v>
      </c>
      <c r="F498" s="82" t="s">
        <v>177</v>
      </c>
      <c r="G498" s="273"/>
      <c r="H498" s="128"/>
      <c r="I498" s="80">
        <v>150000000</v>
      </c>
      <c r="J498" s="81" t="s">
        <v>212</v>
      </c>
      <c r="K498" s="81" t="s">
        <v>54</v>
      </c>
      <c r="L498" s="140" t="str">
        <f>IF(AND('331-CT'!$E$7=TH!H498,OR(J498="331",K498="331")),"x","")</f>
        <v/>
      </c>
    </row>
    <row r="499" spans="1:12" s="115" customFormat="1">
      <c r="A499" s="78">
        <f t="shared" si="21"/>
        <v>2015</v>
      </c>
      <c r="B499" s="78">
        <f t="shared" si="22"/>
        <v>5</v>
      </c>
      <c r="C499" s="79">
        <v>42132</v>
      </c>
      <c r="D499" s="79" t="s">
        <v>17</v>
      </c>
      <c r="E499" s="79">
        <v>42132</v>
      </c>
      <c r="F499" s="82" t="s">
        <v>34</v>
      </c>
      <c r="G499" s="273"/>
      <c r="H499" s="128"/>
      <c r="I499" s="80">
        <v>75000</v>
      </c>
      <c r="J499" s="81" t="s">
        <v>242</v>
      </c>
      <c r="K499" s="81" t="s">
        <v>54</v>
      </c>
      <c r="L499" s="140" t="str">
        <f>IF(AND('331-CT'!$E$7=TH!H499,OR(J499="331",K499="331")),"x","")</f>
        <v/>
      </c>
    </row>
    <row r="500" spans="1:12" s="115" customFormat="1">
      <c r="A500" s="78">
        <f t="shared" si="21"/>
        <v>2015</v>
      </c>
      <c r="B500" s="78">
        <f t="shared" si="22"/>
        <v>5</v>
      </c>
      <c r="C500" s="79">
        <v>42132</v>
      </c>
      <c r="D500" s="79" t="s">
        <v>17</v>
      </c>
      <c r="E500" s="79">
        <v>42132</v>
      </c>
      <c r="F500" s="82" t="s">
        <v>35</v>
      </c>
      <c r="G500" s="273"/>
      <c r="H500" s="128"/>
      <c r="I500" s="80">
        <v>7500</v>
      </c>
      <c r="J500" s="81" t="s">
        <v>19</v>
      </c>
      <c r="K500" s="81" t="s">
        <v>54</v>
      </c>
      <c r="L500" s="140" t="str">
        <f>IF(AND('331-CT'!$E$7=TH!H500,OR(J500="331",K500="331")),"x","")</f>
        <v/>
      </c>
    </row>
    <row r="501" spans="1:12" s="115" customFormat="1">
      <c r="A501" s="78">
        <f t="shared" si="21"/>
        <v>2015</v>
      </c>
      <c r="B501" s="78">
        <f t="shared" si="22"/>
        <v>5</v>
      </c>
      <c r="C501" s="113">
        <v>42136</v>
      </c>
      <c r="D501" s="79" t="s">
        <v>21</v>
      </c>
      <c r="E501" s="79">
        <v>42136</v>
      </c>
      <c r="F501" s="82" t="s">
        <v>177</v>
      </c>
      <c r="G501" s="273"/>
      <c r="H501" s="128"/>
      <c r="I501" s="80">
        <v>150000000</v>
      </c>
      <c r="J501" s="81" t="s">
        <v>54</v>
      </c>
      <c r="K501" s="81" t="s">
        <v>212</v>
      </c>
      <c r="L501" s="140" t="str">
        <f>IF(AND('331-CT'!$E$7=TH!H501,OR(J501="331",K501="331")),"x","")</f>
        <v/>
      </c>
    </row>
    <row r="502" spans="1:12" s="115" customFormat="1">
      <c r="A502" s="78">
        <f t="shared" si="21"/>
        <v>2015</v>
      </c>
      <c r="B502" s="78">
        <f t="shared" si="22"/>
        <v>5</v>
      </c>
      <c r="C502" s="113">
        <f>E502</f>
        <v>42136</v>
      </c>
      <c r="D502" s="79" t="s">
        <v>17</v>
      </c>
      <c r="E502" s="79">
        <v>42136</v>
      </c>
      <c r="F502" s="82" t="s">
        <v>177</v>
      </c>
      <c r="G502" s="273"/>
      <c r="H502" s="128" t="s">
        <v>172</v>
      </c>
      <c r="I502" s="80">
        <v>150000000</v>
      </c>
      <c r="J502" s="81" t="s">
        <v>18</v>
      </c>
      <c r="K502" s="81" t="s">
        <v>54</v>
      </c>
      <c r="L502" s="140" t="str">
        <f>IF(AND('331-CT'!$E$7=TH!H502,OR(J502="331",K502="331")),"x","")</f>
        <v/>
      </c>
    </row>
    <row r="503" spans="1:12" s="115" customFormat="1">
      <c r="A503" s="78">
        <f t="shared" si="21"/>
        <v>2015</v>
      </c>
      <c r="B503" s="78">
        <f t="shared" si="22"/>
        <v>5</v>
      </c>
      <c r="C503" s="79">
        <v>42136</v>
      </c>
      <c r="D503" s="79" t="s">
        <v>17</v>
      </c>
      <c r="E503" s="79">
        <v>42136</v>
      </c>
      <c r="F503" s="82" t="s">
        <v>34</v>
      </c>
      <c r="G503" s="273"/>
      <c r="H503" s="128"/>
      <c r="I503" s="80">
        <v>75000</v>
      </c>
      <c r="J503" s="81" t="s">
        <v>242</v>
      </c>
      <c r="K503" s="81" t="s">
        <v>54</v>
      </c>
      <c r="L503" s="140" t="str">
        <f>IF(AND('331-CT'!$E$7=TH!H503,OR(J503="331",K503="331")),"x","")</f>
        <v/>
      </c>
    </row>
    <row r="504" spans="1:12" s="115" customFormat="1">
      <c r="A504" s="78">
        <f t="shared" si="21"/>
        <v>2015</v>
      </c>
      <c r="B504" s="78">
        <f t="shared" si="22"/>
        <v>5</v>
      </c>
      <c r="C504" s="79">
        <v>42136</v>
      </c>
      <c r="D504" s="79" t="s">
        <v>17</v>
      </c>
      <c r="E504" s="79">
        <v>42136</v>
      </c>
      <c r="F504" s="82" t="s">
        <v>35</v>
      </c>
      <c r="G504" s="273"/>
      <c r="H504" s="128"/>
      <c r="I504" s="80">
        <v>7500</v>
      </c>
      <c r="J504" s="81" t="s">
        <v>19</v>
      </c>
      <c r="K504" s="81" t="s">
        <v>54</v>
      </c>
      <c r="L504" s="140" t="str">
        <f>IF(AND('331-CT'!$E$7=TH!H504,OR(J504="331",K504="331")),"x","")</f>
        <v/>
      </c>
    </row>
    <row r="505" spans="1:12" s="115" customFormat="1">
      <c r="A505" s="78">
        <f t="shared" si="21"/>
        <v>2015</v>
      </c>
      <c r="B505" s="78">
        <f t="shared" si="22"/>
        <v>5</v>
      </c>
      <c r="C505" s="113">
        <v>42138</v>
      </c>
      <c r="D505" s="79" t="s">
        <v>21</v>
      </c>
      <c r="E505" s="79">
        <v>42138</v>
      </c>
      <c r="F505" s="82" t="s">
        <v>178</v>
      </c>
      <c r="G505" s="273"/>
      <c r="H505" s="128" t="s">
        <v>322</v>
      </c>
      <c r="I505" s="80">
        <v>1500000000</v>
      </c>
      <c r="J505" s="81" t="s">
        <v>54</v>
      </c>
      <c r="K505" s="81" t="s">
        <v>227</v>
      </c>
      <c r="L505" s="140" t="str">
        <f>IF(AND('331-CT'!$E$7=TH!H505,OR(J505="331",K505="331")),"x","")</f>
        <v/>
      </c>
    </row>
    <row r="506" spans="1:12" s="115" customFormat="1">
      <c r="A506" s="78">
        <f t="shared" si="21"/>
        <v>2015</v>
      </c>
      <c r="B506" s="78">
        <f t="shared" si="22"/>
        <v>5</v>
      </c>
      <c r="C506" s="113">
        <f>E506</f>
        <v>42138</v>
      </c>
      <c r="D506" s="79" t="s">
        <v>17</v>
      </c>
      <c r="E506" s="79">
        <v>42138</v>
      </c>
      <c r="F506" s="82" t="s">
        <v>113</v>
      </c>
      <c r="G506" s="273"/>
      <c r="H506" s="128" t="s">
        <v>85</v>
      </c>
      <c r="I506" s="80">
        <v>500000000</v>
      </c>
      <c r="J506" s="84" t="s">
        <v>18</v>
      </c>
      <c r="K506" s="81" t="s">
        <v>54</v>
      </c>
      <c r="L506" s="140" t="str">
        <f>IF(AND('331-CT'!$E$7=TH!H506,OR(J506="331",K506="331")),"x","")</f>
        <v/>
      </c>
    </row>
    <row r="507" spans="1:12" s="115" customFormat="1">
      <c r="A507" s="78">
        <f t="shared" si="21"/>
        <v>2015</v>
      </c>
      <c r="B507" s="78">
        <f t="shared" si="22"/>
        <v>5</v>
      </c>
      <c r="C507" s="79">
        <v>42138</v>
      </c>
      <c r="D507" s="79" t="s">
        <v>17</v>
      </c>
      <c r="E507" s="79">
        <v>42138</v>
      </c>
      <c r="F507" s="82" t="s">
        <v>34</v>
      </c>
      <c r="G507" s="273"/>
      <c r="H507" s="128"/>
      <c r="I507" s="80">
        <v>250000</v>
      </c>
      <c r="J507" s="81" t="s">
        <v>242</v>
      </c>
      <c r="K507" s="81" t="s">
        <v>54</v>
      </c>
      <c r="L507" s="140" t="str">
        <f>IF(AND('331-CT'!$E$7=TH!H507,OR(J507="331",K507="331")),"x","")</f>
        <v/>
      </c>
    </row>
    <row r="508" spans="1:12" s="115" customFormat="1">
      <c r="A508" s="78">
        <f t="shared" si="21"/>
        <v>2015</v>
      </c>
      <c r="B508" s="78">
        <f t="shared" si="22"/>
        <v>5</v>
      </c>
      <c r="C508" s="79">
        <v>42138</v>
      </c>
      <c r="D508" s="79" t="s">
        <v>17</v>
      </c>
      <c r="E508" s="79">
        <v>42138</v>
      </c>
      <c r="F508" s="82" t="s">
        <v>35</v>
      </c>
      <c r="G508" s="273"/>
      <c r="H508" s="128"/>
      <c r="I508" s="80">
        <v>25000</v>
      </c>
      <c r="J508" s="81" t="s">
        <v>19</v>
      </c>
      <c r="K508" s="81" t="s">
        <v>54</v>
      </c>
      <c r="L508" s="140" t="str">
        <f>IF(AND('331-CT'!$E$7=TH!H508,OR(J508="331",K508="331")),"x","")</f>
        <v/>
      </c>
    </row>
    <row r="509" spans="1:12" s="115" customFormat="1">
      <c r="A509" s="78">
        <f t="shared" si="21"/>
        <v>2015</v>
      </c>
      <c r="B509" s="78">
        <f t="shared" si="22"/>
        <v>5</v>
      </c>
      <c r="C509" s="113">
        <f>E509</f>
        <v>42142</v>
      </c>
      <c r="D509" s="79" t="s">
        <v>17</v>
      </c>
      <c r="E509" s="79">
        <v>42142</v>
      </c>
      <c r="F509" s="82" t="s">
        <v>175</v>
      </c>
      <c r="G509" s="273"/>
      <c r="H509" s="128" t="s">
        <v>138</v>
      </c>
      <c r="I509" s="80">
        <v>500000000</v>
      </c>
      <c r="J509" s="81" t="s">
        <v>18</v>
      </c>
      <c r="K509" s="81" t="s">
        <v>54</v>
      </c>
      <c r="L509" s="140" t="str">
        <f>IF(AND('331-CT'!$E$7=TH!H509,OR(J509="331",K509="331")),"x","")</f>
        <v/>
      </c>
    </row>
    <row r="510" spans="1:12" s="115" customFormat="1">
      <c r="A510" s="78">
        <f t="shared" si="21"/>
        <v>2015</v>
      </c>
      <c r="B510" s="78">
        <f t="shared" si="22"/>
        <v>5</v>
      </c>
      <c r="C510" s="79">
        <v>42142</v>
      </c>
      <c r="D510" s="79" t="s">
        <v>17</v>
      </c>
      <c r="E510" s="79">
        <v>42142</v>
      </c>
      <c r="F510" s="82" t="s">
        <v>34</v>
      </c>
      <c r="G510" s="273"/>
      <c r="H510" s="128"/>
      <c r="I510" s="80">
        <v>150000</v>
      </c>
      <c r="J510" s="81" t="s">
        <v>242</v>
      </c>
      <c r="K510" s="81" t="s">
        <v>54</v>
      </c>
      <c r="L510" s="140" t="str">
        <f>IF(AND('331-CT'!$E$7=TH!H510,OR(J510="331",K510="331")),"x","")</f>
        <v/>
      </c>
    </row>
    <row r="511" spans="1:12" s="115" customFormat="1">
      <c r="A511" s="78">
        <f t="shared" si="21"/>
        <v>2015</v>
      </c>
      <c r="B511" s="78">
        <f t="shared" si="22"/>
        <v>5</v>
      </c>
      <c r="C511" s="79">
        <v>42142</v>
      </c>
      <c r="D511" s="79" t="s">
        <v>17</v>
      </c>
      <c r="E511" s="79">
        <v>42142</v>
      </c>
      <c r="F511" s="82" t="s">
        <v>35</v>
      </c>
      <c r="G511" s="273"/>
      <c r="H511" s="128"/>
      <c r="I511" s="80">
        <v>15000</v>
      </c>
      <c r="J511" s="81" t="s">
        <v>19</v>
      </c>
      <c r="K511" s="81" t="s">
        <v>54</v>
      </c>
      <c r="L511" s="140" t="str">
        <f>IF(AND('331-CT'!$E$7=TH!H511,OR(J511="331",K511="331")),"x","")</f>
        <v/>
      </c>
    </row>
    <row r="512" spans="1:12" s="115" customFormat="1">
      <c r="A512" s="78">
        <f t="shared" si="21"/>
        <v>2015</v>
      </c>
      <c r="B512" s="78">
        <f t="shared" si="22"/>
        <v>5</v>
      </c>
      <c r="C512" s="79">
        <v>42143</v>
      </c>
      <c r="D512" s="79" t="s">
        <v>73</v>
      </c>
      <c r="E512" s="79">
        <f t="shared" ref="E512:E573" si="23">C512</f>
        <v>42143</v>
      </c>
      <c r="F512" s="99" t="s">
        <v>590</v>
      </c>
      <c r="G512" s="273"/>
      <c r="H512" s="128" t="s">
        <v>272</v>
      </c>
      <c r="I512" s="80">
        <v>97000000</v>
      </c>
      <c r="J512" s="84" t="s">
        <v>54</v>
      </c>
      <c r="K512" s="81" t="s">
        <v>203</v>
      </c>
      <c r="L512" s="140" t="str">
        <f>IF(AND('331-CT'!$E$7=TH!H512,OR(J512="331",K512="331")),"x","")</f>
        <v/>
      </c>
    </row>
    <row r="513" spans="1:12" s="115" customFormat="1">
      <c r="A513" s="78">
        <f t="shared" si="21"/>
        <v>2015</v>
      </c>
      <c r="B513" s="78">
        <f t="shared" si="22"/>
        <v>5</v>
      </c>
      <c r="C513" s="79">
        <v>42144</v>
      </c>
      <c r="D513" s="79" t="s">
        <v>17</v>
      </c>
      <c r="E513" s="79">
        <f t="shared" si="23"/>
        <v>42144</v>
      </c>
      <c r="F513" s="82" t="s">
        <v>119</v>
      </c>
      <c r="G513" s="273"/>
      <c r="H513" s="129" t="s">
        <v>314</v>
      </c>
      <c r="I513" s="80">
        <v>7916667</v>
      </c>
      <c r="J513" s="81" t="s">
        <v>240</v>
      </c>
      <c r="K513" s="81" t="s">
        <v>54</v>
      </c>
      <c r="L513" s="140" t="str">
        <f>IF(AND('331-CT'!$E$7=TH!H513,OR(J513="331",K513="331")),"x","")</f>
        <v/>
      </c>
    </row>
    <row r="514" spans="1:12" s="115" customFormat="1">
      <c r="A514" s="78">
        <f t="shared" si="21"/>
        <v>2015</v>
      </c>
      <c r="B514" s="78">
        <f t="shared" si="22"/>
        <v>5</v>
      </c>
      <c r="C514" s="79">
        <v>42144</v>
      </c>
      <c r="D514" s="79" t="s">
        <v>17</v>
      </c>
      <c r="E514" s="79">
        <f t="shared" si="23"/>
        <v>42144</v>
      </c>
      <c r="F514" s="82" t="s">
        <v>141</v>
      </c>
      <c r="G514" s="273"/>
      <c r="H514" s="128" t="s">
        <v>315</v>
      </c>
      <c r="I514" s="80">
        <v>15833333</v>
      </c>
      <c r="J514" s="81" t="s">
        <v>240</v>
      </c>
      <c r="K514" s="81" t="s">
        <v>54</v>
      </c>
      <c r="L514" s="140" t="str">
        <f>IF(AND('331-CT'!$E$7=TH!H514,OR(J514="331",K514="331")),"x","")</f>
        <v/>
      </c>
    </row>
    <row r="515" spans="1:12" s="115" customFormat="1">
      <c r="A515" s="78">
        <f t="shared" si="21"/>
        <v>2015</v>
      </c>
      <c r="B515" s="78">
        <f t="shared" si="22"/>
        <v>5</v>
      </c>
      <c r="C515" s="79">
        <v>42144</v>
      </c>
      <c r="D515" s="79" t="s">
        <v>17</v>
      </c>
      <c r="E515" s="79">
        <f t="shared" si="23"/>
        <v>42144</v>
      </c>
      <c r="F515" s="82" t="s">
        <v>143</v>
      </c>
      <c r="G515" s="273"/>
      <c r="H515" s="128" t="s">
        <v>317</v>
      </c>
      <c r="I515" s="80">
        <v>12666667</v>
      </c>
      <c r="J515" s="81" t="s">
        <v>240</v>
      </c>
      <c r="K515" s="81" t="s">
        <v>54</v>
      </c>
      <c r="L515" s="140" t="str">
        <f>IF(AND('331-CT'!$E$7=TH!H515,OR(J515="331",K515="331")),"x","")</f>
        <v/>
      </c>
    </row>
    <row r="516" spans="1:12" s="115" customFormat="1">
      <c r="A516" s="78">
        <f t="shared" si="21"/>
        <v>2015</v>
      </c>
      <c r="B516" s="78">
        <f t="shared" si="22"/>
        <v>5</v>
      </c>
      <c r="C516" s="79">
        <v>42144</v>
      </c>
      <c r="D516" s="79" t="s">
        <v>17</v>
      </c>
      <c r="E516" s="79">
        <f t="shared" si="23"/>
        <v>42144</v>
      </c>
      <c r="F516" s="260" t="s">
        <v>144</v>
      </c>
      <c r="G516" s="280"/>
      <c r="H516" s="129" t="s">
        <v>316</v>
      </c>
      <c r="I516" s="80">
        <v>11879701</v>
      </c>
      <c r="J516" s="81" t="s">
        <v>240</v>
      </c>
      <c r="K516" s="81" t="s">
        <v>54</v>
      </c>
      <c r="L516" s="140" t="str">
        <f>IF(AND('331-CT'!$E$7=TH!H516,OR(J516="331",K516="331")),"x","")</f>
        <v/>
      </c>
    </row>
    <row r="517" spans="1:12" s="115" customFormat="1">
      <c r="A517" s="78">
        <f t="shared" si="21"/>
        <v>2015</v>
      </c>
      <c r="B517" s="78">
        <f t="shared" si="22"/>
        <v>5</v>
      </c>
      <c r="C517" s="79">
        <v>42144</v>
      </c>
      <c r="D517" s="79" t="s">
        <v>17</v>
      </c>
      <c r="E517" s="79">
        <f t="shared" si="23"/>
        <v>42144</v>
      </c>
      <c r="F517" s="82" t="s">
        <v>145</v>
      </c>
      <c r="G517" s="273"/>
      <c r="H517" s="128" t="s">
        <v>318</v>
      </c>
      <c r="I517" s="80">
        <v>7916667</v>
      </c>
      <c r="J517" s="81" t="s">
        <v>240</v>
      </c>
      <c r="K517" s="81" t="s">
        <v>54</v>
      </c>
      <c r="L517" s="140" t="str">
        <f>IF(AND('331-CT'!$E$7=TH!H517,OR(J517="331",K517="331")),"x","")</f>
        <v/>
      </c>
    </row>
    <row r="518" spans="1:12" s="115" customFormat="1">
      <c r="A518" s="78">
        <f t="shared" si="21"/>
        <v>2015</v>
      </c>
      <c r="B518" s="78">
        <f t="shared" si="22"/>
        <v>5</v>
      </c>
      <c r="C518" s="79">
        <v>42144</v>
      </c>
      <c r="D518" s="79" t="s">
        <v>17</v>
      </c>
      <c r="E518" s="79">
        <f t="shared" si="23"/>
        <v>42144</v>
      </c>
      <c r="F518" s="82" t="s">
        <v>147</v>
      </c>
      <c r="G518" s="273"/>
      <c r="H518" s="128" t="s">
        <v>319</v>
      </c>
      <c r="I518" s="80">
        <v>11875000</v>
      </c>
      <c r="J518" s="81" t="s">
        <v>240</v>
      </c>
      <c r="K518" s="81" t="s">
        <v>54</v>
      </c>
      <c r="L518" s="140" t="str">
        <f>IF(AND('331-CT'!$E$7=TH!H518,OR(J518="331",K518="331")),"x","")</f>
        <v/>
      </c>
    </row>
    <row r="519" spans="1:12" s="115" customFormat="1">
      <c r="A519" s="78">
        <f t="shared" si="21"/>
        <v>2015</v>
      </c>
      <c r="B519" s="78">
        <f t="shared" si="22"/>
        <v>5</v>
      </c>
      <c r="C519" s="79">
        <v>42144</v>
      </c>
      <c r="D519" s="79" t="s">
        <v>17</v>
      </c>
      <c r="E519" s="79">
        <f t="shared" si="23"/>
        <v>42144</v>
      </c>
      <c r="F519" s="82" t="s">
        <v>273</v>
      </c>
      <c r="G519" s="273"/>
      <c r="H519" s="128" t="s">
        <v>320</v>
      </c>
      <c r="I519" s="80">
        <v>29027778</v>
      </c>
      <c r="J519" s="81" t="s">
        <v>240</v>
      </c>
      <c r="K519" s="81" t="s">
        <v>54</v>
      </c>
      <c r="L519" s="140" t="str">
        <f>IF(AND('331-CT'!$E$7=TH!H519,OR(J519="331",K519="331")),"x","")</f>
        <v/>
      </c>
    </row>
    <row r="520" spans="1:12" s="115" customFormat="1">
      <c r="A520" s="78">
        <f t="shared" si="21"/>
        <v>2015</v>
      </c>
      <c r="B520" s="78">
        <f t="shared" si="22"/>
        <v>5</v>
      </c>
      <c r="C520" s="79">
        <v>42144</v>
      </c>
      <c r="D520" s="79" t="s">
        <v>17</v>
      </c>
      <c r="E520" s="79">
        <f t="shared" si="23"/>
        <v>42144</v>
      </c>
      <c r="F520" s="82" t="s">
        <v>177</v>
      </c>
      <c r="G520" s="273"/>
      <c r="H520" s="128" t="s">
        <v>172</v>
      </c>
      <c r="I520" s="80">
        <v>150000000</v>
      </c>
      <c r="J520" s="81" t="s">
        <v>18</v>
      </c>
      <c r="K520" s="81" t="s">
        <v>54</v>
      </c>
      <c r="L520" s="140" t="str">
        <f>IF(AND('331-CT'!$E$7=TH!H520,OR(J520="331",K520="331")),"x","")</f>
        <v/>
      </c>
    </row>
    <row r="521" spans="1:12" s="115" customFormat="1">
      <c r="A521" s="78">
        <f t="shared" si="21"/>
        <v>2015</v>
      </c>
      <c r="B521" s="78">
        <f t="shared" si="22"/>
        <v>5</v>
      </c>
      <c r="C521" s="79">
        <v>42144</v>
      </c>
      <c r="D521" s="79" t="s">
        <v>17</v>
      </c>
      <c r="E521" s="79">
        <f t="shared" si="23"/>
        <v>42144</v>
      </c>
      <c r="F521" s="82" t="s">
        <v>34</v>
      </c>
      <c r="G521" s="273"/>
      <c r="H521" s="128"/>
      <c r="I521" s="80">
        <v>75000</v>
      </c>
      <c r="J521" s="81" t="s">
        <v>242</v>
      </c>
      <c r="K521" s="81" t="s">
        <v>54</v>
      </c>
      <c r="L521" s="140" t="str">
        <f>IF(AND('331-CT'!$E$7=TH!H521,OR(J521="331",K521="331")),"x","")</f>
        <v/>
      </c>
    </row>
    <row r="522" spans="1:12" s="115" customFormat="1">
      <c r="A522" s="78">
        <f t="shared" si="21"/>
        <v>2015</v>
      </c>
      <c r="B522" s="78">
        <f t="shared" si="22"/>
        <v>5</v>
      </c>
      <c r="C522" s="79">
        <v>42144</v>
      </c>
      <c r="D522" s="79" t="s">
        <v>17</v>
      </c>
      <c r="E522" s="79">
        <f t="shared" si="23"/>
        <v>42144</v>
      </c>
      <c r="F522" s="82" t="s">
        <v>35</v>
      </c>
      <c r="G522" s="273"/>
      <c r="H522" s="128"/>
      <c r="I522" s="80">
        <v>7500</v>
      </c>
      <c r="J522" s="81" t="s">
        <v>19</v>
      </c>
      <c r="K522" s="81" t="s">
        <v>54</v>
      </c>
      <c r="L522" s="140" t="str">
        <f>IF(AND('331-CT'!$E$7=TH!H522,OR(J522="331",K522="331")),"x","")</f>
        <v/>
      </c>
    </row>
    <row r="523" spans="1:12" s="115" customFormat="1">
      <c r="A523" s="78">
        <f t="shared" si="21"/>
        <v>2015</v>
      </c>
      <c r="B523" s="78">
        <f t="shared" si="22"/>
        <v>5</v>
      </c>
      <c r="C523" s="79">
        <v>42144</v>
      </c>
      <c r="D523" s="79" t="s">
        <v>17</v>
      </c>
      <c r="E523" s="79">
        <f t="shared" si="23"/>
        <v>42144</v>
      </c>
      <c r="F523" s="261" t="s">
        <v>110</v>
      </c>
      <c r="G523" s="281"/>
      <c r="H523" s="9" t="s">
        <v>109</v>
      </c>
      <c r="I523" s="80">
        <v>50000000</v>
      </c>
      <c r="J523" s="81" t="s">
        <v>18</v>
      </c>
      <c r="K523" s="81" t="s">
        <v>54</v>
      </c>
      <c r="L523" s="140" t="str">
        <f>IF(AND('331-CT'!$E$7=TH!H523,OR(J523="331",K523="331")),"x","")</f>
        <v/>
      </c>
    </row>
    <row r="524" spans="1:12" s="115" customFormat="1">
      <c r="A524" s="78">
        <f t="shared" si="21"/>
        <v>2015</v>
      </c>
      <c r="B524" s="78">
        <f t="shared" si="22"/>
        <v>5</v>
      </c>
      <c r="C524" s="79">
        <v>42144</v>
      </c>
      <c r="D524" s="79" t="s">
        <v>17</v>
      </c>
      <c r="E524" s="79">
        <f t="shared" si="23"/>
        <v>42144</v>
      </c>
      <c r="F524" s="82" t="s">
        <v>34</v>
      </c>
      <c r="G524" s="273"/>
      <c r="H524" s="128"/>
      <c r="I524" s="80">
        <v>25000</v>
      </c>
      <c r="J524" s="81" t="s">
        <v>242</v>
      </c>
      <c r="K524" s="81" t="s">
        <v>54</v>
      </c>
      <c r="L524" s="140" t="str">
        <f>IF(AND('331-CT'!$E$7=TH!H524,OR(J524="331",K524="331")),"x","")</f>
        <v/>
      </c>
    </row>
    <row r="525" spans="1:12" s="115" customFormat="1">
      <c r="A525" s="78">
        <f t="shared" si="21"/>
        <v>2015</v>
      </c>
      <c r="B525" s="78">
        <f t="shared" si="22"/>
        <v>5</v>
      </c>
      <c r="C525" s="79">
        <v>42144</v>
      </c>
      <c r="D525" s="79" t="s">
        <v>17</v>
      </c>
      <c r="E525" s="79">
        <f t="shared" si="23"/>
        <v>42144</v>
      </c>
      <c r="F525" s="82" t="s">
        <v>35</v>
      </c>
      <c r="G525" s="273"/>
      <c r="H525" s="128"/>
      <c r="I525" s="80">
        <v>2500</v>
      </c>
      <c r="J525" s="81" t="s">
        <v>19</v>
      </c>
      <c r="K525" s="81" t="s">
        <v>54</v>
      </c>
      <c r="L525" s="140" t="str">
        <f>IF(AND('331-CT'!$E$7=TH!H525,OR(J525="331",K525="331")),"x","")</f>
        <v/>
      </c>
    </row>
    <row r="526" spans="1:12" s="115" customFormat="1">
      <c r="A526" s="78">
        <f t="shared" si="21"/>
        <v>2015</v>
      </c>
      <c r="B526" s="78">
        <f t="shared" si="22"/>
        <v>5</v>
      </c>
      <c r="C526" s="79">
        <v>42144</v>
      </c>
      <c r="D526" s="79" t="s">
        <v>17</v>
      </c>
      <c r="E526" s="79">
        <f t="shared" si="23"/>
        <v>42144</v>
      </c>
      <c r="F526" s="82" t="s">
        <v>276</v>
      </c>
      <c r="G526" s="273"/>
      <c r="H526" s="9" t="s">
        <v>190</v>
      </c>
      <c r="I526" s="80">
        <v>200000000</v>
      </c>
      <c r="J526" s="81" t="s">
        <v>18</v>
      </c>
      <c r="K526" s="81" t="s">
        <v>54</v>
      </c>
      <c r="L526" s="140" t="str">
        <f>IF(AND('331-CT'!$E$7=TH!H526,OR(J526="331",K526="331")),"x","")</f>
        <v/>
      </c>
    </row>
    <row r="527" spans="1:12" s="115" customFormat="1">
      <c r="A527" s="78">
        <f t="shared" si="21"/>
        <v>2015</v>
      </c>
      <c r="B527" s="78">
        <f t="shared" si="22"/>
        <v>5</v>
      </c>
      <c r="C527" s="79">
        <v>42144</v>
      </c>
      <c r="D527" s="79" t="s">
        <v>17</v>
      </c>
      <c r="E527" s="79">
        <f t="shared" si="23"/>
        <v>42144</v>
      </c>
      <c r="F527" s="82" t="s">
        <v>34</v>
      </c>
      <c r="G527" s="273"/>
      <c r="H527" s="128"/>
      <c r="I527" s="80">
        <v>100000</v>
      </c>
      <c r="J527" s="81" t="s">
        <v>242</v>
      </c>
      <c r="K527" s="81" t="s">
        <v>54</v>
      </c>
      <c r="L527" s="140" t="str">
        <f>IF(AND('331-CT'!$E$7=TH!H527,OR(J527="331",K527="331")),"x","")</f>
        <v/>
      </c>
    </row>
    <row r="528" spans="1:12" s="115" customFormat="1">
      <c r="A528" s="78">
        <f t="shared" si="21"/>
        <v>2015</v>
      </c>
      <c r="B528" s="78">
        <f t="shared" si="22"/>
        <v>5</v>
      </c>
      <c r="C528" s="79">
        <v>42144</v>
      </c>
      <c r="D528" s="79" t="s">
        <v>17</v>
      </c>
      <c r="E528" s="79">
        <f t="shared" si="23"/>
        <v>42144</v>
      </c>
      <c r="F528" s="82" t="s">
        <v>35</v>
      </c>
      <c r="G528" s="273"/>
      <c r="H528" s="128"/>
      <c r="I528" s="80">
        <v>10000</v>
      </c>
      <c r="J528" s="81" t="s">
        <v>19</v>
      </c>
      <c r="K528" s="81" t="s">
        <v>54</v>
      </c>
      <c r="L528" s="140" t="str">
        <f>IF(AND('331-CT'!$E$7=TH!H528,OR(J528="331",K528="331")),"x","")</f>
        <v/>
      </c>
    </row>
    <row r="529" spans="1:12" s="115" customFormat="1">
      <c r="A529" s="135">
        <f t="shared" si="21"/>
        <v>2015</v>
      </c>
      <c r="B529" s="135">
        <f t="shared" si="22"/>
        <v>5</v>
      </c>
      <c r="C529" s="136">
        <v>42145</v>
      </c>
      <c r="D529" s="136" t="s">
        <v>92</v>
      </c>
      <c r="E529" s="136">
        <f t="shared" si="23"/>
        <v>42145</v>
      </c>
      <c r="F529" s="137" t="s">
        <v>287</v>
      </c>
      <c r="G529" s="279" t="s">
        <v>545</v>
      </c>
      <c r="H529" s="138" t="s">
        <v>188</v>
      </c>
      <c r="I529" s="139">
        <v>2020200</v>
      </c>
      <c r="J529" s="140" t="s">
        <v>242</v>
      </c>
      <c r="K529" s="140" t="s">
        <v>203</v>
      </c>
      <c r="L529" s="140" t="str">
        <f>IF(AND('331-CT'!$E$7=TH!H529,OR(J529="331",K529="331")),"x","")</f>
        <v/>
      </c>
    </row>
    <row r="530" spans="1:12" s="115" customFormat="1">
      <c r="A530" s="135">
        <f t="shared" si="21"/>
        <v>2015</v>
      </c>
      <c r="B530" s="135">
        <f t="shared" si="22"/>
        <v>5</v>
      </c>
      <c r="C530" s="136">
        <v>42145</v>
      </c>
      <c r="D530" s="136" t="s">
        <v>92</v>
      </c>
      <c r="E530" s="136">
        <f t="shared" si="23"/>
        <v>42145</v>
      </c>
      <c r="F530" s="137" t="s">
        <v>288</v>
      </c>
      <c r="G530" s="279" t="s">
        <v>545</v>
      </c>
      <c r="H530" s="138" t="s">
        <v>188</v>
      </c>
      <c r="I530" s="139">
        <v>101010</v>
      </c>
      <c r="J530" s="140" t="s">
        <v>19</v>
      </c>
      <c r="K530" s="140" t="s">
        <v>203</v>
      </c>
      <c r="L530" s="140" t="str">
        <f>IF(AND('331-CT'!$E$7=TH!H530,OR(J530="331",K530="331")),"x","")</f>
        <v/>
      </c>
    </row>
    <row r="531" spans="1:12" s="115" customFormat="1">
      <c r="A531" s="78">
        <f t="shared" si="21"/>
        <v>2015</v>
      </c>
      <c r="B531" s="78">
        <f t="shared" si="22"/>
        <v>5</v>
      </c>
      <c r="C531" s="79">
        <v>42147</v>
      </c>
      <c r="D531" s="79" t="s">
        <v>21</v>
      </c>
      <c r="E531" s="79">
        <f t="shared" si="23"/>
        <v>42147</v>
      </c>
      <c r="F531" s="82" t="s">
        <v>98</v>
      </c>
      <c r="G531" s="273"/>
      <c r="H531" s="128"/>
      <c r="I531" s="80">
        <v>192904</v>
      </c>
      <c r="J531" s="81" t="s">
        <v>54</v>
      </c>
      <c r="K531" s="81" t="s">
        <v>99</v>
      </c>
      <c r="L531" s="140" t="str">
        <f>IF(AND('331-CT'!$E$7=TH!H531,OR(J531="331",K531="331")),"x","")</f>
        <v/>
      </c>
    </row>
    <row r="532" spans="1:12" s="115" customFormat="1">
      <c r="A532" s="78">
        <f t="shared" si="21"/>
        <v>2015</v>
      </c>
      <c r="B532" s="78">
        <f t="shared" si="22"/>
        <v>5</v>
      </c>
      <c r="C532" s="79">
        <v>42150</v>
      </c>
      <c r="D532" s="79" t="s">
        <v>93</v>
      </c>
      <c r="E532" s="79">
        <f t="shared" si="23"/>
        <v>42150</v>
      </c>
      <c r="F532" s="82" t="s">
        <v>270</v>
      </c>
      <c r="G532" s="278" t="s">
        <v>546</v>
      </c>
      <c r="H532" s="128" t="s">
        <v>271</v>
      </c>
      <c r="I532" s="80">
        <v>27530000</v>
      </c>
      <c r="J532" s="81" t="s">
        <v>669</v>
      </c>
      <c r="K532" s="81" t="s">
        <v>203</v>
      </c>
      <c r="L532" s="140" t="str">
        <f>IF(AND('331-CT'!$E$7=TH!H532,OR(J532="331",K532="331")),"x","")</f>
        <v/>
      </c>
    </row>
    <row r="533" spans="1:12" s="115" customFormat="1">
      <c r="A533" s="78">
        <f t="shared" ref="A533:A596" si="24">IF(C533&lt;&gt;"",YEAR(C533),"")</f>
        <v>2015</v>
      </c>
      <c r="B533" s="78">
        <f t="shared" ref="B533:B596" si="25">IF(C533&lt;&gt;"",MONTH(C533),"")</f>
        <v>5</v>
      </c>
      <c r="C533" s="79">
        <v>42150</v>
      </c>
      <c r="D533" s="79" t="s">
        <v>17</v>
      </c>
      <c r="E533" s="79">
        <f t="shared" si="23"/>
        <v>42150</v>
      </c>
      <c r="F533" s="82" t="s">
        <v>274</v>
      </c>
      <c r="G533" s="273"/>
      <c r="H533" s="128" t="s">
        <v>269</v>
      </c>
      <c r="I533" s="80">
        <v>200000000</v>
      </c>
      <c r="J533" s="81" t="s">
        <v>18</v>
      </c>
      <c r="K533" s="81" t="s">
        <v>54</v>
      </c>
      <c r="L533" s="140" t="str">
        <f>IF(AND('331-CT'!$E$7=TH!H533,OR(J533="331",K533="331")),"x","")</f>
        <v/>
      </c>
    </row>
    <row r="534" spans="1:12" s="115" customFormat="1">
      <c r="A534" s="78">
        <f t="shared" si="24"/>
        <v>2015</v>
      </c>
      <c r="B534" s="78">
        <f t="shared" si="25"/>
        <v>5</v>
      </c>
      <c r="C534" s="79">
        <v>42150</v>
      </c>
      <c r="D534" s="79" t="s">
        <v>17</v>
      </c>
      <c r="E534" s="79">
        <f t="shared" si="23"/>
        <v>42150</v>
      </c>
      <c r="F534" s="82" t="s">
        <v>34</v>
      </c>
      <c r="G534" s="273"/>
      <c r="H534" s="128"/>
      <c r="I534" s="80">
        <v>100000</v>
      </c>
      <c r="J534" s="81" t="s">
        <v>242</v>
      </c>
      <c r="K534" s="81" t="s">
        <v>54</v>
      </c>
      <c r="L534" s="140" t="str">
        <f>IF(AND('331-CT'!$E$7=TH!H534,OR(J534="331",K534="331")),"x","")</f>
        <v/>
      </c>
    </row>
    <row r="535" spans="1:12" s="115" customFormat="1">
      <c r="A535" s="78">
        <f t="shared" si="24"/>
        <v>2015</v>
      </c>
      <c r="B535" s="78">
        <f t="shared" si="25"/>
        <v>5</v>
      </c>
      <c r="C535" s="79">
        <v>42150</v>
      </c>
      <c r="D535" s="79" t="s">
        <v>17</v>
      </c>
      <c r="E535" s="79">
        <f t="shared" si="23"/>
        <v>42150</v>
      </c>
      <c r="F535" s="82" t="s">
        <v>35</v>
      </c>
      <c r="G535" s="273"/>
      <c r="H535" s="128"/>
      <c r="I535" s="80">
        <v>10000</v>
      </c>
      <c r="J535" s="81" t="s">
        <v>19</v>
      </c>
      <c r="K535" s="81" t="s">
        <v>54</v>
      </c>
      <c r="L535" s="140" t="str">
        <f>IF(AND('331-CT'!$E$7=TH!H535,OR(J535="331",K535="331")),"x","")</f>
        <v/>
      </c>
    </row>
    <row r="536" spans="1:12" s="141" customFormat="1">
      <c r="A536" s="78">
        <f t="shared" si="24"/>
        <v>2015</v>
      </c>
      <c r="B536" s="78">
        <f t="shared" si="25"/>
        <v>5</v>
      </c>
      <c r="C536" s="79">
        <v>42152</v>
      </c>
      <c r="D536" s="79" t="s">
        <v>17</v>
      </c>
      <c r="E536" s="79">
        <f t="shared" si="23"/>
        <v>42152</v>
      </c>
      <c r="F536" s="82" t="s">
        <v>283</v>
      </c>
      <c r="G536" s="273"/>
      <c r="H536" s="7" t="s">
        <v>83</v>
      </c>
      <c r="I536" s="80">
        <v>36432000</v>
      </c>
      <c r="J536" s="81" t="s">
        <v>18</v>
      </c>
      <c r="K536" s="81" t="s">
        <v>54</v>
      </c>
      <c r="L536" s="140" t="str">
        <f>IF(AND('331-CT'!$E$7=TH!H536,OR(J536="331",K536="331")),"x","")</f>
        <v/>
      </c>
    </row>
    <row r="537" spans="1:12" s="141" customFormat="1">
      <c r="A537" s="78">
        <f t="shared" si="24"/>
        <v>2015</v>
      </c>
      <c r="B537" s="78">
        <f t="shared" si="25"/>
        <v>5</v>
      </c>
      <c r="C537" s="79">
        <v>42152</v>
      </c>
      <c r="D537" s="79" t="s">
        <v>17</v>
      </c>
      <c r="E537" s="79">
        <f t="shared" si="23"/>
        <v>42152</v>
      </c>
      <c r="F537" s="82" t="s">
        <v>34</v>
      </c>
      <c r="G537" s="273"/>
      <c r="H537" s="128"/>
      <c r="I537" s="80">
        <v>25000</v>
      </c>
      <c r="J537" s="81" t="s">
        <v>242</v>
      </c>
      <c r="K537" s="81" t="s">
        <v>54</v>
      </c>
      <c r="L537" s="140" t="str">
        <f>IF(AND('331-CT'!$E$7=TH!H537,OR(J537="331",K537="331")),"x","")</f>
        <v/>
      </c>
    </row>
    <row r="538" spans="1:12" s="115" customFormat="1">
      <c r="A538" s="78">
        <f t="shared" si="24"/>
        <v>2015</v>
      </c>
      <c r="B538" s="78">
        <f t="shared" si="25"/>
        <v>5</v>
      </c>
      <c r="C538" s="79">
        <v>42152</v>
      </c>
      <c r="D538" s="79" t="s">
        <v>17</v>
      </c>
      <c r="E538" s="79">
        <f t="shared" si="23"/>
        <v>42152</v>
      </c>
      <c r="F538" s="82" t="s">
        <v>35</v>
      </c>
      <c r="G538" s="273"/>
      <c r="H538" s="128"/>
      <c r="I538" s="80">
        <v>2500</v>
      </c>
      <c r="J538" s="81" t="s">
        <v>19</v>
      </c>
      <c r="K538" s="81" t="s">
        <v>54</v>
      </c>
      <c r="L538" s="140" t="str">
        <f>IF(AND('331-CT'!$E$7=TH!H538,OR(J538="331",K538="331")),"x","")</f>
        <v/>
      </c>
    </row>
    <row r="539" spans="1:12" s="115" customFormat="1">
      <c r="A539" s="78">
        <f t="shared" si="24"/>
        <v>2015</v>
      </c>
      <c r="B539" s="78">
        <f t="shared" si="25"/>
        <v>5</v>
      </c>
      <c r="C539" s="79">
        <v>42153</v>
      </c>
      <c r="D539" s="79" t="s">
        <v>72</v>
      </c>
      <c r="E539" s="79">
        <f t="shared" si="23"/>
        <v>42153</v>
      </c>
      <c r="F539" s="82" t="s">
        <v>279</v>
      </c>
      <c r="G539" s="273" t="s">
        <v>547</v>
      </c>
      <c r="H539" s="128" t="s">
        <v>280</v>
      </c>
      <c r="I539" s="80">
        <v>1000000</v>
      </c>
      <c r="J539" s="81" t="s">
        <v>242</v>
      </c>
      <c r="K539" s="81" t="s">
        <v>203</v>
      </c>
      <c r="L539" s="140" t="str">
        <f>IF(AND('331-CT'!$E$7=TH!H539,OR(J539="331",K539="331")),"x","")</f>
        <v/>
      </c>
    </row>
    <row r="540" spans="1:12" s="115" customFormat="1">
      <c r="A540" s="78">
        <f t="shared" si="24"/>
        <v>2015</v>
      </c>
      <c r="B540" s="78">
        <f t="shared" si="25"/>
        <v>5</v>
      </c>
      <c r="C540" s="79">
        <v>42153</v>
      </c>
      <c r="D540" s="79" t="s">
        <v>71</v>
      </c>
      <c r="E540" s="79">
        <f t="shared" si="23"/>
        <v>42153</v>
      </c>
      <c r="F540" s="82" t="s">
        <v>281</v>
      </c>
      <c r="G540" s="278" t="s">
        <v>548</v>
      </c>
      <c r="H540" s="128" t="s">
        <v>280</v>
      </c>
      <c r="I540" s="80">
        <v>45455</v>
      </c>
      <c r="J540" s="81" t="s">
        <v>242</v>
      </c>
      <c r="K540" s="81" t="s">
        <v>203</v>
      </c>
      <c r="L540" s="140" t="str">
        <f>IF(AND('331-CT'!$E$7=TH!H540,OR(J540="331",K540="331")),"x","")</f>
        <v/>
      </c>
    </row>
    <row r="541" spans="1:12" s="115" customFormat="1">
      <c r="A541" s="78">
        <f t="shared" si="24"/>
        <v>2015</v>
      </c>
      <c r="B541" s="78">
        <f t="shared" si="25"/>
        <v>5</v>
      </c>
      <c r="C541" s="79">
        <v>42153</v>
      </c>
      <c r="D541" s="79" t="s">
        <v>71</v>
      </c>
      <c r="E541" s="79">
        <f t="shared" si="23"/>
        <v>42153</v>
      </c>
      <c r="F541" s="82" t="s">
        <v>282</v>
      </c>
      <c r="G541" s="278" t="s">
        <v>548</v>
      </c>
      <c r="H541" s="128" t="s">
        <v>280</v>
      </c>
      <c r="I541" s="80">
        <v>4545</v>
      </c>
      <c r="J541" s="81" t="s">
        <v>19</v>
      </c>
      <c r="K541" s="81" t="s">
        <v>203</v>
      </c>
      <c r="L541" s="140" t="str">
        <f>IF(AND('331-CT'!$E$7=TH!H541,OR(J541="331",K541="331")),"x","")</f>
        <v/>
      </c>
    </row>
    <row r="542" spans="1:12" s="115" customFormat="1">
      <c r="A542" s="78">
        <f t="shared" si="24"/>
        <v>2015</v>
      </c>
      <c r="B542" s="78">
        <f t="shared" si="25"/>
        <v>5</v>
      </c>
      <c r="C542" s="79">
        <v>42153</v>
      </c>
      <c r="D542" s="79" t="s">
        <v>78</v>
      </c>
      <c r="E542" s="79">
        <f t="shared" si="23"/>
        <v>42153</v>
      </c>
      <c r="F542" s="82" t="s">
        <v>275</v>
      </c>
      <c r="G542" s="278" t="s">
        <v>586</v>
      </c>
      <c r="H542" s="7" t="s">
        <v>83</v>
      </c>
      <c r="I542" s="80">
        <v>33120000</v>
      </c>
      <c r="J542" s="81" t="s">
        <v>242</v>
      </c>
      <c r="K542" s="81" t="s">
        <v>18</v>
      </c>
      <c r="L542" s="140" t="str">
        <f>IF(AND('331-CT'!$E$7=TH!H542,OR(J542="331",K542="331")),"x","")</f>
        <v/>
      </c>
    </row>
    <row r="543" spans="1:12" s="115" customFormat="1">
      <c r="A543" s="78">
        <f t="shared" si="24"/>
        <v>2015</v>
      </c>
      <c r="B543" s="78">
        <f t="shared" si="25"/>
        <v>5</v>
      </c>
      <c r="C543" s="79">
        <v>42153</v>
      </c>
      <c r="D543" s="79" t="s">
        <v>78</v>
      </c>
      <c r="E543" s="79">
        <f t="shared" si="23"/>
        <v>42153</v>
      </c>
      <c r="F543" s="82" t="s">
        <v>286</v>
      </c>
      <c r="G543" s="278" t="s">
        <v>586</v>
      </c>
      <c r="H543" s="7" t="s">
        <v>83</v>
      </c>
      <c r="I543" s="80">
        <v>3312000</v>
      </c>
      <c r="J543" s="81" t="s">
        <v>19</v>
      </c>
      <c r="K543" s="81" t="s">
        <v>18</v>
      </c>
      <c r="L543" s="140" t="str">
        <f>IF(AND('331-CT'!$E$7=TH!H543,OR(J543="331",K543="331")),"x","")</f>
        <v/>
      </c>
    </row>
    <row r="544" spans="1:12" s="115" customFormat="1">
      <c r="A544" s="78">
        <f t="shared" si="24"/>
        <v>2015</v>
      </c>
      <c r="B544" s="78">
        <f t="shared" si="25"/>
        <v>6</v>
      </c>
      <c r="C544" s="79">
        <v>42157</v>
      </c>
      <c r="D544" s="79" t="s">
        <v>17</v>
      </c>
      <c r="E544" s="79">
        <f t="shared" si="23"/>
        <v>42157</v>
      </c>
      <c r="F544" s="82" t="s">
        <v>301</v>
      </c>
      <c r="G544" s="273"/>
      <c r="H544" s="130" t="s">
        <v>300</v>
      </c>
      <c r="I544" s="80">
        <v>100000000</v>
      </c>
      <c r="J544" s="81" t="s">
        <v>18</v>
      </c>
      <c r="K544" s="81" t="s">
        <v>54</v>
      </c>
      <c r="L544" s="140" t="str">
        <f>IF(AND('331-CT'!$E$7=TH!H544,OR(J544="331",K544="331")),"x","")</f>
        <v/>
      </c>
    </row>
    <row r="545" spans="1:12" s="115" customFormat="1">
      <c r="A545" s="78">
        <f t="shared" si="24"/>
        <v>2015</v>
      </c>
      <c r="B545" s="78">
        <f t="shared" si="25"/>
        <v>6</v>
      </c>
      <c r="C545" s="79">
        <v>42157</v>
      </c>
      <c r="D545" s="79" t="s">
        <v>17</v>
      </c>
      <c r="E545" s="79">
        <f t="shared" si="23"/>
        <v>42157</v>
      </c>
      <c r="F545" s="82" t="s">
        <v>34</v>
      </c>
      <c r="G545" s="273"/>
      <c r="H545" s="128"/>
      <c r="I545" s="80">
        <v>50000</v>
      </c>
      <c r="J545" s="81" t="s">
        <v>242</v>
      </c>
      <c r="K545" s="81" t="s">
        <v>54</v>
      </c>
      <c r="L545" s="140" t="str">
        <f>IF(AND('331-CT'!$E$7=TH!H545,OR(J545="331",K545="331")),"x","")</f>
        <v/>
      </c>
    </row>
    <row r="546" spans="1:12" s="115" customFormat="1">
      <c r="A546" s="78">
        <f t="shared" si="24"/>
        <v>2015</v>
      </c>
      <c r="B546" s="78">
        <f t="shared" si="25"/>
        <v>6</v>
      </c>
      <c r="C546" s="79">
        <v>42157</v>
      </c>
      <c r="D546" s="79" t="s">
        <v>17</v>
      </c>
      <c r="E546" s="79">
        <f t="shared" si="23"/>
        <v>42157</v>
      </c>
      <c r="F546" s="82" t="s">
        <v>35</v>
      </c>
      <c r="G546" s="273"/>
      <c r="H546" s="128"/>
      <c r="I546" s="80">
        <v>5000</v>
      </c>
      <c r="J546" s="81" t="s">
        <v>19</v>
      </c>
      <c r="K546" s="81" t="s">
        <v>54</v>
      </c>
      <c r="L546" s="140" t="str">
        <f>IF(AND('331-CT'!$E$7=TH!H546,OR(J546="331",K546="331")),"x","")</f>
        <v/>
      </c>
    </row>
    <row r="547" spans="1:12" s="115" customFormat="1">
      <c r="A547" s="78">
        <f t="shared" si="24"/>
        <v>2015</v>
      </c>
      <c r="B547" s="78">
        <f t="shared" si="25"/>
        <v>6</v>
      </c>
      <c r="C547" s="79">
        <v>42158</v>
      </c>
      <c r="D547" s="79" t="s">
        <v>17</v>
      </c>
      <c r="E547" s="79">
        <f t="shared" si="23"/>
        <v>42158</v>
      </c>
      <c r="F547" s="82" t="s">
        <v>301</v>
      </c>
      <c r="G547" s="273"/>
      <c r="H547" s="128" t="s">
        <v>172</v>
      </c>
      <c r="I547" s="80">
        <v>50000000</v>
      </c>
      <c r="J547" s="81" t="s">
        <v>18</v>
      </c>
      <c r="K547" s="81" t="s">
        <v>54</v>
      </c>
      <c r="L547" s="140" t="str">
        <f>IF(AND('331-CT'!$E$7=TH!H547,OR(J547="331",K547="331")),"x","")</f>
        <v/>
      </c>
    </row>
    <row r="548" spans="1:12" s="115" customFormat="1">
      <c r="A548" s="78">
        <f t="shared" si="24"/>
        <v>2015</v>
      </c>
      <c r="B548" s="78">
        <f t="shared" si="25"/>
        <v>6</v>
      </c>
      <c r="C548" s="79">
        <v>42159</v>
      </c>
      <c r="D548" s="79" t="s">
        <v>17</v>
      </c>
      <c r="E548" s="79">
        <f t="shared" si="23"/>
        <v>42159</v>
      </c>
      <c r="F548" s="82" t="s">
        <v>34</v>
      </c>
      <c r="G548" s="273"/>
      <c r="H548" s="128"/>
      <c r="I548" s="80">
        <v>25000</v>
      </c>
      <c r="J548" s="81" t="s">
        <v>242</v>
      </c>
      <c r="K548" s="81" t="s">
        <v>54</v>
      </c>
      <c r="L548" s="140" t="str">
        <f>IF(AND('331-CT'!$E$7=TH!H548,OR(J548="331",K548="331")),"x","")</f>
        <v/>
      </c>
    </row>
    <row r="549" spans="1:12" s="115" customFormat="1">
      <c r="A549" s="78">
        <f t="shared" si="24"/>
        <v>2015</v>
      </c>
      <c r="B549" s="78">
        <f t="shared" si="25"/>
        <v>6</v>
      </c>
      <c r="C549" s="79">
        <v>42160</v>
      </c>
      <c r="D549" s="79" t="s">
        <v>17</v>
      </c>
      <c r="E549" s="79">
        <f t="shared" si="23"/>
        <v>42160</v>
      </c>
      <c r="F549" s="82" t="s">
        <v>35</v>
      </c>
      <c r="G549" s="273"/>
      <c r="H549" s="128"/>
      <c r="I549" s="80">
        <v>2500</v>
      </c>
      <c r="J549" s="81" t="s">
        <v>19</v>
      </c>
      <c r="K549" s="81" t="s">
        <v>54</v>
      </c>
      <c r="L549" s="140" t="str">
        <f>IF(AND('331-CT'!$E$7=TH!H549,OR(J549="331",K549="331")),"x","")</f>
        <v/>
      </c>
    </row>
    <row r="550" spans="1:12" s="115" customFormat="1">
      <c r="A550" s="78">
        <f t="shared" si="24"/>
        <v>2015</v>
      </c>
      <c r="B550" s="78">
        <f t="shared" si="25"/>
        <v>6</v>
      </c>
      <c r="C550" s="79">
        <v>42161</v>
      </c>
      <c r="D550" s="79" t="s">
        <v>21</v>
      </c>
      <c r="E550" s="79">
        <f t="shared" si="23"/>
        <v>42161</v>
      </c>
      <c r="F550" s="82" t="s">
        <v>323</v>
      </c>
      <c r="G550" s="273"/>
      <c r="H550" s="129" t="s">
        <v>324</v>
      </c>
      <c r="I550" s="80">
        <v>1500000000</v>
      </c>
      <c r="J550" s="81" t="s">
        <v>54</v>
      </c>
      <c r="K550" s="81" t="s">
        <v>227</v>
      </c>
      <c r="L550" s="140" t="str">
        <f>IF(AND('331-CT'!$E$7=TH!H550,OR(J550="331",K550="331")),"x","")</f>
        <v/>
      </c>
    </row>
    <row r="551" spans="1:12" s="115" customFormat="1">
      <c r="A551" s="78">
        <f t="shared" si="24"/>
        <v>2015</v>
      </c>
      <c r="B551" s="78">
        <f t="shared" si="25"/>
        <v>6</v>
      </c>
      <c r="C551" s="79">
        <v>42162</v>
      </c>
      <c r="D551" s="79" t="s">
        <v>17</v>
      </c>
      <c r="E551" s="79">
        <f t="shared" si="23"/>
        <v>42162</v>
      </c>
      <c r="F551" s="82" t="s">
        <v>301</v>
      </c>
      <c r="G551" s="273"/>
      <c r="H551" s="9" t="s">
        <v>138</v>
      </c>
      <c r="I551" s="80">
        <v>500000000</v>
      </c>
      <c r="J551" s="81" t="s">
        <v>18</v>
      </c>
      <c r="K551" s="81" t="s">
        <v>54</v>
      </c>
      <c r="L551" s="140" t="str">
        <f>IF(AND('331-CT'!$E$7=TH!H551,OR(J551="331",K551="331")),"x","")</f>
        <v/>
      </c>
    </row>
    <row r="552" spans="1:12" s="115" customFormat="1">
      <c r="A552" s="78">
        <f t="shared" si="24"/>
        <v>2015</v>
      </c>
      <c r="B552" s="78">
        <f t="shared" si="25"/>
        <v>6</v>
      </c>
      <c r="C552" s="79">
        <v>42163</v>
      </c>
      <c r="D552" s="79" t="s">
        <v>17</v>
      </c>
      <c r="E552" s="79">
        <f t="shared" si="23"/>
        <v>42163</v>
      </c>
      <c r="F552" s="82" t="s">
        <v>34</v>
      </c>
      <c r="G552" s="273"/>
      <c r="H552" s="128"/>
      <c r="I552" s="80">
        <v>150000</v>
      </c>
      <c r="J552" s="81" t="s">
        <v>242</v>
      </c>
      <c r="K552" s="81" t="s">
        <v>54</v>
      </c>
      <c r="L552" s="140" t="str">
        <f>IF(AND('331-CT'!$E$7=TH!H552,OR(J552="331",K552="331")),"x","")</f>
        <v/>
      </c>
    </row>
    <row r="553" spans="1:12" s="115" customFormat="1">
      <c r="A553" s="78">
        <f t="shared" si="24"/>
        <v>2015</v>
      </c>
      <c r="B553" s="78">
        <f t="shared" si="25"/>
        <v>6</v>
      </c>
      <c r="C553" s="79">
        <v>42164</v>
      </c>
      <c r="D553" s="79" t="s">
        <v>17</v>
      </c>
      <c r="E553" s="79">
        <f t="shared" si="23"/>
        <v>42164</v>
      </c>
      <c r="F553" s="82" t="s">
        <v>35</v>
      </c>
      <c r="G553" s="273"/>
      <c r="H553" s="128"/>
      <c r="I553" s="80">
        <v>15000</v>
      </c>
      <c r="J553" s="81" t="s">
        <v>19</v>
      </c>
      <c r="K553" s="81" t="s">
        <v>54</v>
      </c>
      <c r="L553" s="140" t="str">
        <f>IF(AND('331-CT'!$E$7=TH!H553,OR(J553="331",K553="331")),"x","")</f>
        <v/>
      </c>
    </row>
    <row r="554" spans="1:12" s="115" customFormat="1">
      <c r="A554" s="78">
        <f t="shared" si="24"/>
        <v>2015</v>
      </c>
      <c r="B554" s="78">
        <f t="shared" si="25"/>
        <v>6</v>
      </c>
      <c r="C554" s="79">
        <v>42165</v>
      </c>
      <c r="D554" s="79" t="s">
        <v>17</v>
      </c>
      <c r="E554" s="79">
        <f t="shared" si="23"/>
        <v>42165</v>
      </c>
      <c r="F554" s="82" t="s">
        <v>301</v>
      </c>
      <c r="G554" s="273"/>
      <c r="H554" s="128" t="s">
        <v>172</v>
      </c>
      <c r="I554" s="80">
        <v>200000000</v>
      </c>
      <c r="J554" s="81" t="s">
        <v>18</v>
      </c>
      <c r="K554" s="81" t="s">
        <v>54</v>
      </c>
      <c r="L554" s="140" t="str">
        <f>IF(AND('331-CT'!$E$7=TH!H554,OR(J554="331",K554="331")),"x","")</f>
        <v/>
      </c>
    </row>
    <row r="555" spans="1:12" s="115" customFormat="1">
      <c r="A555" s="78">
        <f t="shared" si="24"/>
        <v>2015</v>
      </c>
      <c r="B555" s="78">
        <f t="shared" si="25"/>
        <v>6</v>
      </c>
      <c r="C555" s="79">
        <v>42166</v>
      </c>
      <c r="D555" s="79" t="s">
        <v>17</v>
      </c>
      <c r="E555" s="79">
        <f t="shared" si="23"/>
        <v>42166</v>
      </c>
      <c r="F555" s="82" t="s">
        <v>34</v>
      </c>
      <c r="G555" s="273"/>
      <c r="H555" s="128"/>
      <c r="I555" s="80">
        <v>100000</v>
      </c>
      <c r="J555" s="81" t="s">
        <v>242</v>
      </c>
      <c r="K555" s="81" t="s">
        <v>54</v>
      </c>
      <c r="L555" s="140" t="str">
        <f>IF(AND('331-CT'!$E$7=TH!H555,OR(J555="331",K555="331")),"x","")</f>
        <v/>
      </c>
    </row>
    <row r="556" spans="1:12" s="115" customFormat="1">
      <c r="A556" s="78">
        <f t="shared" si="24"/>
        <v>2015</v>
      </c>
      <c r="B556" s="78">
        <f t="shared" si="25"/>
        <v>6</v>
      </c>
      <c r="C556" s="79">
        <v>42167</v>
      </c>
      <c r="D556" s="79" t="s">
        <v>17</v>
      </c>
      <c r="E556" s="79">
        <f t="shared" si="23"/>
        <v>42167</v>
      </c>
      <c r="F556" s="82" t="s">
        <v>35</v>
      </c>
      <c r="G556" s="273"/>
      <c r="H556" s="128"/>
      <c r="I556" s="80">
        <v>10000</v>
      </c>
      <c r="J556" s="81" t="s">
        <v>19</v>
      </c>
      <c r="K556" s="81" t="s">
        <v>54</v>
      </c>
      <c r="L556" s="140" t="str">
        <f>IF(AND('331-CT'!$E$7=TH!H556,OR(J556="331",K556="331")),"x","")</f>
        <v/>
      </c>
    </row>
    <row r="557" spans="1:12" s="115" customFormat="1">
      <c r="A557" s="78">
        <f t="shared" si="24"/>
        <v>2015</v>
      </c>
      <c r="B557" s="78">
        <f t="shared" si="25"/>
        <v>6</v>
      </c>
      <c r="C557" s="79">
        <v>42168</v>
      </c>
      <c r="D557" s="79" t="s">
        <v>17</v>
      </c>
      <c r="E557" s="79">
        <f t="shared" si="23"/>
        <v>42168</v>
      </c>
      <c r="F557" s="82" t="s">
        <v>301</v>
      </c>
      <c r="G557" s="273"/>
      <c r="H557" s="9" t="s">
        <v>151</v>
      </c>
      <c r="I557" s="80">
        <v>140000000</v>
      </c>
      <c r="J557" s="81" t="s">
        <v>18</v>
      </c>
      <c r="K557" s="81" t="s">
        <v>54</v>
      </c>
      <c r="L557" s="140" t="str">
        <f>IF(AND('331-CT'!$E$7=TH!H557,OR(J557="331",K557="331")),"x","")</f>
        <v/>
      </c>
    </row>
    <row r="558" spans="1:12" s="115" customFormat="1">
      <c r="A558" s="78">
        <f t="shared" si="24"/>
        <v>2015</v>
      </c>
      <c r="B558" s="78">
        <f t="shared" si="25"/>
        <v>6</v>
      </c>
      <c r="C558" s="79">
        <v>42169</v>
      </c>
      <c r="D558" s="79" t="s">
        <v>17</v>
      </c>
      <c r="E558" s="79">
        <f t="shared" si="23"/>
        <v>42169</v>
      </c>
      <c r="F558" s="82" t="s">
        <v>34</v>
      </c>
      <c r="G558" s="273"/>
      <c r="H558" s="128"/>
      <c r="I558" s="80">
        <v>42000</v>
      </c>
      <c r="J558" s="81" t="s">
        <v>242</v>
      </c>
      <c r="K558" s="81" t="s">
        <v>54</v>
      </c>
      <c r="L558" s="140" t="str">
        <f>IF(AND('331-CT'!$E$7=TH!H558,OR(J558="331",K558="331")),"x","")</f>
        <v/>
      </c>
    </row>
    <row r="559" spans="1:12" s="115" customFormat="1">
      <c r="A559" s="78">
        <f t="shared" si="24"/>
        <v>2015</v>
      </c>
      <c r="B559" s="78">
        <f t="shared" si="25"/>
        <v>6</v>
      </c>
      <c r="C559" s="79">
        <v>42170</v>
      </c>
      <c r="D559" s="79" t="s">
        <v>17</v>
      </c>
      <c r="E559" s="79">
        <f t="shared" si="23"/>
        <v>42170</v>
      </c>
      <c r="F559" s="82" t="s">
        <v>35</v>
      </c>
      <c r="G559" s="273"/>
      <c r="H559" s="128"/>
      <c r="I559" s="80">
        <v>4200</v>
      </c>
      <c r="J559" s="81" t="s">
        <v>19</v>
      </c>
      <c r="K559" s="81" t="s">
        <v>54</v>
      </c>
      <c r="L559" s="140" t="str">
        <f>IF(AND('331-CT'!$E$7=TH!H559,OR(J559="331",K559="331")),"x","")</f>
        <v/>
      </c>
    </row>
    <row r="560" spans="1:12" s="115" customFormat="1">
      <c r="A560" s="78">
        <f t="shared" si="24"/>
        <v>2015</v>
      </c>
      <c r="B560" s="78">
        <f t="shared" si="25"/>
        <v>6</v>
      </c>
      <c r="C560" s="79">
        <v>42171</v>
      </c>
      <c r="D560" s="79" t="s">
        <v>17</v>
      </c>
      <c r="E560" s="79">
        <f t="shared" si="23"/>
        <v>42171</v>
      </c>
      <c r="F560" s="82" t="s">
        <v>301</v>
      </c>
      <c r="G560" s="273"/>
      <c r="H560" s="9" t="s">
        <v>111</v>
      </c>
      <c r="I560" s="80">
        <v>200000000</v>
      </c>
      <c r="J560" s="81" t="s">
        <v>18</v>
      </c>
      <c r="K560" s="81" t="s">
        <v>54</v>
      </c>
      <c r="L560" s="140" t="str">
        <f>IF(AND('331-CT'!$E$7=TH!H560,OR(J560="331",K560="331")),"x","")</f>
        <v/>
      </c>
    </row>
    <row r="561" spans="1:12" s="115" customFormat="1">
      <c r="A561" s="78">
        <f t="shared" si="24"/>
        <v>2015</v>
      </c>
      <c r="B561" s="78">
        <f t="shared" si="25"/>
        <v>6</v>
      </c>
      <c r="C561" s="79">
        <v>42172</v>
      </c>
      <c r="D561" s="79" t="s">
        <v>17</v>
      </c>
      <c r="E561" s="79">
        <f t="shared" si="23"/>
        <v>42172</v>
      </c>
      <c r="F561" s="82" t="s">
        <v>34</v>
      </c>
      <c r="G561" s="273"/>
      <c r="H561" s="128"/>
      <c r="I561" s="80">
        <v>60000</v>
      </c>
      <c r="J561" s="81" t="s">
        <v>242</v>
      </c>
      <c r="K561" s="81" t="s">
        <v>54</v>
      </c>
      <c r="L561" s="140" t="str">
        <f>IF(AND('331-CT'!$E$7=TH!H561,OR(J561="331",K561="331")),"x","")</f>
        <v/>
      </c>
    </row>
    <row r="562" spans="1:12">
      <c r="A562" s="78">
        <f t="shared" si="24"/>
        <v>2015</v>
      </c>
      <c r="B562" s="78">
        <f t="shared" si="25"/>
        <v>6</v>
      </c>
      <c r="C562" s="79">
        <v>42173</v>
      </c>
      <c r="D562" s="79" t="s">
        <v>17</v>
      </c>
      <c r="E562" s="79">
        <f t="shared" si="23"/>
        <v>42173</v>
      </c>
      <c r="F562" s="82" t="s">
        <v>35</v>
      </c>
      <c r="G562" s="273"/>
      <c r="H562" s="128"/>
      <c r="I562" s="80">
        <v>6000</v>
      </c>
      <c r="J562" s="81" t="s">
        <v>19</v>
      </c>
      <c r="K562" s="81" t="s">
        <v>54</v>
      </c>
      <c r="L562" s="140" t="str">
        <f>IF(AND('331-CT'!$E$7=TH!H562,OR(J562="331",K562="331")),"x","")</f>
        <v/>
      </c>
    </row>
    <row r="563" spans="1:12">
      <c r="A563" s="78">
        <f t="shared" si="24"/>
        <v>2015</v>
      </c>
      <c r="B563" s="78">
        <f t="shared" si="25"/>
        <v>6</v>
      </c>
      <c r="C563" s="79">
        <v>42174</v>
      </c>
      <c r="D563" s="79" t="s">
        <v>17</v>
      </c>
      <c r="E563" s="79">
        <f t="shared" si="23"/>
        <v>42174</v>
      </c>
      <c r="F563" s="82" t="s">
        <v>301</v>
      </c>
      <c r="G563" s="273"/>
      <c r="H563" s="9" t="s">
        <v>302</v>
      </c>
      <c r="I563" s="80">
        <v>171000000</v>
      </c>
      <c r="J563" s="81" t="s">
        <v>18</v>
      </c>
      <c r="K563" s="81" t="s">
        <v>54</v>
      </c>
      <c r="L563" s="140" t="str">
        <f>IF(AND('331-CT'!$E$7=TH!H563,OR(J563="331",K563="331")),"x","")</f>
        <v/>
      </c>
    </row>
    <row r="564" spans="1:12">
      <c r="A564" s="78">
        <f t="shared" si="24"/>
        <v>2015</v>
      </c>
      <c r="B564" s="78">
        <f t="shared" si="25"/>
        <v>6</v>
      </c>
      <c r="C564" s="79">
        <v>42174</v>
      </c>
      <c r="D564" s="79" t="s">
        <v>17</v>
      </c>
      <c r="E564" s="79">
        <f t="shared" si="23"/>
        <v>42174</v>
      </c>
      <c r="F564" s="82" t="s">
        <v>301</v>
      </c>
      <c r="G564" s="273"/>
      <c r="H564" s="128" t="s">
        <v>285</v>
      </c>
      <c r="I564" s="80">
        <v>30440000</v>
      </c>
      <c r="J564" s="81" t="s">
        <v>18</v>
      </c>
      <c r="K564" s="81" t="s">
        <v>54</v>
      </c>
      <c r="L564" s="140" t="str">
        <f>IF(AND('331-CT'!$E$7=TH!H564,OR(J564="331",K564="331")),"x","")</f>
        <v/>
      </c>
    </row>
    <row r="565" spans="1:12">
      <c r="A565" s="78">
        <f t="shared" si="24"/>
        <v>2015</v>
      </c>
      <c r="B565" s="78">
        <f t="shared" si="25"/>
        <v>6</v>
      </c>
      <c r="C565" s="79">
        <v>42174</v>
      </c>
      <c r="D565" s="79" t="s">
        <v>17</v>
      </c>
      <c r="E565" s="79">
        <f t="shared" si="23"/>
        <v>42174</v>
      </c>
      <c r="F565" s="82" t="s">
        <v>34</v>
      </c>
      <c r="G565" s="273"/>
      <c r="H565" s="128"/>
      <c r="I565" s="80">
        <v>25000</v>
      </c>
      <c r="J565" s="81" t="s">
        <v>242</v>
      </c>
      <c r="K565" s="81" t="s">
        <v>54</v>
      </c>
      <c r="L565" s="140" t="str">
        <f>IF(AND('331-CT'!$E$7=TH!H565,OR(J565="331",K565="331")),"x","")</f>
        <v/>
      </c>
    </row>
    <row r="566" spans="1:12">
      <c r="A566" s="78">
        <f t="shared" si="24"/>
        <v>2015</v>
      </c>
      <c r="B566" s="78">
        <f t="shared" si="25"/>
        <v>6</v>
      </c>
      <c r="C566" s="79">
        <v>42174</v>
      </c>
      <c r="D566" s="79" t="s">
        <v>17</v>
      </c>
      <c r="E566" s="79">
        <f t="shared" si="23"/>
        <v>42174</v>
      </c>
      <c r="F566" s="82" t="s">
        <v>35</v>
      </c>
      <c r="G566" s="273"/>
      <c r="H566" s="129"/>
      <c r="I566" s="80">
        <v>2500</v>
      </c>
      <c r="J566" s="81" t="s">
        <v>19</v>
      </c>
      <c r="K566" s="81" t="s">
        <v>54</v>
      </c>
      <c r="L566" s="140" t="str">
        <f>IF(AND('331-CT'!$E$7=TH!H566,OR(J566="331",K566="331")),"x","")</f>
        <v/>
      </c>
    </row>
    <row r="567" spans="1:12">
      <c r="A567" s="78">
        <f t="shared" si="24"/>
        <v>2015</v>
      </c>
      <c r="B567" s="78">
        <f t="shared" si="25"/>
        <v>6</v>
      </c>
      <c r="C567" s="79">
        <v>42175</v>
      </c>
      <c r="D567" s="79" t="s">
        <v>17</v>
      </c>
      <c r="E567" s="79">
        <f t="shared" si="23"/>
        <v>42175</v>
      </c>
      <c r="F567" s="82" t="s">
        <v>34</v>
      </c>
      <c r="G567" s="273"/>
      <c r="H567" s="128"/>
      <c r="I567" s="80">
        <v>85500</v>
      </c>
      <c r="J567" s="81" t="s">
        <v>242</v>
      </c>
      <c r="K567" s="81" t="s">
        <v>54</v>
      </c>
      <c r="L567" s="140" t="str">
        <f>IF(AND('331-CT'!$E$7=TH!H567,OR(J567="331",K567="331")),"x","")</f>
        <v/>
      </c>
    </row>
    <row r="568" spans="1:12">
      <c r="A568" s="78">
        <f t="shared" si="24"/>
        <v>2015</v>
      </c>
      <c r="B568" s="78">
        <f t="shared" si="25"/>
        <v>6</v>
      </c>
      <c r="C568" s="79">
        <v>42176</v>
      </c>
      <c r="D568" s="79" t="s">
        <v>17</v>
      </c>
      <c r="E568" s="79">
        <f t="shared" si="23"/>
        <v>42176</v>
      </c>
      <c r="F568" s="82" t="s">
        <v>35</v>
      </c>
      <c r="G568" s="273"/>
      <c r="H568" s="128"/>
      <c r="I568" s="80">
        <v>8550</v>
      </c>
      <c r="J568" s="81" t="s">
        <v>19</v>
      </c>
      <c r="K568" s="81" t="s">
        <v>54</v>
      </c>
      <c r="L568" s="140" t="str">
        <f>IF(AND('331-CT'!$E$7=TH!H568,OR(J568="331",K568="331")),"x","")</f>
        <v/>
      </c>
    </row>
    <row r="569" spans="1:12">
      <c r="A569" s="78">
        <f t="shared" si="24"/>
        <v>2015</v>
      </c>
      <c r="B569" s="78">
        <f t="shared" si="25"/>
        <v>6</v>
      </c>
      <c r="C569" s="79">
        <v>42177</v>
      </c>
      <c r="D569" s="79" t="s">
        <v>17</v>
      </c>
      <c r="E569" s="79">
        <f t="shared" si="23"/>
        <v>42177</v>
      </c>
      <c r="F569" s="82" t="s">
        <v>301</v>
      </c>
      <c r="G569" s="273"/>
      <c r="H569" s="9" t="s">
        <v>300</v>
      </c>
      <c r="I569" s="80">
        <v>100000000</v>
      </c>
      <c r="J569" s="81" t="s">
        <v>18</v>
      </c>
      <c r="K569" s="81" t="s">
        <v>54</v>
      </c>
      <c r="L569" s="140" t="str">
        <f>IF(AND('331-CT'!$E$7=TH!H569,OR(J569="331",K569="331")),"x","")</f>
        <v/>
      </c>
    </row>
    <row r="570" spans="1:12">
      <c r="A570" s="78">
        <f t="shared" si="24"/>
        <v>2015</v>
      </c>
      <c r="B570" s="78">
        <f t="shared" si="25"/>
        <v>6</v>
      </c>
      <c r="C570" s="79">
        <v>42178</v>
      </c>
      <c r="D570" s="79" t="s">
        <v>17</v>
      </c>
      <c r="E570" s="79">
        <f t="shared" si="23"/>
        <v>42178</v>
      </c>
      <c r="F570" s="82" t="s">
        <v>34</v>
      </c>
      <c r="G570" s="273"/>
      <c r="H570" s="128"/>
      <c r="I570" s="80">
        <v>50000</v>
      </c>
      <c r="J570" s="81" t="s">
        <v>242</v>
      </c>
      <c r="K570" s="81" t="s">
        <v>54</v>
      </c>
      <c r="L570" s="140" t="str">
        <f>IF(AND('331-CT'!$E$7=TH!H570,OR(J570="331",K570="331")),"x","")</f>
        <v/>
      </c>
    </row>
    <row r="571" spans="1:12">
      <c r="A571" s="78">
        <f t="shared" si="24"/>
        <v>2015</v>
      </c>
      <c r="B571" s="78">
        <f t="shared" si="25"/>
        <v>6</v>
      </c>
      <c r="C571" s="79">
        <v>42179</v>
      </c>
      <c r="D571" s="79" t="s">
        <v>17</v>
      </c>
      <c r="E571" s="79">
        <f t="shared" si="23"/>
        <v>42179</v>
      </c>
      <c r="F571" s="82" t="s">
        <v>35</v>
      </c>
      <c r="G571" s="273"/>
      <c r="H571" s="129"/>
      <c r="I571" s="80">
        <v>5000</v>
      </c>
      <c r="J571" s="81" t="s">
        <v>19</v>
      </c>
      <c r="K571" s="81" t="s">
        <v>54</v>
      </c>
      <c r="L571" s="140" t="str">
        <f>IF(AND('331-CT'!$E$7=TH!H571,OR(J571="331",K571="331")),"x","")</f>
        <v/>
      </c>
    </row>
    <row r="572" spans="1:12">
      <c r="A572" s="78">
        <f t="shared" si="24"/>
        <v>2015</v>
      </c>
      <c r="B572" s="78">
        <f t="shared" si="25"/>
        <v>6</v>
      </c>
      <c r="C572" s="79">
        <v>42179</v>
      </c>
      <c r="D572" s="79" t="s">
        <v>21</v>
      </c>
      <c r="E572" s="79">
        <f t="shared" si="23"/>
        <v>42179</v>
      </c>
      <c r="F572" s="82" t="s">
        <v>98</v>
      </c>
      <c r="G572" s="273"/>
      <c r="H572" s="128"/>
      <c r="I572" s="80">
        <v>88048</v>
      </c>
      <c r="J572" s="81" t="s">
        <v>54</v>
      </c>
      <c r="K572" s="81" t="s">
        <v>99</v>
      </c>
      <c r="L572" s="140" t="str">
        <f>IF(AND('331-CT'!$E$7=TH!H572,OR(J572="331",K572="331")),"x","")</f>
        <v/>
      </c>
    </row>
    <row r="573" spans="1:12">
      <c r="A573" s="78">
        <f t="shared" si="24"/>
        <v>2015</v>
      </c>
      <c r="B573" s="78">
        <f t="shared" si="25"/>
        <v>6</v>
      </c>
      <c r="C573" s="79">
        <v>42180</v>
      </c>
      <c r="D573" s="79" t="s">
        <v>73</v>
      </c>
      <c r="E573" s="79">
        <f t="shared" si="23"/>
        <v>42180</v>
      </c>
      <c r="F573" s="99" t="s">
        <v>590</v>
      </c>
      <c r="G573" s="273"/>
      <c r="H573" s="128" t="s">
        <v>272</v>
      </c>
      <c r="I573" s="80">
        <v>116000000</v>
      </c>
      <c r="J573" s="81" t="s">
        <v>54</v>
      </c>
      <c r="K573" s="81" t="s">
        <v>203</v>
      </c>
      <c r="L573" s="140" t="str">
        <f>IF(AND('331-CT'!$E$7=TH!H573,OR(J573="331",K573="331")),"x","")</f>
        <v/>
      </c>
    </row>
    <row r="574" spans="1:12">
      <c r="A574" s="78">
        <f t="shared" si="24"/>
        <v>2015</v>
      </c>
      <c r="B574" s="78">
        <f t="shared" si="25"/>
        <v>6</v>
      </c>
      <c r="C574" s="79">
        <v>42180</v>
      </c>
      <c r="D574" s="79" t="s">
        <v>78</v>
      </c>
      <c r="E574" s="79">
        <v>42180</v>
      </c>
      <c r="F574" s="82" t="s">
        <v>298</v>
      </c>
      <c r="G574" s="273" t="s">
        <v>297</v>
      </c>
      <c r="H574" s="130" t="s">
        <v>300</v>
      </c>
      <c r="I574" s="80">
        <v>173764636</v>
      </c>
      <c r="J574" s="81" t="s">
        <v>669</v>
      </c>
      <c r="K574" s="81" t="s">
        <v>18</v>
      </c>
      <c r="L574" s="140" t="str">
        <f>IF(AND('331-CT'!$E$7=TH!H574,OR(J574="331",K574="331")),"x","")</f>
        <v/>
      </c>
    </row>
    <row r="575" spans="1:12">
      <c r="A575" s="78">
        <f t="shared" si="24"/>
        <v>2015</v>
      </c>
      <c r="B575" s="78">
        <f t="shared" si="25"/>
        <v>6</v>
      </c>
      <c r="C575" s="79">
        <v>42180</v>
      </c>
      <c r="D575" s="79" t="s">
        <v>78</v>
      </c>
      <c r="E575" s="79">
        <v>42180</v>
      </c>
      <c r="F575" s="82" t="s">
        <v>299</v>
      </c>
      <c r="G575" s="273" t="s">
        <v>297</v>
      </c>
      <c r="H575" s="130" t="s">
        <v>300</v>
      </c>
      <c r="I575" s="80">
        <v>17376464</v>
      </c>
      <c r="J575" s="81" t="s">
        <v>19</v>
      </c>
      <c r="K575" s="81" t="s">
        <v>18</v>
      </c>
      <c r="L575" s="140" t="str">
        <f>IF(AND('331-CT'!$E$7=TH!H575,OR(J575="331",K575="331")),"x","")</f>
        <v/>
      </c>
    </row>
    <row r="576" spans="1:12">
      <c r="A576" s="78">
        <f t="shared" si="24"/>
        <v>2015</v>
      </c>
      <c r="B576" s="78">
        <f t="shared" si="25"/>
        <v>6</v>
      </c>
      <c r="C576" s="79">
        <v>42180</v>
      </c>
      <c r="D576" s="79" t="s">
        <v>78</v>
      </c>
      <c r="E576" s="79">
        <v>42180</v>
      </c>
      <c r="F576" s="82" t="s">
        <v>295</v>
      </c>
      <c r="G576" s="273" t="s">
        <v>294</v>
      </c>
      <c r="H576" s="130" t="s">
        <v>300</v>
      </c>
      <c r="I576" s="80">
        <v>46033273</v>
      </c>
      <c r="J576" s="81" t="s">
        <v>669</v>
      </c>
      <c r="K576" s="81" t="s">
        <v>18</v>
      </c>
      <c r="L576" s="140" t="str">
        <f>IF(AND('331-CT'!$E$7=TH!H576,OR(J576="331",K576="331")),"x","")</f>
        <v/>
      </c>
    </row>
    <row r="577" spans="1:12">
      <c r="A577" s="78">
        <f t="shared" si="24"/>
        <v>2015</v>
      </c>
      <c r="B577" s="78">
        <f t="shared" si="25"/>
        <v>6</v>
      </c>
      <c r="C577" s="79">
        <v>42180</v>
      </c>
      <c r="D577" s="79" t="s">
        <v>78</v>
      </c>
      <c r="E577" s="79">
        <v>42180</v>
      </c>
      <c r="F577" s="82" t="s">
        <v>296</v>
      </c>
      <c r="G577" s="273" t="s">
        <v>294</v>
      </c>
      <c r="H577" s="130" t="s">
        <v>300</v>
      </c>
      <c r="I577" s="80">
        <v>4603327</v>
      </c>
      <c r="J577" s="81" t="s">
        <v>19</v>
      </c>
      <c r="K577" s="81" t="s">
        <v>18</v>
      </c>
      <c r="L577" s="140" t="str">
        <f>IF(AND('331-CT'!$E$7=TH!H577,OR(J577="331",K577="331")),"x","")</f>
        <v/>
      </c>
    </row>
    <row r="578" spans="1:12">
      <c r="A578" s="78">
        <f t="shared" si="24"/>
        <v>2015</v>
      </c>
      <c r="B578" s="78">
        <f t="shared" si="25"/>
        <v>6</v>
      </c>
      <c r="C578" s="79">
        <v>42180</v>
      </c>
      <c r="D578" s="79" t="s">
        <v>78</v>
      </c>
      <c r="E578" s="79">
        <f t="shared" ref="E578:E596" si="26">C578</f>
        <v>42180</v>
      </c>
      <c r="F578" s="82" t="s">
        <v>291</v>
      </c>
      <c r="G578" s="273" t="s">
        <v>293</v>
      </c>
      <c r="H578" s="130" t="s">
        <v>300</v>
      </c>
      <c r="I578" s="80">
        <v>12290909</v>
      </c>
      <c r="J578" s="142" t="s">
        <v>669</v>
      </c>
      <c r="K578" s="142" t="s">
        <v>18</v>
      </c>
      <c r="L578" s="140" t="str">
        <f>IF(AND('331-CT'!$E$7=TH!H578,OR(J578="331",K578="331")),"x","")</f>
        <v/>
      </c>
    </row>
    <row r="579" spans="1:12">
      <c r="A579" s="78">
        <f t="shared" si="24"/>
        <v>2015</v>
      </c>
      <c r="B579" s="78">
        <f t="shared" si="25"/>
        <v>6</v>
      </c>
      <c r="C579" s="79">
        <v>42180</v>
      </c>
      <c r="D579" s="79" t="s">
        <v>78</v>
      </c>
      <c r="E579" s="79">
        <f t="shared" si="26"/>
        <v>42180</v>
      </c>
      <c r="F579" s="82" t="s">
        <v>292</v>
      </c>
      <c r="G579" s="273" t="s">
        <v>293</v>
      </c>
      <c r="H579" s="130" t="s">
        <v>300</v>
      </c>
      <c r="I579" s="80">
        <v>1229091</v>
      </c>
      <c r="J579" s="142" t="s">
        <v>19</v>
      </c>
      <c r="K579" s="142" t="s">
        <v>18</v>
      </c>
      <c r="L579" s="140" t="str">
        <f>IF(AND('331-CT'!$E$7=TH!H579,OR(J579="331",K579="331")),"x","")</f>
        <v/>
      </c>
    </row>
    <row r="580" spans="1:12">
      <c r="A580" s="78">
        <f t="shared" si="24"/>
        <v>2015</v>
      </c>
      <c r="B580" s="78">
        <f t="shared" si="25"/>
        <v>6</v>
      </c>
      <c r="C580" s="79">
        <v>42181</v>
      </c>
      <c r="D580" s="79" t="s">
        <v>17</v>
      </c>
      <c r="E580" s="79">
        <f t="shared" si="26"/>
        <v>42181</v>
      </c>
      <c r="F580" s="82" t="s">
        <v>119</v>
      </c>
      <c r="G580" s="273"/>
      <c r="H580" s="128" t="s">
        <v>314</v>
      </c>
      <c r="I580" s="80">
        <v>8203223</v>
      </c>
      <c r="J580" s="81" t="s">
        <v>240</v>
      </c>
      <c r="K580" s="81" t="s">
        <v>54</v>
      </c>
      <c r="L580" s="140" t="str">
        <f>IF(AND('331-CT'!$E$7=TH!H580,OR(J580="331",K580="331")),"x","")</f>
        <v/>
      </c>
    </row>
    <row r="581" spans="1:12">
      <c r="A581" s="78">
        <f t="shared" si="24"/>
        <v>2015</v>
      </c>
      <c r="B581" s="78">
        <f t="shared" si="25"/>
        <v>6</v>
      </c>
      <c r="C581" s="79">
        <v>42181</v>
      </c>
      <c r="D581" s="79" t="s">
        <v>17</v>
      </c>
      <c r="E581" s="79">
        <f t="shared" si="26"/>
        <v>42181</v>
      </c>
      <c r="F581" s="82" t="s">
        <v>141</v>
      </c>
      <c r="G581" s="273"/>
      <c r="H581" s="128" t="s">
        <v>315</v>
      </c>
      <c r="I581" s="80">
        <v>16406445</v>
      </c>
      <c r="J581" s="81" t="s">
        <v>240</v>
      </c>
      <c r="K581" s="81" t="s">
        <v>54</v>
      </c>
      <c r="L581" s="140" t="str">
        <f>IF(AND('331-CT'!$E$7=TH!H581,OR(J581="331",K581="331")),"x","")</f>
        <v/>
      </c>
    </row>
    <row r="582" spans="1:12">
      <c r="A582" s="78">
        <f t="shared" si="24"/>
        <v>2015</v>
      </c>
      <c r="B582" s="78">
        <f t="shared" si="25"/>
        <v>6</v>
      </c>
      <c r="C582" s="79">
        <v>42181</v>
      </c>
      <c r="D582" s="79" t="s">
        <v>17</v>
      </c>
      <c r="E582" s="79">
        <f t="shared" si="26"/>
        <v>42181</v>
      </c>
      <c r="F582" s="82" t="s">
        <v>143</v>
      </c>
      <c r="G582" s="273"/>
      <c r="H582" s="128" t="s">
        <v>317</v>
      </c>
      <c r="I582" s="80">
        <v>13125156</v>
      </c>
      <c r="J582" s="81" t="s">
        <v>240</v>
      </c>
      <c r="K582" s="81" t="s">
        <v>54</v>
      </c>
      <c r="L582" s="140" t="str">
        <f>IF(AND('331-CT'!$E$7=TH!H582,OR(J582="331",K582="331")),"x","")</f>
        <v/>
      </c>
    </row>
    <row r="583" spans="1:12">
      <c r="A583" s="78">
        <f t="shared" si="24"/>
        <v>2015</v>
      </c>
      <c r="B583" s="78">
        <f t="shared" si="25"/>
        <v>6</v>
      </c>
      <c r="C583" s="79">
        <v>42181</v>
      </c>
      <c r="D583" s="79" t="s">
        <v>17</v>
      </c>
      <c r="E583" s="79">
        <f t="shared" si="26"/>
        <v>42181</v>
      </c>
      <c r="F583" s="82" t="s">
        <v>144</v>
      </c>
      <c r="G583" s="273"/>
      <c r="H583" s="128" t="s">
        <v>316</v>
      </c>
      <c r="I583" s="80">
        <v>12304833</v>
      </c>
      <c r="J583" s="81" t="s">
        <v>240</v>
      </c>
      <c r="K583" s="81" t="s">
        <v>54</v>
      </c>
      <c r="L583" s="140" t="str">
        <f>IF(AND('331-CT'!$E$7=TH!H583,OR(J583="331",K583="331")),"x","")</f>
        <v/>
      </c>
    </row>
    <row r="584" spans="1:12">
      <c r="A584" s="78">
        <f t="shared" si="24"/>
        <v>2015</v>
      </c>
      <c r="B584" s="78">
        <f t="shared" si="25"/>
        <v>6</v>
      </c>
      <c r="C584" s="79">
        <v>42181</v>
      </c>
      <c r="D584" s="79" t="s">
        <v>17</v>
      </c>
      <c r="E584" s="79">
        <f t="shared" si="26"/>
        <v>42181</v>
      </c>
      <c r="F584" s="82" t="s">
        <v>145</v>
      </c>
      <c r="G584" s="273"/>
      <c r="H584" s="128" t="s">
        <v>318</v>
      </c>
      <c r="I584" s="80">
        <v>8203223</v>
      </c>
      <c r="J584" s="81" t="s">
        <v>240</v>
      </c>
      <c r="K584" s="81" t="s">
        <v>54</v>
      </c>
      <c r="L584" s="140" t="str">
        <f>IF(AND('331-CT'!$E$7=TH!H584,OR(J584="331",K584="331")),"x","")</f>
        <v/>
      </c>
    </row>
    <row r="585" spans="1:12">
      <c r="A585" s="78">
        <f t="shared" si="24"/>
        <v>2015</v>
      </c>
      <c r="B585" s="78">
        <f t="shared" si="25"/>
        <v>6</v>
      </c>
      <c r="C585" s="79">
        <v>42181</v>
      </c>
      <c r="D585" s="79" t="s">
        <v>17</v>
      </c>
      <c r="E585" s="79">
        <f t="shared" si="26"/>
        <v>42181</v>
      </c>
      <c r="F585" s="82" t="s">
        <v>147</v>
      </c>
      <c r="G585" s="273"/>
      <c r="H585" s="129" t="s">
        <v>319</v>
      </c>
      <c r="I585" s="80">
        <v>12304833</v>
      </c>
      <c r="J585" s="81" t="s">
        <v>240</v>
      </c>
      <c r="K585" s="81" t="s">
        <v>54</v>
      </c>
      <c r="L585" s="140" t="str">
        <f>IF(AND('331-CT'!$E$7=TH!H585,OR(J585="331",K585="331")),"x","")</f>
        <v/>
      </c>
    </row>
    <row r="586" spans="1:12">
      <c r="A586" s="78">
        <f t="shared" si="24"/>
        <v>2015</v>
      </c>
      <c r="B586" s="78">
        <f t="shared" si="25"/>
        <v>6</v>
      </c>
      <c r="C586" s="79">
        <v>42181</v>
      </c>
      <c r="D586" s="79" t="s">
        <v>17</v>
      </c>
      <c r="E586" s="79">
        <f t="shared" si="26"/>
        <v>42181</v>
      </c>
      <c r="F586" s="82" t="s">
        <v>273</v>
      </c>
      <c r="G586" s="273"/>
      <c r="H586" s="128" t="s">
        <v>320</v>
      </c>
      <c r="I586" s="80">
        <v>16407126</v>
      </c>
      <c r="J586" s="81" t="s">
        <v>240</v>
      </c>
      <c r="K586" s="81" t="s">
        <v>54</v>
      </c>
      <c r="L586" s="140" t="str">
        <f>IF(AND('331-CT'!$E$7=TH!H586,OR(J586="331",K586="331")),"x","")</f>
        <v/>
      </c>
    </row>
    <row r="587" spans="1:12">
      <c r="A587" s="78">
        <f t="shared" si="24"/>
        <v>2015</v>
      </c>
      <c r="B587" s="78">
        <f t="shared" si="25"/>
        <v>6</v>
      </c>
      <c r="C587" s="79">
        <v>42181</v>
      </c>
      <c r="D587" s="79" t="s">
        <v>17</v>
      </c>
      <c r="E587" s="79">
        <f t="shared" si="26"/>
        <v>42181</v>
      </c>
      <c r="F587" s="82" t="s">
        <v>303</v>
      </c>
      <c r="G587" s="273"/>
      <c r="H587" s="128" t="s">
        <v>321</v>
      </c>
      <c r="I587" s="80">
        <v>22228087</v>
      </c>
      <c r="J587" s="81" t="s">
        <v>240</v>
      </c>
      <c r="K587" s="81" t="s">
        <v>54</v>
      </c>
      <c r="L587" s="140" t="str">
        <f>IF(AND('331-CT'!$E$7=TH!H587,OR(J587="331",K587="331")),"x","")</f>
        <v/>
      </c>
    </row>
    <row r="588" spans="1:12">
      <c r="A588" s="78">
        <f t="shared" si="24"/>
        <v>2015</v>
      </c>
      <c r="B588" s="78">
        <f t="shared" si="25"/>
        <v>6</v>
      </c>
      <c r="C588" s="79">
        <v>42181</v>
      </c>
      <c r="D588" s="79" t="s">
        <v>17</v>
      </c>
      <c r="E588" s="79">
        <f t="shared" si="26"/>
        <v>42181</v>
      </c>
      <c r="F588" s="82" t="s">
        <v>304</v>
      </c>
      <c r="G588" s="273"/>
      <c r="H588" s="128" t="s">
        <v>322</v>
      </c>
      <c r="I588" s="80">
        <v>14289484</v>
      </c>
      <c r="J588" s="81" t="s">
        <v>240</v>
      </c>
      <c r="K588" s="81" t="s">
        <v>54</v>
      </c>
      <c r="L588" s="140" t="str">
        <f>IF(AND('331-CT'!$E$7=TH!H588,OR(J588="331",K588="331")),"x","")</f>
        <v/>
      </c>
    </row>
    <row r="589" spans="1:12">
      <c r="A589" s="78">
        <f t="shared" si="24"/>
        <v>2015</v>
      </c>
      <c r="B589" s="78">
        <f t="shared" si="25"/>
        <v>6</v>
      </c>
      <c r="C589" s="79">
        <v>42184</v>
      </c>
      <c r="D589" s="79" t="s">
        <v>78</v>
      </c>
      <c r="E589" s="79">
        <f t="shared" si="26"/>
        <v>42184</v>
      </c>
      <c r="F589" s="82" t="s">
        <v>289</v>
      </c>
      <c r="G589" s="278" t="s">
        <v>577</v>
      </c>
      <c r="H589" s="128" t="s">
        <v>85</v>
      </c>
      <c r="I589" s="80">
        <v>6818181818</v>
      </c>
      <c r="J589" s="142" t="s">
        <v>669</v>
      </c>
      <c r="K589" s="81" t="s">
        <v>18</v>
      </c>
      <c r="L589" s="140" t="str">
        <f>IF(AND('331-CT'!$E$7=TH!H589,OR(J589="331",K589="331")),"x","")</f>
        <v/>
      </c>
    </row>
    <row r="590" spans="1:12">
      <c r="A590" s="78">
        <f t="shared" si="24"/>
        <v>2015</v>
      </c>
      <c r="B590" s="78">
        <f t="shared" si="25"/>
        <v>6</v>
      </c>
      <c r="C590" s="79">
        <v>42184</v>
      </c>
      <c r="D590" s="79" t="s">
        <v>78</v>
      </c>
      <c r="E590" s="79">
        <f t="shared" si="26"/>
        <v>42184</v>
      </c>
      <c r="F590" s="82" t="s">
        <v>290</v>
      </c>
      <c r="G590" s="278" t="s">
        <v>577</v>
      </c>
      <c r="H590" s="128" t="s">
        <v>85</v>
      </c>
      <c r="I590" s="80">
        <v>681818182</v>
      </c>
      <c r="J590" s="142" t="s">
        <v>19</v>
      </c>
      <c r="K590" s="81" t="s">
        <v>18</v>
      </c>
      <c r="L590" s="140" t="str">
        <f>IF(AND('331-CT'!$E$7=TH!H590,OR(J590="331",K590="331")),"x","")</f>
        <v/>
      </c>
    </row>
    <row r="591" spans="1:12">
      <c r="A591" s="78">
        <f t="shared" si="24"/>
        <v>2015</v>
      </c>
      <c r="B591" s="78">
        <f t="shared" si="25"/>
        <v>6</v>
      </c>
      <c r="C591" s="79">
        <v>42185</v>
      </c>
      <c r="D591" s="79" t="s">
        <v>17</v>
      </c>
      <c r="E591" s="79">
        <f t="shared" si="26"/>
        <v>42185</v>
      </c>
      <c r="F591" s="82" t="s">
        <v>301</v>
      </c>
      <c r="G591" s="273"/>
      <c r="H591" s="9" t="s">
        <v>305</v>
      </c>
      <c r="I591" s="80">
        <v>45000000</v>
      </c>
      <c r="J591" s="81" t="s">
        <v>18</v>
      </c>
      <c r="K591" s="81" t="s">
        <v>54</v>
      </c>
      <c r="L591" s="140" t="str">
        <f>IF(AND('331-CT'!$E$7=TH!H591,OR(J591="331",K591="331")),"x","")</f>
        <v/>
      </c>
    </row>
    <row r="592" spans="1:12">
      <c r="A592" s="78">
        <f t="shared" si="24"/>
        <v>2015</v>
      </c>
      <c r="B592" s="78">
        <f t="shared" si="25"/>
        <v>6</v>
      </c>
      <c r="C592" s="79">
        <v>42185</v>
      </c>
      <c r="D592" s="79" t="s">
        <v>17</v>
      </c>
      <c r="E592" s="79">
        <f t="shared" si="26"/>
        <v>42185</v>
      </c>
      <c r="F592" s="82" t="s">
        <v>34</v>
      </c>
      <c r="G592" s="273"/>
      <c r="H592" s="128"/>
      <c r="I592" s="80">
        <v>20000</v>
      </c>
      <c r="J592" s="81" t="s">
        <v>242</v>
      </c>
      <c r="K592" s="81" t="s">
        <v>54</v>
      </c>
      <c r="L592" s="140" t="str">
        <f>IF(AND('331-CT'!$E$7=TH!H592,OR(J592="331",K592="331")),"x","")</f>
        <v/>
      </c>
    </row>
    <row r="593" spans="1:12">
      <c r="A593" s="78">
        <f t="shared" si="24"/>
        <v>2015</v>
      </c>
      <c r="B593" s="78">
        <f t="shared" si="25"/>
        <v>6</v>
      </c>
      <c r="C593" s="79">
        <v>42185</v>
      </c>
      <c r="D593" s="79" t="s">
        <v>17</v>
      </c>
      <c r="E593" s="79">
        <f t="shared" si="26"/>
        <v>42185</v>
      </c>
      <c r="F593" s="82" t="s">
        <v>35</v>
      </c>
      <c r="G593" s="273"/>
      <c r="H593" s="128"/>
      <c r="I593" s="80">
        <v>2000</v>
      </c>
      <c r="J593" s="81" t="s">
        <v>19</v>
      </c>
      <c r="K593" s="81" t="s">
        <v>54</v>
      </c>
      <c r="L593" s="140" t="str">
        <f>IF(AND('331-CT'!$E$7=TH!H593,OR(J593="331",K593="331")),"x","")</f>
        <v/>
      </c>
    </row>
    <row r="594" spans="1:12">
      <c r="A594" s="78">
        <f t="shared" si="24"/>
        <v>2015</v>
      </c>
      <c r="B594" s="78">
        <f t="shared" si="25"/>
        <v>6</v>
      </c>
      <c r="C594" s="79">
        <v>42185</v>
      </c>
      <c r="D594" s="79" t="s">
        <v>17</v>
      </c>
      <c r="E594" s="79">
        <f t="shared" si="26"/>
        <v>42185</v>
      </c>
      <c r="F594" s="82" t="s">
        <v>301</v>
      </c>
      <c r="G594" s="273"/>
      <c r="H594" s="9" t="s">
        <v>306</v>
      </c>
      <c r="I594" s="80">
        <v>100000000</v>
      </c>
      <c r="J594" s="81" t="s">
        <v>18</v>
      </c>
      <c r="K594" s="81" t="s">
        <v>54</v>
      </c>
      <c r="L594" s="140" t="str">
        <f>IF(AND('331-CT'!$E$7=TH!H594,OR(J594="331",K594="331")),"x","")</f>
        <v/>
      </c>
    </row>
    <row r="595" spans="1:12">
      <c r="A595" s="78">
        <f t="shared" si="24"/>
        <v>2015</v>
      </c>
      <c r="B595" s="78">
        <f t="shared" si="25"/>
        <v>6</v>
      </c>
      <c r="C595" s="79">
        <v>42185</v>
      </c>
      <c r="D595" s="79" t="s">
        <v>17</v>
      </c>
      <c r="E595" s="79">
        <f t="shared" si="26"/>
        <v>42185</v>
      </c>
      <c r="F595" s="82" t="s">
        <v>34</v>
      </c>
      <c r="G595" s="273"/>
      <c r="H595" s="128"/>
      <c r="I595" s="80">
        <v>30000</v>
      </c>
      <c r="J595" s="81" t="s">
        <v>242</v>
      </c>
      <c r="K595" s="81" t="s">
        <v>54</v>
      </c>
      <c r="L595" s="140" t="str">
        <f>IF(AND('331-CT'!$E$7=TH!H595,OR(J595="331",K595="331")),"x","")</f>
        <v/>
      </c>
    </row>
    <row r="596" spans="1:12">
      <c r="A596" s="78">
        <f t="shared" si="24"/>
        <v>2015</v>
      </c>
      <c r="B596" s="78">
        <f t="shared" si="25"/>
        <v>6</v>
      </c>
      <c r="C596" s="79">
        <v>42185</v>
      </c>
      <c r="D596" s="79" t="s">
        <v>17</v>
      </c>
      <c r="E596" s="79">
        <f t="shared" si="26"/>
        <v>42185</v>
      </c>
      <c r="F596" s="82" t="s">
        <v>35</v>
      </c>
      <c r="G596" s="273"/>
      <c r="H596" s="128"/>
      <c r="I596" s="80">
        <v>3000</v>
      </c>
      <c r="J596" s="81" t="s">
        <v>19</v>
      </c>
      <c r="K596" s="81" t="s">
        <v>54</v>
      </c>
      <c r="L596" s="140" t="str">
        <f>IF(AND('331-CT'!$E$7=TH!H596,OR(J596="331",K596="331")),"x","")</f>
        <v/>
      </c>
    </row>
    <row r="597" spans="1:12">
      <c r="A597" s="78">
        <f t="shared" ref="A597:A660" si="27">IF(C597&lt;&gt;"",YEAR(C597),"")</f>
        <v>2015</v>
      </c>
      <c r="B597" s="78">
        <f t="shared" ref="B597:B660" si="28">IF(C597&lt;&gt;"",MONTH(C597),"")</f>
        <v>7</v>
      </c>
      <c r="C597" s="79">
        <v>42186</v>
      </c>
      <c r="D597" s="79" t="s">
        <v>73</v>
      </c>
      <c r="E597" s="79">
        <v>42159</v>
      </c>
      <c r="F597" s="82" t="s">
        <v>330</v>
      </c>
      <c r="G597" s="278" t="s">
        <v>549</v>
      </c>
      <c r="H597" s="128" t="s">
        <v>331</v>
      </c>
      <c r="I597" s="80">
        <v>3127345</v>
      </c>
      <c r="J597" s="81" t="s">
        <v>669</v>
      </c>
      <c r="K597" s="81" t="s">
        <v>203</v>
      </c>
      <c r="L597" s="140" t="str">
        <f>IF(AND('331-CT'!$E$7=TH!H597,OR(J597="331",K597="331")),"x","")</f>
        <v/>
      </c>
    </row>
    <row r="598" spans="1:12">
      <c r="A598" s="78">
        <f t="shared" si="27"/>
        <v>2015</v>
      </c>
      <c r="B598" s="78">
        <f t="shared" si="28"/>
        <v>7</v>
      </c>
      <c r="C598" s="79">
        <v>42186</v>
      </c>
      <c r="D598" s="79" t="s">
        <v>73</v>
      </c>
      <c r="E598" s="79">
        <v>42159</v>
      </c>
      <c r="F598" s="82" t="s">
        <v>332</v>
      </c>
      <c r="G598" s="278" t="s">
        <v>549</v>
      </c>
      <c r="H598" s="128" t="s">
        <v>331</v>
      </c>
      <c r="I598" s="80">
        <v>312734</v>
      </c>
      <c r="J598" s="81" t="s">
        <v>19</v>
      </c>
      <c r="K598" s="81" t="s">
        <v>203</v>
      </c>
      <c r="L598" s="140" t="str">
        <f>IF(AND('331-CT'!$E$7=TH!H598,OR(J598="331",K598="331")),"x","")</f>
        <v/>
      </c>
    </row>
    <row r="599" spans="1:12">
      <c r="A599" s="78">
        <f t="shared" si="27"/>
        <v>2015</v>
      </c>
      <c r="B599" s="78">
        <f t="shared" si="28"/>
        <v>7</v>
      </c>
      <c r="C599" s="79">
        <v>42186</v>
      </c>
      <c r="D599" s="79" t="s">
        <v>92</v>
      </c>
      <c r="E599" s="79">
        <v>42174</v>
      </c>
      <c r="F599" s="82" t="s">
        <v>333</v>
      </c>
      <c r="G599" s="278" t="s">
        <v>550</v>
      </c>
      <c r="H599" s="128" t="s">
        <v>335</v>
      </c>
      <c r="I599" s="80">
        <v>9662500</v>
      </c>
      <c r="J599" s="81" t="s">
        <v>669</v>
      </c>
      <c r="K599" s="81" t="s">
        <v>203</v>
      </c>
      <c r="L599" s="140" t="str">
        <f>IF(AND('331-CT'!$E$7=TH!H599,OR(J599="331",K599="331")),"x","")</f>
        <v/>
      </c>
    </row>
    <row r="600" spans="1:12">
      <c r="A600" s="78">
        <f t="shared" si="27"/>
        <v>2015</v>
      </c>
      <c r="B600" s="78">
        <f t="shared" si="28"/>
        <v>7</v>
      </c>
      <c r="C600" s="79">
        <v>42186</v>
      </c>
      <c r="D600" s="79" t="s">
        <v>92</v>
      </c>
      <c r="E600" s="79">
        <v>42174</v>
      </c>
      <c r="F600" s="82" t="s">
        <v>334</v>
      </c>
      <c r="G600" s="278" t="s">
        <v>550</v>
      </c>
      <c r="H600" s="128" t="s">
        <v>335</v>
      </c>
      <c r="I600" s="80">
        <v>966250</v>
      </c>
      <c r="J600" s="81" t="s">
        <v>19</v>
      </c>
      <c r="K600" s="81" t="s">
        <v>203</v>
      </c>
      <c r="L600" s="140" t="str">
        <f>IF(AND('331-CT'!$E$7=TH!H600,OR(J600="331",K600="331")),"x","")</f>
        <v/>
      </c>
    </row>
    <row r="601" spans="1:12">
      <c r="A601" s="78">
        <f t="shared" si="27"/>
        <v>2015</v>
      </c>
      <c r="B601" s="78">
        <f t="shared" si="28"/>
        <v>7</v>
      </c>
      <c r="C601" s="79">
        <v>42187</v>
      </c>
      <c r="D601" s="79" t="s">
        <v>78</v>
      </c>
      <c r="E601" s="79">
        <f>C601</f>
        <v>42187</v>
      </c>
      <c r="F601" s="82" t="s">
        <v>310</v>
      </c>
      <c r="G601" s="143" t="s">
        <v>309</v>
      </c>
      <c r="H601" s="9" t="s">
        <v>312</v>
      </c>
      <c r="I601" s="80">
        <v>19645867</v>
      </c>
      <c r="J601" s="81" t="s">
        <v>242</v>
      </c>
      <c r="K601" s="81" t="s">
        <v>18</v>
      </c>
      <c r="L601" s="140" t="str">
        <f>IF(AND('331-CT'!$E$7=TH!H601,OR(J601="331",K601="331")),"x","")</f>
        <v/>
      </c>
    </row>
    <row r="602" spans="1:12">
      <c r="A602" s="78">
        <f t="shared" si="27"/>
        <v>2015</v>
      </c>
      <c r="B602" s="78">
        <f t="shared" si="28"/>
        <v>7</v>
      </c>
      <c r="C602" s="79">
        <v>42187</v>
      </c>
      <c r="D602" s="79" t="s">
        <v>78</v>
      </c>
      <c r="E602" s="79">
        <f>C602</f>
        <v>42187</v>
      </c>
      <c r="F602" s="82" t="s">
        <v>311</v>
      </c>
      <c r="G602" s="143" t="s">
        <v>309</v>
      </c>
      <c r="H602" s="9" t="s">
        <v>312</v>
      </c>
      <c r="I602" s="80">
        <v>1964587</v>
      </c>
      <c r="J602" s="81" t="s">
        <v>19</v>
      </c>
      <c r="K602" s="81" t="s">
        <v>18</v>
      </c>
      <c r="L602" s="140" t="str">
        <f>IF(AND('331-CT'!$E$7=TH!H602,OR(J602="331",K602="331")),"x","")</f>
        <v/>
      </c>
    </row>
    <row r="603" spans="1:12">
      <c r="A603" s="78">
        <f t="shared" si="27"/>
        <v>2015</v>
      </c>
      <c r="B603" s="78">
        <f t="shared" si="28"/>
        <v>7</v>
      </c>
      <c r="C603" s="79">
        <v>42187</v>
      </c>
      <c r="D603" s="79" t="s">
        <v>93</v>
      </c>
      <c r="E603" s="79">
        <f>C603</f>
        <v>42187</v>
      </c>
      <c r="F603" s="99" t="s">
        <v>590</v>
      </c>
      <c r="G603" s="273"/>
      <c r="H603" s="128" t="s">
        <v>272</v>
      </c>
      <c r="I603" s="80">
        <v>30000000</v>
      </c>
      <c r="J603" s="81" t="s">
        <v>54</v>
      </c>
      <c r="K603" s="81" t="s">
        <v>203</v>
      </c>
      <c r="L603" s="140" t="str">
        <f>IF(AND('331-CT'!$E$7=TH!H603,OR(J603="331",K603="331")),"x","")</f>
        <v/>
      </c>
    </row>
    <row r="604" spans="1:12">
      <c r="A604" s="78">
        <f t="shared" si="27"/>
        <v>2015</v>
      </c>
      <c r="B604" s="78">
        <f t="shared" si="28"/>
        <v>7</v>
      </c>
      <c r="C604" s="136">
        <v>42187</v>
      </c>
      <c r="D604" s="136" t="s">
        <v>72</v>
      </c>
      <c r="E604" s="136">
        <v>42176</v>
      </c>
      <c r="F604" s="137" t="s">
        <v>336</v>
      </c>
      <c r="G604" s="279" t="s">
        <v>551</v>
      </c>
      <c r="H604" s="138" t="s">
        <v>188</v>
      </c>
      <c r="I604" s="139">
        <v>2012800</v>
      </c>
      <c r="J604" s="140" t="s">
        <v>242</v>
      </c>
      <c r="K604" s="140" t="s">
        <v>203</v>
      </c>
      <c r="L604" s="140" t="str">
        <f>IF(AND('331-CT'!$E$7=TH!H604,OR(J604="331",K604="331")),"x","")</f>
        <v/>
      </c>
    </row>
    <row r="605" spans="1:12">
      <c r="A605" s="78">
        <f t="shared" si="27"/>
        <v>2015</v>
      </c>
      <c r="B605" s="78">
        <f t="shared" si="28"/>
        <v>7</v>
      </c>
      <c r="C605" s="79">
        <v>42187</v>
      </c>
      <c r="D605" s="136" t="s">
        <v>72</v>
      </c>
      <c r="E605" s="79">
        <v>42176</v>
      </c>
      <c r="F605" s="82" t="s">
        <v>337</v>
      </c>
      <c r="G605" s="278" t="s">
        <v>551</v>
      </c>
      <c r="H605" s="138" t="s">
        <v>188</v>
      </c>
      <c r="I605" s="80">
        <v>100640</v>
      </c>
      <c r="J605" s="81" t="s">
        <v>19</v>
      </c>
      <c r="K605" s="81" t="s">
        <v>203</v>
      </c>
      <c r="L605" s="140" t="str">
        <f>IF(AND('331-CT'!$E$7=TH!H605,OR(J605="331",K605="331")),"x","")</f>
        <v/>
      </c>
    </row>
    <row r="606" spans="1:12">
      <c r="A606" s="78">
        <f t="shared" si="27"/>
        <v>2015</v>
      </c>
      <c r="B606" s="78">
        <f t="shared" si="28"/>
        <v>7</v>
      </c>
      <c r="C606" s="79">
        <v>42187</v>
      </c>
      <c r="D606" s="79" t="s">
        <v>71</v>
      </c>
      <c r="E606" s="79">
        <v>42177</v>
      </c>
      <c r="F606" s="82" t="s">
        <v>333</v>
      </c>
      <c r="G606" s="278" t="s">
        <v>552</v>
      </c>
      <c r="H606" s="128" t="s">
        <v>335</v>
      </c>
      <c r="I606" s="80">
        <v>9662500</v>
      </c>
      <c r="J606" s="81" t="s">
        <v>669</v>
      </c>
      <c r="K606" s="81" t="s">
        <v>203</v>
      </c>
      <c r="L606" s="140" t="str">
        <f>IF(AND('331-CT'!$E$7=TH!H606,OR(J606="331",K606="331")),"x","")</f>
        <v/>
      </c>
    </row>
    <row r="607" spans="1:12">
      <c r="A607" s="78">
        <f t="shared" si="27"/>
        <v>2015</v>
      </c>
      <c r="B607" s="78">
        <f t="shared" si="28"/>
        <v>7</v>
      </c>
      <c r="C607" s="79">
        <v>42187</v>
      </c>
      <c r="D607" s="79" t="s">
        <v>71</v>
      </c>
      <c r="E607" s="79">
        <v>42177</v>
      </c>
      <c r="F607" s="82" t="s">
        <v>334</v>
      </c>
      <c r="G607" s="278" t="s">
        <v>552</v>
      </c>
      <c r="H607" s="128" t="s">
        <v>335</v>
      </c>
      <c r="I607" s="80">
        <v>966250</v>
      </c>
      <c r="J607" s="81" t="s">
        <v>19</v>
      </c>
      <c r="K607" s="81" t="s">
        <v>203</v>
      </c>
      <c r="L607" s="140" t="str">
        <f>IF(AND('331-CT'!$E$7=TH!H607,OR(J607="331",K607="331")),"x","")</f>
        <v/>
      </c>
    </row>
    <row r="608" spans="1:12">
      <c r="A608" s="78">
        <f t="shared" si="27"/>
        <v>2015</v>
      </c>
      <c r="B608" s="78">
        <f t="shared" si="28"/>
        <v>7</v>
      </c>
      <c r="C608" s="79">
        <v>42187</v>
      </c>
      <c r="D608" s="79" t="s">
        <v>21</v>
      </c>
      <c r="E608" s="79">
        <f t="shared" ref="E608:E621" si="29">C608</f>
        <v>42187</v>
      </c>
      <c r="F608" s="82" t="s">
        <v>325</v>
      </c>
      <c r="G608" s="273"/>
      <c r="H608" s="128" t="s">
        <v>326</v>
      </c>
      <c r="I608" s="80">
        <v>1500000000</v>
      </c>
      <c r="J608" s="81" t="s">
        <v>54</v>
      </c>
      <c r="K608" s="81" t="s">
        <v>227</v>
      </c>
      <c r="L608" s="140" t="str">
        <f>IF(AND('331-CT'!$E$7=TH!H608,OR(J608="331",K608="331")),"x","")</f>
        <v/>
      </c>
    </row>
    <row r="609" spans="1:12">
      <c r="A609" s="78">
        <f t="shared" si="27"/>
        <v>2015</v>
      </c>
      <c r="B609" s="78">
        <f t="shared" si="28"/>
        <v>7</v>
      </c>
      <c r="C609" s="79">
        <v>42187</v>
      </c>
      <c r="D609" s="79" t="s">
        <v>17</v>
      </c>
      <c r="E609" s="79">
        <f t="shared" si="29"/>
        <v>42187</v>
      </c>
      <c r="F609" s="82" t="s">
        <v>301</v>
      </c>
      <c r="G609" s="273"/>
      <c r="H609" s="9" t="s">
        <v>306</v>
      </c>
      <c r="I609" s="80">
        <v>200000000</v>
      </c>
      <c r="J609" s="81" t="s">
        <v>18</v>
      </c>
      <c r="K609" s="81" t="s">
        <v>54</v>
      </c>
      <c r="L609" s="140" t="str">
        <f>IF(AND('331-CT'!$E$7=TH!H609,OR(J609="331",K609="331")),"x","")</f>
        <v/>
      </c>
    </row>
    <row r="610" spans="1:12">
      <c r="A610" s="78">
        <f t="shared" si="27"/>
        <v>2015</v>
      </c>
      <c r="B610" s="78">
        <f t="shared" si="28"/>
        <v>7</v>
      </c>
      <c r="C610" s="79">
        <v>42187</v>
      </c>
      <c r="D610" s="79" t="s">
        <v>17</v>
      </c>
      <c r="E610" s="79">
        <f t="shared" si="29"/>
        <v>42187</v>
      </c>
      <c r="F610" s="82" t="s">
        <v>34</v>
      </c>
      <c r="G610" s="273"/>
      <c r="H610" s="128"/>
      <c r="I610" s="80">
        <v>60000</v>
      </c>
      <c r="J610" s="81" t="s">
        <v>242</v>
      </c>
      <c r="K610" s="81" t="s">
        <v>54</v>
      </c>
      <c r="L610" s="140" t="str">
        <f>IF(AND('331-CT'!$E$7=TH!H610,OR(J610="331",K610="331")),"x","")</f>
        <v/>
      </c>
    </row>
    <row r="611" spans="1:12">
      <c r="A611" s="78">
        <f t="shared" si="27"/>
        <v>2015</v>
      </c>
      <c r="B611" s="78">
        <f t="shared" si="28"/>
        <v>7</v>
      </c>
      <c r="C611" s="79">
        <v>42187</v>
      </c>
      <c r="D611" s="79" t="s">
        <v>17</v>
      </c>
      <c r="E611" s="79">
        <f t="shared" si="29"/>
        <v>42187</v>
      </c>
      <c r="F611" s="82" t="s">
        <v>35</v>
      </c>
      <c r="G611" s="273"/>
      <c r="H611" s="128"/>
      <c r="I611" s="80">
        <v>6000</v>
      </c>
      <c r="J611" s="81" t="s">
        <v>19</v>
      </c>
      <c r="K611" s="81" t="s">
        <v>54</v>
      </c>
      <c r="L611" s="140" t="str">
        <f>IF(AND('331-CT'!$E$7=TH!H611,OR(J611="331",K611="331")),"x","")</f>
        <v/>
      </c>
    </row>
    <row r="612" spans="1:12">
      <c r="A612" s="78">
        <f t="shared" si="27"/>
        <v>2015</v>
      </c>
      <c r="B612" s="78">
        <f t="shared" si="28"/>
        <v>7</v>
      </c>
      <c r="C612" s="79">
        <v>42187</v>
      </c>
      <c r="D612" s="79" t="s">
        <v>17</v>
      </c>
      <c r="E612" s="79">
        <f t="shared" si="29"/>
        <v>42187</v>
      </c>
      <c r="F612" s="82" t="s">
        <v>301</v>
      </c>
      <c r="G612" s="273"/>
      <c r="H612" s="128" t="s">
        <v>85</v>
      </c>
      <c r="I612" s="80">
        <v>1000000000</v>
      </c>
      <c r="J612" s="81" t="s">
        <v>18</v>
      </c>
      <c r="K612" s="81" t="s">
        <v>54</v>
      </c>
      <c r="L612" s="140" t="str">
        <f>IF(AND('331-CT'!$E$7=TH!H612,OR(J612="331",K612="331")),"x","")</f>
        <v/>
      </c>
    </row>
    <row r="613" spans="1:12">
      <c r="A613" s="78">
        <f t="shared" si="27"/>
        <v>2015</v>
      </c>
      <c r="B613" s="78">
        <f t="shared" si="28"/>
        <v>7</v>
      </c>
      <c r="C613" s="79">
        <v>42187</v>
      </c>
      <c r="D613" s="79" t="s">
        <v>17</v>
      </c>
      <c r="E613" s="79">
        <f t="shared" si="29"/>
        <v>42187</v>
      </c>
      <c r="F613" s="82" t="s">
        <v>34</v>
      </c>
      <c r="G613" s="273"/>
      <c r="H613" s="128"/>
      <c r="I613" s="80">
        <v>500000</v>
      </c>
      <c r="J613" s="81" t="s">
        <v>242</v>
      </c>
      <c r="K613" s="81" t="s">
        <v>54</v>
      </c>
      <c r="L613" s="140" t="str">
        <f>IF(AND('331-CT'!$E$7=TH!H613,OR(J613="331",K613="331")),"x","")</f>
        <v/>
      </c>
    </row>
    <row r="614" spans="1:12">
      <c r="A614" s="78">
        <f t="shared" si="27"/>
        <v>2015</v>
      </c>
      <c r="B614" s="78">
        <f t="shared" si="28"/>
        <v>7</v>
      </c>
      <c r="C614" s="79">
        <v>42187</v>
      </c>
      <c r="D614" s="79" t="s">
        <v>17</v>
      </c>
      <c r="E614" s="79">
        <f t="shared" si="29"/>
        <v>42187</v>
      </c>
      <c r="F614" s="82" t="s">
        <v>35</v>
      </c>
      <c r="G614" s="273"/>
      <c r="H614" s="128"/>
      <c r="I614" s="80">
        <v>50000</v>
      </c>
      <c r="J614" s="81" t="s">
        <v>19</v>
      </c>
      <c r="K614" s="81" t="s">
        <v>54</v>
      </c>
      <c r="L614" s="140" t="str">
        <f>IF(AND('331-CT'!$E$7=TH!H614,OR(J614="331",K614="331")),"x","")</f>
        <v/>
      </c>
    </row>
    <row r="615" spans="1:12">
      <c r="A615" s="78">
        <f t="shared" si="27"/>
        <v>2015</v>
      </c>
      <c r="B615" s="78">
        <f t="shared" si="28"/>
        <v>7</v>
      </c>
      <c r="C615" s="79">
        <v>42187</v>
      </c>
      <c r="D615" s="79" t="s">
        <v>78</v>
      </c>
      <c r="E615" s="79">
        <f t="shared" si="29"/>
        <v>42187</v>
      </c>
      <c r="F615" s="82" t="s">
        <v>289</v>
      </c>
      <c r="G615" s="278" t="s">
        <v>587</v>
      </c>
      <c r="H615" s="128" t="s">
        <v>85</v>
      </c>
      <c r="I615" s="80">
        <v>909090909</v>
      </c>
      <c r="J615" s="142" t="s">
        <v>669</v>
      </c>
      <c r="K615" s="81" t="s">
        <v>18</v>
      </c>
      <c r="L615" s="140" t="str">
        <f>IF(AND('331-CT'!$E$7=TH!H615,OR(J615="331",K615="331")),"x","")</f>
        <v/>
      </c>
    </row>
    <row r="616" spans="1:12">
      <c r="A616" s="78">
        <f t="shared" si="27"/>
        <v>2015</v>
      </c>
      <c r="B616" s="78">
        <f t="shared" si="28"/>
        <v>7</v>
      </c>
      <c r="C616" s="79">
        <v>42187</v>
      </c>
      <c r="D616" s="79" t="s">
        <v>78</v>
      </c>
      <c r="E616" s="79">
        <f t="shared" si="29"/>
        <v>42187</v>
      </c>
      <c r="F616" s="82" t="s">
        <v>290</v>
      </c>
      <c r="G616" s="278" t="s">
        <v>587</v>
      </c>
      <c r="H616" s="128" t="s">
        <v>85</v>
      </c>
      <c r="I616" s="80">
        <v>90909091</v>
      </c>
      <c r="J616" s="142" t="s">
        <v>19</v>
      </c>
      <c r="K616" s="81" t="s">
        <v>18</v>
      </c>
      <c r="L616" s="140" t="str">
        <f>IF(AND('331-CT'!$E$7=TH!H616,OR(J616="331",K616="331")),"x","")</f>
        <v/>
      </c>
    </row>
    <row r="617" spans="1:12">
      <c r="A617" s="78">
        <f t="shared" si="27"/>
        <v>2015</v>
      </c>
      <c r="B617" s="78">
        <f t="shared" si="28"/>
        <v>7</v>
      </c>
      <c r="C617" s="79">
        <v>42188</v>
      </c>
      <c r="D617" s="79" t="s">
        <v>17</v>
      </c>
      <c r="E617" s="79">
        <f t="shared" si="29"/>
        <v>42188</v>
      </c>
      <c r="F617" s="82" t="s">
        <v>301</v>
      </c>
      <c r="G617" s="273"/>
      <c r="H617" s="9" t="s">
        <v>190</v>
      </c>
      <c r="I617" s="80">
        <v>250000000</v>
      </c>
      <c r="J617" s="81" t="s">
        <v>18</v>
      </c>
      <c r="K617" s="81" t="s">
        <v>54</v>
      </c>
      <c r="L617" s="140" t="str">
        <f>IF(AND('331-CT'!$E$7=TH!H617,OR(J617="331",K617="331")),"x","")</f>
        <v/>
      </c>
    </row>
    <row r="618" spans="1:12">
      <c r="A618" s="78">
        <f t="shared" si="27"/>
        <v>2015</v>
      </c>
      <c r="B618" s="78">
        <f t="shared" si="28"/>
        <v>7</v>
      </c>
      <c r="C618" s="79">
        <v>42188</v>
      </c>
      <c r="D618" s="79" t="s">
        <v>17</v>
      </c>
      <c r="E618" s="79">
        <f t="shared" si="29"/>
        <v>42188</v>
      </c>
      <c r="F618" s="82" t="s">
        <v>34</v>
      </c>
      <c r="G618" s="273"/>
      <c r="H618" s="128"/>
      <c r="I618" s="80">
        <v>125000</v>
      </c>
      <c r="J618" s="81" t="s">
        <v>242</v>
      </c>
      <c r="K618" s="81" t="s">
        <v>54</v>
      </c>
      <c r="L618" s="140" t="str">
        <f>IF(AND('331-CT'!$E$7=TH!H618,OR(J618="331",K618="331")),"x","")</f>
        <v/>
      </c>
    </row>
    <row r="619" spans="1:12">
      <c r="A619" s="78">
        <f t="shared" si="27"/>
        <v>2015</v>
      </c>
      <c r="B619" s="78">
        <f t="shared" si="28"/>
        <v>7</v>
      </c>
      <c r="C619" s="79">
        <v>42188</v>
      </c>
      <c r="D619" s="79" t="s">
        <v>17</v>
      </c>
      <c r="E619" s="79">
        <f t="shared" si="29"/>
        <v>42188</v>
      </c>
      <c r="F619" s="82" t="s">
        <v>35</v>
      </c>
      <c r="G619" s="273"/>
      <c r="H619" s="128"/>
      <c r="I619" s="80">
        <v>12500</v>
      </c>
      <c r="J619" s="81" t="s">
        <v>19</v>
      </c>
      <c r="K619" s="81" t="s">
        <v>54</v>
      </c>
      <c r="L619" s="140" t="str">
        <f>IF(AND('331-CT'!$E$7=TH!H619,OR(J619="331",K619="331")),"x","")</f>
        <v/>
      </c>
    </row>
    <row r="620" spans="1:12" ht="13.5" customHeight="1">
      <c r="A620" s="78">
        <f t="shared" si="27"/>
        <v>2015</v>
      </c>
      <c r="B620" s="78">
        <f t="shared" si="28"/>
        <v>7</v>
      </c>
      <c r="C620" s="79">
        <v>42188</v>
      </c>
      <c r="D620" s="79" t="s">
        <v>17</v>
      </c>
      <c r="E620" s="79">
        <f t="shared" si="29"/>
        <v>42188</v>
      </c>
      <c r="F620" s="82" t="s">
        <v>307</v>
      </c>
      <c r="G620" s="273"/>
      <c r="H620" s="9" t="s">
        <v>312</v>
      </c>
      <c r="I620" s="80">
        <v>21610454</v>
      </c>
      <c r="J620" s="81" t="s">
        <v>18</v>
      </c>
      <c r="K620" s="81" t="s">
        <v>54</v>
      </c>
      <c r="L620" s="140" t="str">
        <f>IF(AND('331-CT'!$E$7=TH!H620,OR(J620="331",K620="331")),"x","")</f>
        <v/>
      </c>
    </row>
    <row r="621" spans="1:12">
      <c r="A621" s="78">
        <f t="shared" si="27"/>
        <v>2015</v>
      </c>
      <c r="B621" s="78">
        <f t="shared" si="28"/>
        <v>7</v>
      </c>
      <c r="C621" s="79">
        <v>42191</v>
      </c>
      <c r="D621" s="79" t="s">
        <v>133</v>
      </c>
      <c r="E621" s="79">
        <f t="shared" si="29"/>
        <v>42191</v>
      </c>
      <c r="F621" s="99" t="s">
        <v>590</v>
      </c>
      <c r="G621" s="273"/>
      <c r="H621" s="128" t="s">
        <v>308</v>
      </c>
      <c r="I621" s="80">
        <v>500000000</v>
      </c>
      <c r="J621" s="81" t="s">
        <v>54</v>
      </c>
      <c r="K621" s="81" t="s">
        <v>203</v>
      </c>
      <c r="L621" s="140" t="str">
        <f>IF(AND('331-CT'!$E$7=TH!H621,OR(J621="331",K621="331")),"x","")</f>
        <v/>
      </c>
    </row>
    <row r="622" spans="1:12">
      <c r="A622" s="78">
        <f t="shared" si="27"/>
        <v>2015</v>
      </c>
      <c r="B622" s="78">
        <f t="shared" si="28"/>
        <v>7</v>
      </c>
      <c r="C622" s="79">
        <v>42193</v>
      </c>
      <c r="D622" s="79" t="s">
        <v>134</v>
      </c>
      <c r="E622" s="79">
        <v>42193</v>
      </c>
      <c r="F622" s="82" t="s">
        <v>338</v>
      </c>
      <c r="G622" s="278" t="s">
        <v>553</v>
      </c>
      <c r="H622" s="128" t="s">
        <v>339</v>
      </c>
      <c r="I622" s="80">
        <v>2400000</v>
      </c>
      <c r="J622" s="81" t="s">
        <v>669</v>
      </c>
      <c r="K622" s="81" t="s">
        <v>203</v>
      </c>
      <c r="L622" s="140" t="str">
        <f>IF(AND('331-CT'!$E$7=TH!H622,OR(J622="331",K622="331")),"x","")</f>
        <v/>
      </c>
    </row>
    <row r="623" spans="1:12">
      <c r="A623" s="78">
        <f t="shared" si="27"/>
        <v>2015</v>
      </c>
      <c r="B623" s="78">
        <f t="shared" si="28"/>
        <v>7</v>
      </c>
      <c r="C623" s="79">
        <v>42193</v>
      </c>
      <c r="D623" s="79" t="s">
        <v>135</v>
      </c>
      <c r="E623" s="79">
        <v>42193</v>
      </c>
      <c r="F623" s="82" t="s">
        <v>340</v>
      </c>
      <c r="G623" s="278" t="s">
        <v>554</v>
      </c>
      <c r="H623" s="128" t="s">
        <v>280</v>
      </c>
      <c r="I623" s="80">
        <v>38267</v>
      </c>
      <c r="J623" s="81" t="s">
        <v>242</v>
      </c>
      <c r="K623" s="81" t="s">
        <v>203</v>
      </c>
      <c r="L623" s="140" t="str">
        <f>IF(AND('331-CT'!$E$7=TH!H623,OR(J623="331",K623="331")),"x","")</f>
        <v/>
      </c>
    </row>
    <row r="624" spans="1:12">
      <c r="A624" s="78">
        <f t="shared" si="27"/>
        <v>2015</v>
      </c>
      <c r="B624" s="78">
        <f t="shared" si="28"/>
        <v>7</v>
      </c>
      <c r="C624" s="79">
        <v>42193</v>
      </c>
      <c r="D624" s="79" t="s">
        <v>135</v>
      </c>
      <c r="E624" s="79">
        <v>42193</v>
      </c>
      <c r="F624" s="82" t="s">
        <v>341</v>
      </c>
      <c r="G624" s="278" t="s">
        <v>554</v>
      </c>
      <c r="H624" s="128" t="s">
        <v>280</v>
      </c>
      <c r="I624" s="80">
        <v>3827</v>
      </c>
      <c r="J624" s="81" t="s">
        <v>19</v>
      </c>
      <c r="K624" s="81" t="s">
        <v>203</v>
      </c>
      <c r="L624" s="140" t="str">
        <f>IF(AND('331-CT'!$E$7=TH!H624,OR(J624="331",K624="331")),"x","")</f>
        <v/>
      </c>
    </row>
    <row r="625" spans="1:12">
      <c r="A625" s="78">
        <f t="shared" si="27"/>
        <v>2015</v>
      </c>
      <c r="B625" s="78">
        <f t="shared" si="28"/>
        <v>7</v>
      </c>
      <c r="C625" s="79">
        <v>42193</v>
      </c>
      <c r="D625" s="79" t="s">
        <v>135</v>
      </c>
      <c r="E625" s="79">
        <v>42193</v>
      </c>
      <c r="F625" s="82" t="s">
        <v>342</v>
      </c>
      <c r="G625" s="278" t="s">
        <v>555</v>
      </c>
      <c r="H625" s="128" t="s">
        <v>280</v>
      </c>
      <c r="I625" s="80">
        <v>15300</v>
      </c>
      <c r="J625" s="81" t="s">
        <v>242</v>
      </c>
      <c r="K625" s="81" t="s">
        <v>203</v>
      </c>
      <c r="L625" s="140" t="str">
        <f>IF(AND('331-CT'!$E$7=TH!H625,OR(J625="331",K625="331")),"x","")</f>
        <v/>
      </c>
    </row>
    <row r="626" spans="1:12">
      <c r="A626" s="78">
        <f t="shared" si="27"/>
        <v>2015</v>
      </c>
      <c r="B626" s="78">
        <f t="shared" si="28"/>
        <v>7</v>
      </c>
      <c r="C626" s="79">
        <v>42193</v>
      </c>
      <c r="D626" s="79" t="s">
        <v>135</v>
      </c>
      <c r="E626" s="79">
        <v>42193</v>
      </c>
      <c r="F626" s="82" t="s">
        <v>343</v>
      </c>
      <c r="G626" s="278" t="s">
        <v>555</v>
      </c>
      <c r="H626" s="128" t="s">
        <v>280</v>
      </c>
      <c r="I626" s="80">
        <v>1530</v>
      </c>
      <c r="J626" s="81" t="s">
        <v>19</v>
      </c>
      <c r="K626" s="81" t="s">
        <v>203</v>
      </c>
      <c r="L626" s="140" t="str">
        <f>IF(AND('331-CT'!$E$7=TH!H626,OR(J626="331",K626="331")),"x","")</f>
        <v/>
      </c>
    </row>
    <row r="627" spans="1:12">
      <c r="A627" s="78">
        <f t="shared" si="27"/>
        <v>2015</v>
      </c>
      <c r="B627" s="78">
        <f t="shared" si="28"/>
        <v>7</v>
      </c>
      <c r="C627" s="79">
        <v>42193</v>
      </c>
      <c r="D627" s="79" t="s">
        <v>135</v>
      </c>
      <c r="E627" s="79">
        <v>42193</v>
      </c>
      <c r="F627" s="82" t="s">
        <v>344</v>
      </c>
      <c r="G627" s="278" t="s">
        <v>556</v>
      </c>
      <c r="H627" s="128" t="s">
        <v>280</v>
      </c>
      <c r="I627" s="80">
        <v>133000</v>
      </c>
      <c r="J627" s="81" t="s">
        <v>242</v>
      </c>
      <c r="K627" s="81" t="s">
        <v>203</v>
      </c>
      <c r="L627" s="140" t="str">
        <f>IF(AND('331-CT'!$E$7=TH!H627,OR(J627="331",K627="331")),"x","")</f>
        <v/>
      </c>
    </row>
    <row r="628" spans="1:12">
      <c r="A628" s="78">
        <f t="shared" si="27"/>
        <v>2015</v>
      </c>
      <c r="B628" s="78">
        <f t="shared" si="28"/>
        <v>7</v>
      </c>
      <c r="C628" s="79">
        <v>42193</v>
      </c>
      <c r="D628" s="79" t="s">
        <v>135</v>
      </c>
      <c r="E628" s="79">
        <v>42193</v>
      </c>
      <c r="F628" s="82" t="s">
        <v>345</v>
      </c>
      <c r="G628" s="278" t="s">
        <v>556</v>
      </c>
      <c r="H628" s="128" t="s">
        <v>280</v>
      </c>
      <c r="I628" s="80">
        <v>13300</v>
      </c>
      <c r="J628" s="81" t="s">
        <v>19</v>
      </c>
      <c r="K628" s="81" t="s">
        <v>203</v>
      </c>
      <c r="L628" s="140" t="str">
        <f>IF(AND('331-CT'!$E$7=TH!H628,OR(J628="331",K628="331")),"x","")</f>
        <v/>
      </c>
    </row>
    <row r="629" spans="1:12">
      <c r="A629" s="78">
        <f t="shared" si="27"/>
        <v>2015</v>
      </c>
      <c r="B629" s="78">
        <f t="shared" si="28"/>
        <v>7</v>
      </c>
      <c r="C629" s="79">
        <v>42193</v>
      </c>
      <c r="D629" s="79" t="s">
        <v>78</v>
      </c>
      <c r="E629" s="79">
        <f>C629</f>
        <v>42193</v>
      </c>
      <c r="F629" s="82" t="s">
        <v>328</v>
      </c>
      <c r="G629" s="273" t="s">
        <v>327</v>
      </c>
      <c r="H629" s="9" t="s">
        <v>305</v>
      </c>
      <c r="I629" s="80">
        <v>136478605</v>
      </c>
      <c r="J629" s="81" t="s">
        <v>669</v>
      </c>
      <c r="K629" s="81" t="s">
        <v>18</v>
      </c>
      <c r="L629" s="140" t="str">
        <f>IF(AND('331-CT'!$E$7=TH!H629,OR(J629="331",K629="331")),"x","")</f>
        <v/>
      </c>
    </row>
    <row r="630" spans="1:12">
      <c r="A630" s="78">
        <f t="shared" si="27"/>
        <v>2015</v>
      </c>
      <c r="B630" s="78">
        <f t="shared" si="28"/>
        <v>7</v>
      </c>
      <c r="C630" s="79">
        <v>42193</v>
      </c>
      <c r="D630" s="79" t="s">
        <v>78</v>
      </c>
      <c r="E630" s="79">
        <f>C630</f>
        <v>42193</v>
      </c>
      <c r="F630" s="82" t="s">
        <v>329</v>
      </c>
      <c r="G630" s="273" t="s">
        <v>327</v>
      </c>
      <c r="H630" s="9" t="s">
        <v>305</v>
      </c>
      <c r="I630" s="80">
        <v>13647861</v>
      </c>
      <c r="J630" s="81" t="s">
        <v>19</v>
      </c>
      <c r="K630" s="81" t="s">
        <v>18</v>
      </c>
      <c r="L630" s="140" t="str">
        <f>IF(AND('331-CT'!$E$7=TH!H630,OR(J630="331",K630="331")),"x","")</f>
        <v/>
      </c>
    </row>
    <row r="631" spans="1:12">
      <c r="A631" s="78">
        <f t="shared" si="27"/>
        <v>2015</v>
      </c>
      <c r="B631" s="78">
        <f t="shared" si="28"/>
        <v>7</v>
      </c>
      <c r="C631" s="79">
        <v>42193</v>
      </c>
      <c r="D631" s="79" t="s">
        <v>78</v>
      </c>
      <c r="E631" s="79">
        <f>C631</f>
        <v>42193</v>
      </c>
      <c r="F631" s="82" t="s">
        <v>617</v>
      </c>
      <c r="G631" s="273"/>
      <c r="H631" s="9" t="s">
        <v>305</v>
      </c>
      <c r="I631" s="80">
        <v>327600</v>
      </c>
      <c r="J631" s="81" t="s">
        <v>19</v>
      </c>
      <c r="K631" s="81" t="s">
        <v>18</v>
      </c>
      <c r="L631" s="140" t="str">
        <f>IF(AND('331-CT'!$E$7=TH!H631,OR(J631="331",K631="331")),"x","")</f>
        <v/>
      </c>
    </row>
    <row r="632" spans="1:12">
      <c r="A632" s="78">
        <f t="shared" si="27"/>
        <v>2015</v>
      </c>
      <c r="B632" s="78">
        <f t="shared" si="28"/>
        <v>7</v>
      </c>
      <c r="C632" s="79">
        <f t="shared" ref="C632:C652" si="30">E632</f>
        <v>42194</v>
      </c>
      <c r="D632" s="79" t="s">
        <v>17</v>
      </c>
      <c r="E632" s="79">
        <v>42194</v>
      </c>
      <c r="F632" s="82" t="s">
        <v>429</v>
      </c>
      <c r="G632" s="273"/>
      <c r="H632" s="128"/>
      <c r="I632" s="80">
        <v>105126466</v>
      </c>
      <c r="J632" s="81" t="s">
        <v>39</v>
      </c>
      <c r="K632" s="81" t="s">
        <v>54</v>
      </c>
      <c r="L632" s="140" t="str">
        <f>IF(AND('331-CT'!$E$7=TH!H632,OR(J632="331",K632="331")),"x","")</f>
        <v/>
      </c>
    </row>
    <row r="633" spans="1:12">
      <c r="A633" s="78">
        <f t="shared" si="27"/>
        <v>2015</v>
      </c>
      <c r="B633" s="78">
        <f t="shared" si="28"/>
        <v>7</v>
      </c>
      <c r="C633" s="79">
        <f t="shared" si="30"/>
        <v>42194</v>
      </c>
      <c r="D633" s="79" t="s">
        <v>17</v>
      </c>
      <c r="E633" s="79">
        <v>42194</v>
      </c>
      <c r="F633" s="82" t="s">
        <v>437</v>
      </c>
      <c r="G633" s="273"/>
      <c r="H633" s="128"/>
      <c r="I633" s="80">
        <v>327600</v>
      </c>
      <c r="J633" s="81" t="s">
        <v>242</v>
      </c>
      <c r="K633" s="81" t="s">
        <v>54</v>
      </c>
      <c r="L633" s="140" t="str">
        <f>IF(AND('331-CT'!$E$7=TH!H633,OR(J633="331",K633="331")),"x","")</f>
        <v/>
      </c>
    </row>
    <row r="634" spans="1:12">
      <c r="A634" s="78">
        <f t="shared" si="27"/>
        <v>2015</v>
      </c>
      <c r="B634" s="78">
        <f t="shared" si="28"/>
        <v>7</v>
      </c>
      <c r="C634" s="79">
        <f t="shared" si="30"/>
        <v>42195</v>
      </c>
      <c r="D634" s="79" t="s">
        <v>17</v>
      </c>
      <c r="E634" s="79">
        <v>42195</v>
      </c>
      <c r="F634" s="82" t="s">
        <v>301</v>
      </c>
      <c r="G634" s="273"/>
      <c r="H634" s="9" t="s">
        <v>305</v>
      </c>
      <c r="I634" s="80">
        <v>105454066</v>
      </c>
      <c r="J634" s="81" t="s">
        <v>18</v>
      </c>
      <c r="K634" s="81" t="s">
        <v>54</v>
      </c>
      <c r="L634" s="140" t="str">
        <f>IF(AND('331-CT'!$E$7=TH!H634,OR(J634="331",K634="331")),"x","")</f>
        <v/>
      </c>
    </row>
    <row r="635" spans="1:12">
      <c r="A635" s="78">
        <f t="shared" si="27"/>
        <v>2015</v>
      </c>
      <c r="B635" s="78">
        <f t="shared" si="28"/>
        <v>7</v>
      </c>
      <c r="C635" s="79">
        <f t="shared" si="30"/>
        <v>42195</v>
      </c>
      <c r="D635" s="79" t="s">
        <v>17</v>
      </c>
      <c r="E635" s="79">
        <v>42195</v>
      </c>
      <c r="F635" s="82" t="s">
        <v>34</v>
      </c>
      <c r="G635" s="273"/>
      <c r="H635" s="9"/>
      <c r="I635" s="80">
        <v>31636</v>
      </c>
      <c r="J635" s="81" t="s">
        <v>242</v>
      </c>
      <c r="K635" s="81" t="s">
        <v>54</v>
      </c>
      <c r="L635" s="140" t="str">
        <f>IF(AND('331-CT'!$E$7=TH!H635,OR(J635="331",K635="331")),"x","")</f>
        <v/>
      </c>
    </row>
    <row r="636" spans="1:12">
      <c r="A636" s="78">
        <f t="shared" si="27"/>
        <v>2015</v>
      </c>
      <c r="B636" s="78">
        <f t="shared" si="28"/>
        <v>7</v>
      </c>
      <c r="C636" s="79">
        <f t="shared" si="30"/>
        <v>42195</v>
      </c>
      <c r="D636" s="79" t="s">
        <v>17</v>
      </c>
      <c r="E636" s="79">
        <v>42195</v>
      </c>
      <c r="F636" s="82" t="s">
        <v>35</v>
      </c>
      <c r="G636" s="273"/>
      <c r="H636" s="9"/>
      <c r="I636" s="80">
        <v>3164</v>
      </c>
      <c r="J636" s="81" t="s">
        <v>19</v>
      </c>
      <c r="K636" s="81" t="s">
        <v>54</v>
      </c>
      <c r="L636" s="140" t="str">
        <f>IF(AND('331-CT'!$E$7=TH!H636,OR(J636="331",K636="331")),"x","")</f>
        <v/>
      </c>
    </row>
    <row r="637" spans="1:12">
      <c r="A637" s="78">
        <f t="shared" si="27"/>
        <v>2015</v>
      </c>
      <c r="B637" s="78">
        <f t="shared" si="28"/>
        <v>7</v>
      </c>
      <c r="C637" s="79">
        <f t="shared" si="30"/>
        <v>42195</v>
      </c>
      <c r="D637" s="79" t="s">
        <v>17</v>
      </c>
      <c r="E637" s="79">
        <v>42195</v>
      </c>
      <c r="F637" s="82" t="s">
        <v>301</v>
      </c>
      <c r="G637" s="273"/>
      <c r="H637" s="9" t="s">
        <v>300</v>
      </c>
      <c r="I637" s="80">
        <v>55297700</v>
      </c>
      <c r="J637" s="81" t="s">
        <v>18</v>
      </c>
      <c r="K637" s="81" t="s">
        <v>54</v>
      </c>
      <c r="L637" s="140" t="str">
        <f>IF(AND('331-CT'!$E$7=TH!H637,OR(J637="331",K637="331")),"x","")</f>
        <v/>
      </c>
    </row>
    <row r="638" spans="1:12">
      <c r="A638" s="78">
        <f t="shared" si="27"/>
        <v>2015</v>
      </c>
      <c r="B638" s="78">
        <f t="shared" si="28"/>
        <v>7</v>
      </c>
      <c r="C638" s="79">
        <f t="shared" si="30"/>
        <v>42195</v>
      </c>
      <c r="D638" s="79" t="s">
        <v>17</v>
      </c>
      <c r="E638" s="79">
        <v>42195</v>
      </c>
      <c r="F638" s="82" t="s">
        <v>34</v>
      </c>
      <c r="G638" s="273"/>
      <c r="H638" s="128"/>
      <c r="I638" s="80">
        <v>20000</v>
      </c>
      <c r="J638" s="81" t="s">
        <v>242</v>
      </c>
      <c r="K638" s="81" t="s">
        <v>54</v>
      </c>
      <c r="L638" s="140" t="str">
        <f>IF(AND('331-CT'!$E$7=TH!H638,OR(J638="331",K638="331")),"x","")</f>
        <v/>
      </c>
    </row>
    <row r="639" spans="1:12">
      <c r="A639" s="78">
        <f t="shared" si="27"/>
        <v>2015</v>
      </c>
      <c r="B639" s="78">
        <f t="shared" si="28"/>
        <v>7</v>
      </c>
      <c r="C639" s="79">
        <f t="shared" si="30"/>
        <v>42195</v>
      </c>
      <c r="D639" s="79" t="s">
        <v>17</v>
      </c>
      <c r="E639" s="79">
        <v>42195</v>
      </c>
      <c r="F639" s="82" t="s">
        <v>35</v>
      </c>
      <c r="G639" s="273"/>
      <c r="H639" s="128"/>
      <c r="I639" s="80">
        <v>2000</v>
      </c>
      <c r="J639" s="81" t="s">
        <v>19</v>
      </c>
      <c r="K639" s="81" t="s">
        <v>54</v>
      </c>
      <c r="L639" s="140" t="str">
        <f>IF(AND('331-CT'!$E$7=TH!H639,OR(J639="331",K639="331")),"x","")</f>
        <v/>
      </c>
    </row>
    <row r="640" spans="1:12">
      <c r="A640" s="78">
        <f t="shared" si="27"/>
        <v>2015</v>
      </c>
      <c r="B640" s="78">
        <f t="shared" si="28"/>
        <v>7</v>
      </c>
      <c r="C640" s="79">
        <f t="shared" si="30"/>
        <v>42195</v>
      </c>
      <c r="D640" s="79" t="s">
        <v>21</v>
      </c>
      <c r="E640" s="79">
        <v>42195</v>
      </c>
      <c r="F640" s="82" t="s">
        <v>430</v>
      </c>
      <c r="G640" s="273"/>
      <c r="H640" s="128" t="s">
        <v>431</v>
      </c>
      <c r="I640" s="80">
        <v>1500000000</v>
      </c>
      <c r="J640" s="81" t="s">
        <v>54</v>
      </c>
      <c r="K640" s="81" t="s">
        <v>227</v>
      </c>
      <c r="L640" s="140" t="str">
        <f>IF(AND('331-CT'!$E$7=TH!H640,OR(J640="331",K640="331")),"x","")</f>
        <v/>
      </c>
    </row>
    <row r="641" spans="1:12">
      <c r="A641" s="78">
        <f t="shared" si="27"/>
        <v>2015</v>
      </c>
      <c r="B641" s="78">
        <f t="shared" si="28"/>
        <v>7</v>
      </c>
      <c r="C641" s="79">
        <f t="shared" si="30"/>
        <v>42198</v>
      </c>
      <c r="D641" s="79" t="s">
        <v>17</v>
      </c>
      <c r="E641" s="79">
        <v>42198</v>
      </c>
      <c r="F641" s="82" t="s">
        <v>301</v>
      </c>
      <c r="G641" s="273"/>
      <c r="H641" s="9" t="s">
        <v>269</v>
      </c>
      <c r="I641" s="80">
        <v>500000000</v>
      </c>
      <c r="J641" s="81" t="s">
        <v>18</v>
      </c>
      <c r="K641" s="81" t="s">
        <v>54</v>
      </c>
      <c r="L641" s="140" t="str">
        <f>IF(AND('331-CT'!$E$7=TH!H641,OR(J641="331",K641="331")),"x","")</f>
        <v/>
      </c>
    </row>
    <row r="642" spans="1:12">
      <c r="A642" s="78">
        <f t="shared" si="27"/>
        <v>2015</v>
      </c>
      <c r="B642" s="78">
        <f t="shared" si="28"/>
        <v>7</v>
      </c>
      <c r="C642" s="79">
        <f t="shared" si="30"/>
        <v>42198</v>
      </c>
      <c r="D642" s="79" t="s">
        <v>17</v>
      </c>
      <c r="E642" s="79">
        <v>42198</v>
      </c>
      <c r="F642" s="82" t="s">
        <v>34</v>
      </c>
      <c r="G642" s="273"/>
      <c r="H642" s="128"/>
      <c r="I642" s="80">
        <v>250000</v>
      </c>
      <c r="J642" s="81" t="s">
        <v>242</v>
      </c>
      <c r="K642" s="81" t="s">
        <v>54</v>
      </c>
      <c r="L642" s="140" t="str">
        <f>IF(AND('331-CT'!$E$7=TH!H642,OR(J642="331",K642="331")),"x","")</f>
        <v/>
      </c>
    </row>
    <row r="643" spans="1:12">
      <c r="A643" s="78">
        <f t="shared" si="27"/>
        <v>2015</v>
      </c>
      <c r="B643" s="78">
        <f t="shared" si="28"/>
        <v>7</v>
      </c>
      <c r="C643" s="79">
        <f t="shared" si="30"/>
        <v>42198</v>
      </c>
      <c r="D643" s="79" t="s">
        <v>17</v>
      </c>
      <c r="E643" s="79">
        <v>42198</v>
      </c>
      <c r="F643" s="82" t="s">
        <v>35</v>
      </c>
      <c r="G643" s="273"/>
      <c r="H643" s="128"/>
      <c r="I643" s="80">
        <v>25000</v>
      </c>
      <c r="J643" s="81" t="s">
        <v>19</v>
      </c>
      <c r="K643" s="81" t="s">
        <v>54</v>
      </c>
      <c r="L643" s="140" t="str">
        <f>IF(AND('331-CT'!$E$7=TH!H643,OR(J643="331",K643="331")),"x","")</f>
        <v/>
      </c>
    </row>
    <row r="644" spans="1:12">
      <c r="A644" s="78">
        <f t="shared" si="27"/>
        <v>2015</v>
      </c>
      <c r="B644" s="78">
        <f t="shared" si="28"/>
        <v>7</v>
      </c>
      <c r="C644" s="79">
        <f t="shared" si="30"/>
        <v>42198</v>
      </c>
      <c r="D644" s="79" t="s">
        <v>17</v>
      </c>
      <c r="E644" s="79">
        <v>42198</v>
      </c>
      <c r="F644" s="82" t="s">
        <v>301</v>
      </c>
      <c r="G644" s="273"/>
      <c r="H644" s="9" t="s">
        <v>172</v>
      </c>
      <c r="I644" s="80">
        <v>100000000</v>
      </c>
      <c r="J644" s="81" t="s">
        <v>18</v>
      </c>
      <c r="K644" s="81" t="s">
        <v>54</v>
      </c>
      <c r="L644" s="140" t="str">
        <f>IF(AND('331-CT'!$E$7=TH!H644,OR(J644="331",K644="331")),"x","")</f>
        <v/>
      </c>
    </row>
    <row r="645" spans="1:12">
      <c r="A645" s="78">
        <f t="shared" si="27"/>
        <v>2015</v>
      </c>
      <c r="B645" s="78">
        <f t="shared" si="28"/>
        <v>7</v>
      </c>
      <c r="C645" s="79">
        <f t="shared" si="30"/>
        <v>42198</v>
      </c>
      <c r="D645" s="79" t="s">
        <v>17</v>
      </c>
      <c r="E645" s="79">
        <v>42198</v>
      </c>
      <c r="F645" s="82" t="s">
        <v>34</v>
      </c>
      <c r="G645" s="273"/>
      <c r="H645" s="128"/>
      <c r="I645" s="80">
        <v>50000</v>
      </c>
      <c r="J645" s="81" t="s">
        <v>242</v>
      </c>
      <c r="K645" s="81" t="s">
        <v>54</v>
      </c>
      <c r="L645" s="140" t="str">
        <f>IF(AND('331-CT'!$E$7=TH!H645,OR(J645="331",K645="331")),"x","")</f>
        <v/>
      </c>
    </row>
    <row r="646" spans="1:12">
      <c r="A646" s="78">
        <f t="shared" si="27"/>
        <v>2015</v>
      </c>
      <c r="B646" s="78">
        <f t="shared" si="28"/>
        <v>7</v>
      </c>
      <c r="C646" s="79">
        <f t="shared" si="30"/>
        <v>42198</v>
      </c>
      <c r="D646" s="79" t="s">
        <v>17</v>
      </c>
      <c r="E646" s="79">
        <v>42198</v>
      </c>
      <c r="F646" s="82" t="s">
        <v>35</v>
      </c>
      <c r="G646" s="273"/>
      <c r="H646" s="128"/>
      <c r="I646" s="80">
        <v>5000</v>
      </c>
      <c r="J646" s="81" t="s">
        <v>19</v>
      </c>
      <c r="K646" s="81" t="s">
        <v>54</v>
      </c>
      <c r="L646" s="140" t="str">
        <f>IF(AND('331-CT'!$E$7=TH!H646,OR(J646="331",K646="331")),"x","")</f>
        <v/>
      </c>
    </row>
    <row r="647" spans="1:12">
      <c r="A647" s="78">
        <f t="shared" si="27"/>
        <v>2015</v>
      </c>
      <c r="B647" s="78">
        <f t="shared" si="28"/>
        <v>7</v>
      </c>
      <c r="C647" s="79">
        <f t="shared" si="30"/>
        <v>42199</v>
      </c>
      <c r="D647" s="79" t="s">
        <v>17</v>
      </c>
      <c r="E647" s="79">
        <v>42199</v>
      </c>
      <c r="F647" s="82" t="s">
        <v>301</v>
      </c>
      <c r="G647" s="273"/>
      <c r="H647" s="9" t="s">
        <v>138</v>
      </c>
      <c r="I647" s="80">
        <v>500000000</v>
      </c>
      <c r="J647" s="81" t="s">
        <v>18</v>
      </c>
      <c r="K647" s="81" t="s">
        <v>54</v>
      </c>
      <c r="L647" s="140" t="str">
        <f>IF(AND('331-CT'!$E$7=TH!H647,OR(J647="331",K647="331")),"x","")</f>
        <v/>
      </c>
    </row>
    <row r="648" spans="1:12">
      <c r="A648" s="78">
        <f t="shared" si="27"/>
        <v>2015</v>
      </c>
      <c r="B648" s="78">
        <f t="shared" si="28"/>
        <v>7</v>
      </c>
      <c r="C648" s="79">
        <f t="shared" si="30"/>
        <v>42199</v>
      </c>
      <c r="D648" s="79" t="s">
        <v>17</v>
      </c>
      <c r="E648" s="79">
        <v>42199</v>
      </c>
      <c r="F648" s="82" t="s">
        <v>34</v>
      </c>
      <c r="G648" s="273"/>
      <c r="H648" s="128"/>
      <c r="I648" s="80">
        <v>150000</v>
      </c>
      <c r="J648" s="81" t="s">
        <v>242</v>
      </c>
      <c r="K648" s="81" t="s">
        <v>54</v>
      </c>
      <c r="L648" s="140" t="str">
        <f>IF(AND('331-CT'!$E$7=TH!H648,OR(J648="331",K648="331")),"x","")</f>
        <v/>
      </c>
    </row>
    <row r="649" spans="1:12">
      <c r="A649" s="78">
        <f t="shared" si="27"/>
        <v>2015</v>
      </c>
      <c r="B649" s="78">
        <f t="shared" si="28"/>
        <v>7</v>
      </c>
      <c r="C649" s="79">
        <f t="shared" si="30"/>
        <v>42199</v>
      </c>
      <c r="D649" s="79" t="s">
        <v>17</v>
      </c>
      <c r="E649" s="79">
        <v>42199</v>
      </c>
      <c r="F649" s="82" t="s">
        <v>35</v>
      </c>
      <c r="G649" s="273"/>
      <c r="H649" s="128"/>
      <c r="I649" s="80">
        <v>15000</v>
      </c>
      <c r="J649" s="81" t="s">
        <v>19</v>
      </c>
      <c r="K649" s="81" t="s">
        <v>54</v>
      </c>
      <c r="L649" s="140" t="str">
        <f>IF(AND('331-CT'!$E$7=TH!H649,OR(J649="331",K649="331")),"x","")</f>
        <v/>
      </c>
    </row>
    <row r="650" spans="1:12">
      <c r="A650" s="78">
        <f t="shared" si="27"/>
        <v>2015</v>
      </c>
      <c r="B650" s="78">
        <f t="shared" si="28"/>
        <v>7</v>
      </c>
      <c r="C650" s="79">
        <f t="shared" si="30"/>
        <v>42199</v>
      </c>
      <c r="D650" s="79" t="s">
        <v>17</v>
      </c>
      <c r="E650" s="79">
        <v>42199</v>
      </c>
      <c r="F650" s="82" t="s">
        <v>301</v>
      </c>
      <c r="G650" s="273"/>
      <c r="H650" s="9" t="s">
        <v>111</v>
      </c>
      <c r="I650" s="80">
        <v>400000000</v>
      </c>
      <c r="J650" s="81" t="s">
        <v>18</v>
      </c>
      <c r="K650" s="81" t="s">
        <v>54</v>
      </c>
      <c r="L650" s="140" t="str">
        <f>IF(AND('331-CT'!$E$7=TH!H650,OR(J650="331",K650="331")),"x","")</f>
        <v/>
      </c>
    </row>
    <row r="651" spans="1:12">
      <c r="A651" s="78">
        <f t="shared" si="27"/>
        <v>2015</v>
      </c>
      <c r="B651" s="78">
        <f t="shared" si="28"/>
        <v>7</v>
      </c>
      <c r="C651" s="79">
        <f t="shared" si="30"/>
        <v>42199</v>
      </c>
      <c r="D651" s="79" t="s">
        <v>17</v>
      </c>
      <c r="E651" s="79">
        <v>42199</v>
      </c>
      <c r="F651" s="82" t="s">
        <v>34</v>
      </c>
      <c r="G651" s="273"/>
      <c r="H651" s="128"/>
      <c r="I651" s="80">
        <v>120000</v>
      </c>
      <c r="J651" s="81" t="s">
        <v>242</v>
      </c>
      <c r="K651" s="81" t="s">
        <v>54</v>
      </c>
      <c r="L651" s="140" t="str">
        <f>IF(AND('331-CT'!$E$7=TH!H651,OR(J651="331",K651="331")),"x","")</f>
        <v/>
      </c>
    </row>
    <row r="652" spans="1:12">
      <c r="A652" s="78">
        <f t="shared" si="27"/>
        <v>2015</v>
      </c>
      <c r="B652" s="78">
        <f t="shared" si="28"/>
        <v>7</v>
      </c>
      <c r="C652" s="79">
        <f t="shared" si="30"/>
        <v>42199</v>
      </c>
      <c r="D652" s="79" t="s">
        <v>17</v>
      </c>
      <c r="E652" s="79">
        <v>42199</v>
      </c>
      <c r="F652" s="82" t="s">
        <v>35</v>
      </c>
      <c r="G652" s="273"/>
      <c r="H652" s="128"/>
      <c r="I652" s="80">
        <v>12000</v>
      </c>
      <c r="J652" s="81" t="s">
        <v>19</v>
      </c>
      <c r="K652" s="81" t="s">
        <v>54</v>
      </c>
      <c r="L652" s="140" t="str">
        <f>IF(AND('331-CT'!$E$7=TH!H652,OR(J652="331",K652="331")),"x","")</f>
        <v/>
      </c>
    </row>
    <row r="653" spans="1:12">
      <c r="A653" s="78">
        <f t="shared" si="27"/>
        <v>2015</v>
      </c>
      <c r="B653" s="78">
        <f t="shared" si="28"/>
        <v>7</v>
      </c>
      <c r="C653" s="79">
        <v>42201</v>
      </c>
      <c r="D653" s="79" t="s">
        <v>154</v>
      </c>
      <c r="E653" s="79">
        <v>42201</v>
      </c>
      <c r="F653" s="82" t="s">
        <v>338</v>
      </c>
      <c r="G653" s="278" t="s">
        <v>557</v>
      </c>
      <c r="H653" s="128" t="s">
        <v>339</v>
      </c>
      <c r="I653" s="80">
        <v>1200000</v>
      </c>
      <c r="J653" s="81" t="s">
        <v>669</v>
      </c>
      <c r="K653" s="81" t="s">
        <v>203</v>
      </c>
      <c r="L653" s="140" t="str">
        <f>IF(AND('331-CT'!$E$7=TH!H653,OR(J653="331",K653="331")),"x","")</f>
        <v/>
      </c>
    </row>
    <row r="654" spans="1:12">
      <c r="A654" s="78">
        <f t="shared" si="27"/>
        <v>2015</v>
      </c>
      <c r="B654" s="78">
        <f t="shared" si="28"/>
        <v>7</v>
      </c>
      <c r="C654" s="79">
        <v>42203</v>
      </c>
      <c r="D654" s="79" t="s">
        <v>78</v>
      </c>
      <c r="E654" s="79">
        <v>42203</v>
      </c>
      <c r="F654" s="82" t="s">
        <v>353</v>
      </c>
      <c r="G654" s="273" t="s">
        <v>352</v>
      </c>
      <c r="H654" s="128" t="s">
        <v>300</v>
      </c>
      <c r="I654" s="80">
        <v>93590909</v>
      </c>
      <c r="J654" s="81" t="s">
        <v>669</v>
      </c>
      <c r="K654" s="81" t="s">
        <v>18</v>
      </c>
      <c r="L654" s="140" t="str">
        <f>IF(AND('331-CT'!$E$7=TH!H654,OR(J654="331",K654="331")),"x","")</f>
        <v/>
      </c>
    </row>
    <row r="655" spans="1:12">
      <c r="A655" s="78">
        <f t="shared" si="27"/>
        <v>2015</v>
      </c>
      <c r="B655" s="78">
        <f t="shared" si="28"/>
        <v>7</v>
      </c>
      <c r="C655" s="79">
        <v>42203</v>
      </c>
      <c r="D655" s="79" t="s">
        <v>78</v>
      </c>
      <c r="E655" s="79">
        <v>42203</v>
      </c>
      <c r="F655" s="82" t="s">
        <v>354</v>
      </c>
      <c r="G655" s="273" t="s">
        <v>352</v>
      </c>
      <c r="H655" s="128" t="s">
        <v>300</v>
      </c>
      <c r="I655" s="80">
        <v>9359091</v>
      </c>
      <c r="J655" s="81" t="s">
        <v>19</v>
      </c>
      <c r="K655" s="81" t="s">
        <v>18</v>
      </c>
      <c r="L655" s="140" t="str">
        <f>IF(AND('331-CT'!$E$7=TH!H655,OR(J655="331",K655="331")),"x","")</f>
        <v/>
      </c>
    </row>
    <row r="656" spans="1:12">
      <c r="A656" s="78">
        <f t="shared" si="27"/>
        <v>2015</v>
      </c>
      <c r="B656" s="78">
        <f t="shared" si="28"/>
        <v>7</v>
      </c>
      <c r="C656" s="79">
        <v>42203</v>
      </c>
      <c r="D656" s="79" t="s">
        <v>78</v>
      </c>
      <c r="E656" s="79">
        <v>42203</v>
      </c>
      <c r="F656" s="82" t="s">
        <v>350</v>
      </c>
      <c r="G656" s="273" t="s">
        <v>349</v>
      </c>
      <c r="H656" s="128" t="s">
        <v>300</v>
      </c>
      <c r="I656" s="80">
        <v>171163636</v>
      </c>
      <c r="J656" s="81" t="s">
        <v>669</v>
      </c>
      <c r="K656" s="81" t="s">
        <v>18</v>
      </c>
      <c r="L656" s="140" t="str">
        <f>IF(AND('331-CT'!$E$7=TH!H656,OR(J656="331",K656="331")),"x","")</f>
        <v/>
      </c>
    </row>
    <row r="657" spans="1:12">
      <c r="A657" s="78">
        <f t="shared" si="27"/>
        <v>2015</v>
      </c>
      <c r="B657" s="78">
        <f t="shared" si="28"/>
        <v>7</v>
      </c>
      <c r="C657" s="79">
        <v>42203</v>
      </c>
      <c r="D657" s="79" t="s">
        <v>78</v>
      </c>
      <c r="E657" s="79">
        <v>42203</v>
      </c>
      <c r="F657" s="82" t="s">
        <v>351</v>
      </c>
      <c r="G657" s="273" t="s">
        <v>349</v>
      </c>
      <c r="H657" s="128" t="s">
        <v>300</v>
      </c>
      <c r="I657" s="80">
        <v>17116364</v>
      </c>
      <c r="J657" s="81" t="s">
        <v>19</v>
      </c>
      <c r="K657" s="81" t="s">
        <v>18</v>
      </c>
      <c r="L657" s="140" t="str">
        <f>IF(AND('331-CT'!$E$7=TH!H657,OR(J657="331",K657="331")),"x","")</f>
        <v/>
      </c>
    </row>
    <row r="658" spans="1:12">
      <c r="A658" s="78">
        <f t="shared" si="27"/>
        <v>2015</v>
      </c>
      <c r="B658" s="78">
        <f t="shared" si="28"/>
        <v>7</v>
      </c>
      <c r="C658" s="79">
        <f t="shared" ref="C658:C668" si="31">E658</f>
        <v>42205</v>
      </c>
      <c r="D658" s="79" t="s">
        <v>17</v>
      </c>
      <c r="E658" s="79">
        <v>42205</v>
      </c>
      <c r="F658" s="82" t="s">
        <v>119</v>
      </c>
      <c r="G658" s="273"/>
      <c r="H658" s="128" t="s">
        <v>314</v>
      </c>
      <c r="I658" s="80">
        <v>7916667</v>
      </c>
      <c r="J658" s="81" t="s">
        <v>240</v>
      </c>
      <c r="K658" s="81" t="s">
        <v>54</v>
      </c>
      <c r="L658" s="140" t="str">
        <f>IF(AND('331-CT'!$E$7=TH!H658,OR(J658="331",K658="331")),"x","")</f>
        <v/>
      </c>
    </row>
    <row r="659" spans="1:12">
      <c r="A659" s="78">
        <f t="shared" si="27"/>
        <v>2015</v>
      </c>
      <c r="B659" s="78">
        <f t="shared" si="28"/>
        <v>7</v>
      </c>
      <c r="C659" s="79">
        <f t="shared" si="31"/>
        <v>42205</v>
      </c>
      <c r="D659" s="79" t="s">
        <v>17</v>
      </c>
      <c r="E659" s="79">
        <v>42205</v>
      </c>
      <c r="F659" s="82" t="s">
        <v>141</v>
      </c>
      <c r="G659" s="273"/>
      <c r="H659" s="128" t="s">
        <v>315</v>
      </c>
      <c r="I659" s="80">
        <v>15833333</v>
      </c>
      <c r="J659" s="81" t="s">
        <v>240</v>
      </c>
      <c r="K659" s="81" t="s">
        <v>54</v>
      </c>
      <c r="L659" s="140" t="str">
        <f>IF(AND('331-CT'!$E$7=TH!H659,OR(J659="331",K659="331")),"x","")</f>
        <v/>
      </c>
    </row>
    <row r="660" spans="1:12">
      <c r="A660" s="78">
        <f t="shared" si="27"/>
        <v>2015</v>
      </c>
      <c r="B660" s="78">
        <f t="shared" si="28"/>
        <v>7</v>
      </c>
      <c r="C660" s="79">
        <f t="shared" si="31"/>
        <v>42205</v>
      </c>
      <c r="D660" s="79" t="s">
        <v>17</v>
      </c>
      <c r="E660" s="79">
        <v>42205</v>
      </c>
      <c r="F660" s="82" t="s">
        <v>143</v>
      </c>
      <c r="G660" s="273"/>
      <c r="H660" s="128" t="s">
        <v>317</v>
      </c>
      <c r="I660" s="80">
        <v>12666667</v>
      </c>
      <c r="J660" s="81" t="s">
        <v>240</v>
      </c>
      <c r="K660" s="81" t="s">
        <v>54</v>
      </c>
      <c r="L660" s="140" t="str">
        <f>IF(AND('331-CT'!$E$7=TH!H660,OR(J660="331",K660="331")),"x","")</f>
        <v/>
      </c>
    </row>
    <row r="661" spans="1:12">
      <c r="A661" s="78">
        <f t="shared" ref="A661:A724" si="32">IF(C661&lt;&gt;"",YEAR(C661),"")</f>
        <v>2015</v>
      </c>
      <c r="B661" s="78">
        <f t="shared" ref="B661:B724" si="33">IF(C661&lt;&gt;"",MONTH(C661),"")</f>
        <v>7</v>
      </c>
      <c r="C661" s="79">
        <f t="shared" si="31"/>
        <v>42205</v>
      </c>
      <c r="D661" s="79" t="s">
        <v>17</v>
      </c>
      <c r="E661" s="79">
        <v>42205</v>
      </c>
      <c r="F661" s="82" t="s">
        <v>144</v>
      </c>
      <c r="G661" s="273"/>
      <c r="H661" s="128" t="s">
        <v>316</v>
      </c>
      <c r="I661" s="80">
        <v>11875000</v>
      </c>
      <c r="J661" s="81" t="s">
        <v>240</v>
      </c>
      <c r="K661" s="81" t="s">
        <v>54</v>
      </c>
      <c r="L661" s="140" t="str">
        <f>IF(AND('331-CT'!$E$7=TH!H661,OR(J661="331",K661="331")),"x","")</f>
        <v/>
      </c>
    </row>
    <row r="662" spans="1:12">
      <c r="A662" s="78">
        <f t="shared" si="32"/>
        <v>2015</v>
      </c>
      <c r="B662" s="78">
        <f t="shared" si="33"/>
        <v>7</v>
      </c>
      <c r="C662" s="79">
        <f t="shared" si="31"/>
        <v>42205</v>
      </c>
      <c r="D662" s="79" t="s">
        <v>17</v>
      </c>
      <c r="E662" s="79">
        <v>42205</v>
      </c>
      <c r="F662" s="82" t="s">
        <v>145</v>
      </c>
      <c r="G662" s="273"/>
      <c r="H662" s="128" t="s">
        <v>318</v>
      </c>
      <c r="I662" s="80">
        <v>7916667</v>
      </c>
      <c r="J662" s="81" t="s">
        <v>240</v>
      </c>
      <c r="K662" s="81" t="s">
        <v>54</v>
      </c>
      <c r="L662" s="140" t="str">
        <f>IF(AND('331-CT'!$E$7=TH!H662,OR(J662="331",K662="331")),"x","")</f>
        <v/>
      </c>
    </row>
    <row r="663" spans="1:12">
      <c r="A663" s="78">
        <f t="shared" si="32"/>
        <v>2015</v>
      </c>
      <c r="B663" s="78">
        <f t="shared" si="33"/>
        <v>7</v>
      </c>
      <c r="C663" s="79">
        <f t="shared" si="31"/>
        <v>42205</v>
      </c>
      <c r="D663" s="79" t="s">
        <v>17</v>
      </c>
      <c r="E663" s="79">
        <v>42205</v>
      </c>
      <c r="F663" s="82" t="s">
        <v>147</v>
      </c>
      <c r="G663" s="273"/>
      <c r="H663" s="129" t="s">
        <v>319</v>
      </c>
      <c r="I663" s="80">
        <v>11875000</v>
      </c>
      <c r="J663" s="81" t="s">
        <v>240</v>
      </c>
      <c r="K663" s="81" t="s">
        <v>54</v>
      </c>
      <c r="L663" s="140" t="str">
        <f>IF(AND('331-CT'!$E$7=TH!H663,OR(J663="331",K663="331")),"x","")</f>
        <v/>
      </c>
    </row>
    <row r="664" spans="1:12">
      <c r="A664" s="78">
        <f t="shared" si="32"/>
        <v>2015</v>
      </c>
      <c r="B664" s="78">
        <f t="shared" si="33"/>
        <v>7</v>
      </c>
      <c r="C664" s="79">
        <f t="shared" si="31"/>
        <v>42205</v>
      </c>
      <c r="D664" s="79" t="s">
        <v>17</v>
      </c>
      <c r="E664" s="79">
        <v>42205</v>
      </c>
      <c r="F664" s="82" t="s">
        <v>273</v>
      </c>
      <c r="G664" s="273"/>
      <c r="H664" s="128" t="s">
        <v>320</v>
      </c>
      <c r="I664" s="80">
        <v>15833333</v>
      </c>
      <c r="J664" s="81" t="s">
        <v>240</v>
      </c>
      <c r="K664" s="81" t="s">
        <v>54</v>
      </c>
      <c r="L664" s="140" t="str">
        <f>IF(AND('331-CT'!$E$7=TH!H664,OR(J664="331",K664="331")),"x","")</f>
        <v/>
      </c>
    </row>
    <row r="665" spans="1:12">
      <c r="A665" s="78">
        <f t="shared" si="32"/>
        <v>2015</v>
      </c>
      <c r="B665" s="78">
        <f t="shared" si="33"/>
        <v>7</v>
      </c>
      <c r="C665" s="79">
        <f t="shared" si="31"/>
        <v>42205</v>
      </c>
      <c r="D665" s="79" t="s">
        <v>17</v>
      </c>
      <c r="E665" s="79">
        <v>42205</v>
      </c>
      <c r="F665" s="82" t="s">
        <v>303</v>
      </c>
      <c r="G665" s="273"/>
      <c r="H665" s="128" t="s">
        <v>321</v>
      </c>
      <c r="I665" s="80">
        <v>11083333</v>
      </c>
      <c r="J665" s="81" t="s">
        <v>240</v>
      </c>
      <c r="K665" s="81" t="s">
        <v>54</v>
      </c>
      <c r="L665" s="140" t="str">
        <f>IF(AND('331-CT'!$E$7=TH!H665,OR(J665="331",K665="331")),"x","")</f>
        <v/>
      </c>
    </row>
    <row r="666" spans="1:12">
      <c r="A666" s="78">
        <f t="shared" si="32"/>
        <v>2015</v>
      </c>
      <c r="B666" s="78">
        <f t="shared" si="33"/>
        <v>7</v>
      </c>
      <c r="C666" s="79">
        <f t="shared" si="31"/>
        <v>42205</v>
      </c>
      <c r="D666" s="79" t="s">
        <v>17</v>
      </c>
      <c r="E666" s="79">
        <v>42205</v>
      </c>
      <c r="F666" s="82" t="s">
        <v>304</v>
      </c>
      <c r="G666" s="273"/>
      <c r="H666" s="128" t="s">
        <v>322</v>
      </c>
      <c r="I666" s="80">
        <v>11875000</v>
      </c>
      <c r="J666" s="81" t="s">
        <v>240</v>
      </c>
      <c r="K666" s="81" t="s">
        <v>54</v>
      </c>
      <c r="L666" s="140" t="str">
        <f>IF(AND('331-CT'!$E$7=TH!H666,OR(J666="331",K666="331")),"x","")</f>
        <v/>
      </c>
    </row>
    <row r="667" spans="1:12">
      <c r="A667" s="78">
        <f t="shared" si="32"/>
        <v>2015</v>
      </c>
      <c r="B667" s="78">
        <f t="shared" si="33"/>
        <v>7</v>
      </c>
      <c r="C667" s="79">
        <f t="shared" si="31"/>
        <v>42205</v>
      </c>
      <c r="D667" s="79" t="s">
        <v>17</v>
      </c>
      <c r="E667" s="79">
        <v>42205</v>
      </c>
      <c r="F667" s="82" t="s">
        <v>432</v>
      </c>
      <c r="G667" s="273"/>
      <c r="H667" s="128" t="s">
        <v>324</v>
      </c>
      <c r="I667" s="80">
        <v>15833333</v>
      </c>
      <c r="J667" s="81" t="s">
        <v>240</v>
      </c>
      <c r="K667" s="81" t="s">
        <v>54</v>
      </c>
      <c r="L667" s="140" t="str">
        <f>IF(AND('331-CT'!$E$7=TH!H667,OR(J667="331",K667="331")),"x","")</f>
        <v/>
      </c>
    </row>
    <row r="668" spans="1:12">
      <c r="A668" s="78">
        <f t="shared" si="32"/>
        <v>2015</v>
      </c>
      <c r="B668" s="78">
        <f t="shared" si="33"/>
        <v>7</v>
      </c>
      <c r="C668" s="79">
        <f t="shared" si="31"/>
        <v>42205</v>
      </c>
      <c r="D668" s="79" t="s">
        <v>157</v>
      </c>
      <c r="E668" s="79">
        <v>42205</v>
      </c>
      <c r="F668" s="99" t="s">
        <v>590</v>
      </c>
      <c r="G668" s="273"/>
      <c r="H668" s="128" t="s">
        <v>272</v>
      </c>
      <c r="I668" s="80">
        <v>500000000</v>
      </c>
      <c r="J668" s="81" t="s">
        <v>54</v>
      </c>
      <c r="K668" s="81" t="s">
        <v>203</v>
      </c>
      <c r="L668" s="140" t="str">
        <f>IF(AND('331-CT'!$E$7=TH!H668,OR(J668="331",K668="331")),"x","")</f>
        <v/>
      </c>
    </row>
    <row r="669" spans="1:12">
      <c r="A669" s="78">
        <f t="shared" si="32"/>
        <v>2015</v>
      </c>
      <c r="B669" s="78">
        <f t="shared" si="33"/>
        <v>7</v>
      </c>
      <c r="C669" s="79">
        <v>42206</v>
      </c>
      <c r="D669" s="79" t="s">
        <v>78</v>
      </c>
      <c r="E669" s="79">
        <v>42206</v>
      </c>
      <c r="F669" s="82" t="s">
        <v>350</v>
      </c>
      <c r="G669" s="273" t="s">
        <v>355</v>
      </c>
      <c r="H669" s="128" t="s">
        <v>300</v>
      </c>
      <c r="I669" s="80">
        <v>136384091</v>
      </c>
      <c r="J669" s="81" t="s">
        <v>669</v>
      </c>
      <c r="K669" s="81" t="s">
        <v>18</v>
      </c>
      <c r="L669" s="140" t="str">
        <f>IF(AND('331-CT'!$E$7=TH!H669,OR(J669="331",K669="331")),"x","")</f>
        <v/>
      </c>
    </row>
    <row r="670" spans="1:12">
      <c r="A670" s="78">
        <f t="shared" si="32"/>
        <v>2015</v>
      </c>
      <c r="B670" s="78">
        <f t="shared" si="33"/>
        <v>7</v>
      </c>
      <c r="C670" s="79">
        <v>42206</v>
      </c>
      <c r="D670" s="79" t="s">
        <v>78</v>
      </c>
      <c r="E670" s="79">
        <v>42206</v>
      </c>
      <c r="F670" s="82" t="s">
        <v>351</v>
      </c>
      <c r="G670" s="273" t="s">
        <v>355</v>
      </c>
      <c r="H670" s="128" t="s">
        <v>300</v>
      </c>
      <c r="I670" s="80">
        <v>13638409</v>
      </c>
      <c r="J670" s="81" t="s">
        <v>19</v>
      </c>
      <c r="K670" s="81" t="s">
        <v>18</v>
      </c>
      <c r="L670" s="140" t="str">
        <f>IF(AND('331-CT'!$E$7=TH!H670,OR(J670="331",K670="331")),"x","")</f>
        <v/>
      </c>
    </row>
    <row r="671" spans="1:12">
      <c r="A671" s="78">
        <f t="shared" si="32"/>
        <v>2015</v>
      </c>
      <c r="B671" s="78">
        <f t="shared" si="33"/>
        <v>7</v>
      </c>
      <c r="C671" s="79">
        <v>42206</v>
      </c>
      <c r="D671" s="79" t="s">
        <v>78</v>
      </c>
      <c r="E671" s="79">
        <v>42206</v>
      </c>
      <c r="F671" s="82" t="s">
        <v>358</v>
      </c>
      <c r="G671" s="273" t="s">
        <v>356</v>
      </c>
      <c r="H671" s="128" t="s">
        <v>357</v>
      </c>
      <c r="I671" s="80">
        <v>48236364</v>
      </c>
      <c r="J671" s="81" t="s">
        <v>669</v>
      </c>
      <c r="K671" s="81" t="s">
        <v>18</v>
      </c>
      <c r="L671" s="140" t="str">
        <f>IF(AND('331-CT'!$E$7=TH!H671,OR(J671="331",K671="331")),"x","")</f>
        <v/>
      </c>
    </row>
    <row r="672" spans="1:12">
      <c r="A672" s="78">
        <f t="shared" si="32"/>
        <v>2015</v>
      </c>
      <c r="B672" s="78">
        <f t="shared" si="33"/>
        <v>7</v>
      </c>
      <c r="C672" s="79">
        <v>42206</v>
      </c>
      <c r="D672" s="79" t="s">
        <v>78</v>
      </c>
      <c r="E672" s="79">
        <v>42206</v>
      </c>
      <c r="F672" s="82" t="s">
        <v>359</v>
      </c>
      <c r="G672" s="273" t="s">
        <v>356</v>
      </c>
      <c r="H672" s="128" t="s">
        <v>357</v>
      </c>
      <c r="I672" s="80">
        <v>4823636</v>
      </c>
      <c r="J672" s="81" t="s">
        <v>19</v>
      </c>
      <c r="K672" s="81" t="s">
        <v>18</v>
      </c>
      <c r="L672" s="140" t="str">
        <f>IF(AND('331-CT'!$E$7=TH!H672,OR(J672="331",K672="331")),"x","")</f>
        <v/>
      </c>
    </row>
    <row r="673" spans="1:12">
      <c r="A673" s="78">
        <f t="shared" si="32"/>
        <v>2015</v>
      </c>
      <c r="B673" s="78">
        <f t="shared" si="33"/>
        <v>7</v>
      </c>
      <c r="C673" s="79">
        <v>42207</v>
      </c>
      <c r="D673" s="79" t="s">
        <v>158</v>
      </c>
      <c r="E673" s="79">
        <v>42207</v>
      </c>
      <c r="F673" s="82" t="s">
        <v>347</v>
      </c>
      <c r="G673" s="278" t="s">
        <v>558</v>
      </c>
      <c r="H673" s="128" t="s">
        <v>348</v>
      </c>
      <c r="I673" s="80">
        <v>1275000</v>
      </c>
      <c r="J673" s="81" t="s">
        <v>19</v>
      </c>
      <c r="K673" s="81" t="s">
        <v>203</v>
      </c>
      <c r="L673" s="140" t="str">
        <f>IF(AND('331-CT'!$E$7=TH!H673,OR(J673="331",K673="331")),"x","")</f>
        <v/>
      </c>
    </row>
    <row r="674" spans="1:12">
      <c r="A674" s="78">
        <f t="shared" si="32"/>
        <v>2015</v>
      </c>
      <c r="B674" s="78">
        <f t="shared" si="33"/>
        <v>7</v>
      </c>
      <c r="C674" s="79">
        <v>42207</v>
      </c>
      <c r="D674" s="79" t="s">
        <v>158</v>
      </c>
      <c r="E674" s="79">
        <v>42207</v>
      </c>
      <c r="F674" s="82" t="s">
        <v>346</v>
      </c>
      <c r="G674" s="278" t="s">
        <v>558</v>
      </c>
      <c r="H674" s="128" t="s">
        <v>348</v>
      </c>
      <c r="I674" s="80">
        <v>12750000</v>
      </c>
      <c r="J674" s="81" t="s">
        <v>669</v>
      </c>
      <c r="K674" s="81" t="s">
        <v>203</v>
      </c>
      <c r="L674" s="140" t="str">
        <f>IF(AND('331-CT'!$E$7=TH!H674,OR(J674="331",K674="331")),"x","")</f>
        <v/>
      </c>
    </row>
    <row r="675" spans="1:12">
      <c r="A675" s="78">
        <f t="shared" si="32"/>
        <v>2015</v>
      </c>
      <c r="B675" s="78">
        <f t="shared" si="33"/>
        <v>7</v>
      </c>
      <c r="C675" s="79">
        <v>42209</v>
      </c>
      <c r="D675" s="79" t="s">
        <v>78</v>
      </c>
      <c r="E675" s="79">
        <v>42209</v>
      </c>
      <c r="F675" s="82" t="s">
        <v>412</v>
      </c>
      <c r="G675" s="273" t="s">
        <v>411</v>
      </c>
      <c r="H675" s="128" t="s">
        <v>190</v>
      </c>
      <c r="I675" s="80">
        <v>5313636</v>
      </c>
      <c r="J675" s="81" t="s">
        <v>669</v>
      </c>
      <c r="K675" s="81" t="s">
        <v>18</v>
      </c>
      <c r="L675" s="140" t="str">
        <f>IF(AND('331-CT'!$E$7=TH!H675,OR(J675="331",K675="331")),"x","")</f>
        <v/>
      </c>
    </row>
    <row r="676" spans="1:12">
      <c r="A676" s="78">
        <f t="shared" si="32"/>
        <v>2015</v>
      </c>
      <c r="B676" s="78">
        <f t="shared" si="33"/>
        <v>7</v>
      </c>
      <c r="C676" s="79">
        <v>42209</v>
      </c>
      <c r="D676" s="79" t="s">
        <v>78</v>
      </c>
      <c r="E676" s="79">
        <v>42209</v>
      </c>
      <c r="F676" s="82" t="s">
        <v>413</v>
      </c>
      <c r="G676" s="273" t="s">
        <v>411</v>
      </c>
      <c r="H676" s="128" t="s">
        <v>190</v>
      </c>
      <c r="I676" s="80">
        <v>7020002</v>
      </c>
      <c r="J676" s="81" t="s">
        <v>669</v>
      </c>
      <c r="K676" s="81" t="s">
        <v>18</v>
      </c>
      <c r="L676" s="140" t="str">
        <f>IF(AND('331-CT'!$E$7=TH!H676,OR(J676="331",K676="331")),"x","")</f>
        <v/>
      </c>
    </row>
    <row r="677" spans="1:12">
      <c r="A677" s="78">
        <f t="shared" si="32"/>
        <v>2015</v>
      </c>
      <c r="B677" s="78">
        <f t="shared" si="33"/>
        <v>7</v>
      </c>
      <c r="C677" s="79">
        <v>42209</v>
      </c>
      <c r="D677" s="79" t="s">
        <v>78</v>
      </c>
      <c r="E677" s="79">
        <v>42209</v>
      </c>
      <c r="F677" s="82" t="s">
        <v>414</v>
      </c>
      <c r="G677" s="273" t="s">
        <v>411</v>
      </c>
      <c r="H677" s="128" t="s">
        <v>190</v>
      </c>
      <c r="I677" s="80">
        <v>2181818</v>
      </c>
      <c r="J677" s="81" t="s">
        <v>669</v>
      </c>
      <c r="K677" s="81" t="s">
        <v>18</v>
      </c>
      <c r="L677" s="140" t="str">
        <f>IF(AND('331-CT'!$E$7=TH!H677,OR(J677="331",K677="331")),"x","")</f>
        <v/>
      </c>
    </row>
    <row r="678" spans="1:12">
      <c r="A678" s="78">
        <f t="shared" si="32"/>
        <v>2015</v>
      </c>
      <c r="B678" s="78">
        <f t="shared" si="33"/>
        <v>7</v>
      </c>
      <c r="C678" s="79">
        <v>42209</v>
      </c>
      <c r="D678" s="79" t="s">
        <v>78</v>
      </c>
      <c r="E678" s="79">
        <v>42209</v>
      </c>
      <c r="F678" s="82" t="s">
        <v>416</v>
      </c>
      <c r="G678" s="273" t="s">
        <v>411</v>
      </c>
      <c r="H678" s="128" t="s">
        <v>190</v>
      </c>
      <c r="I678" s="80">
        <v>39091300</v>
      </c>
      <c r="J678" s="81" t="s">
        <v>669</v>
      </c>
      <c r="K678" s="81" t="s">
        <v>18</v>
      </c>
      <c r="L678" s="140" t="str">
        <f>IF(AND('331-CT'!$E$7=TH!H678,OR(J678="331",K678="331")),"x","")</f>
        <v/>
      </c>
    </row>
    <row r="679" spans="1:12">
      <c r="A679" s="78">
        <f t="shared" si="32"/>
        <v>2015</v>
      </c>
      <c r="B679" s="78">
        <f t="shared" si="33"/>
        <v>7</v>
      </c>
      <c r="C679" s="79">
        <v>42209</v>
      </c>
      <c r="D679" s="79" t="s">
        <v>78</v>
      </c>
      <c r="E679" s="79">
        <v>42209</v>
      </c>
      <c r="F679" s="82" t="s">
        <v>418</v>
      </c>
      <c r="G679" s="273" t="s">
        <v>411</v>
      </c>
      <c r="H679" s="128" t="s">
        <v>190</v>
      </c>
      <c r="I679" s="80">
        <v>909100</v>
      </c>
      <c r="J679" s="81" t="s">
        <v>669</v>
      </c>
      <c r="K679" s="81" t="s">
        <v>18</v>
      </c>
      <c r="L679" s="140" t="str">
        <f>IF(AND('331-CT'!$E$7=TH!H679,OR(J679="331",K679="331")),"x","")</f>
        <v/>
      </c>
    </row>
    <row r="680" spans="1:12">
      <c r="A680" s="78">
        <f t="shared" si="32"/>
        <v>2015</v>
      </c>
      <c r="B680" s="78">
        <f t="shared" si="33"/>
        <v>7</v>
      </c>
      <c r="C680" s="79">
        <v>42209</v>
      </c>
      <c r="D680" s="79" t="s">
        <v>78</v>
      </c>
      <c r="E680" s="79">
        <v>42209</v>
      </c>
      <c r="F680" s="82" t="s">
        <v>417</v>
      </c>
      <c r="G680" s="273" t="s">
        <v>411</v>
      </c>
      <c r="H680" s="128" t="s">
        <v>190</v>
      </c>
      <c r="I680" s="80">
        <v>16134768</v>
      </c>
      <c r="J680" s="81" t="s">
        <v>669</v>
      </c>
      <c r="K680" s="81" t="s">
        <v>18</v>
      </c>
      <c r="L680" s="140" t="str">
        <f>IF(AND('331-CT'!$E$7=TH!H680,OR(J680="331",K680="331")),"x","")</f>
        <v/>
      </c>
    </row>
    <row r="681" spans="1:12">
      <c r="A681" s="78">
        <f t="shared" si="32"/>
        <v>2015</v>
      </c>
      <c r="B681" s="78">
        <f t="shared" si="33"/>
        <v>7</v>
      </c>
      <c r="C681" s="79">
        <v>42209</v>
      </c>
      <c r="D681" s="79" t="s">
        <v>78</v>
      </c>
      <c r="E681" s="79">
        <v>42209</v>
      </c>
      <c r="F681" s="82" t="s">
        <v>415</v>
      </c>
      <c r="G681" s="273" t="s">
        <v>411</v>
      </c>
      <c r="H681" s="128" t="s">
        <v>190</v>
      </c>
      <c r="I681" s="80">
        <v>19636320</v>
      </c>
      <c r="J681" s="81" t="s">
        <v>669</v>
      </c>
      <c r="K681" s="81" t="s">
        <v>18</v>
      </c>
      <c r="L681" s="140" t="str">
        <f>IF(AND('331-CT'!$E$7=TH!H681,OR(J681="331",K681="331")),"x","")</f>
        <v/>
      </c>
    </row>
    <row r="682" spans="1:12">
      <c r="A682" s="78">
        <f t="shared" si="32"/>
        <v>2015</v>
      </c>
      <c r="B682" s="78">
        <f t="shared" si="33"/>
        <v>7</v>
      </c>
      <c r="C682" s="79">
        <v>42209</v>
      </c>
      <c r="D682" s="79" t="s">
        <v>78</v>
      </c>
      <c r="E682" s="79">
        <v>42209</v>
      </c>
      <c r="F682" s="82" t="s">
        <v>419</v>
      </c>
      <c r="G682" s="273" t="s">
        <v>411</v>
      </c>
      <c r="H682" s="128" t="s">
        <v>190</v>
      </c>
      <c r="I682" s="80">
        <v>9028694</v>
      </c>
      <c r="J682" s="81" t="s">
        <v>19</v>
      </c>
      <c r="K682" s="81" t="s">
        <v>18</v>
      </c>
      <c r="L682" s="140" t="str">
        <f>IF(AND('331-CT'!$E$7=TH!H682,OR(J682="331",K682="331")),"x","")</f>
        <v/>
      </c>
    </row>
    <row r="683" spans="1:12">
      <c r="A683" s="78">
        <f t="shared" si="32"/>
        <v>2015</v>
      </c>
      <c r="B683" s="78">
        <f t="shared" si="33"/>
        <v>7</v>
      </c>
      <c r="C683" s="79">
        <f>E683</f>
        <v>42209</v>
      </c>
      <c r="D683" s="79" t="s">
        <v>21</v>
      </c>
      <c r="E683" s="79">
        <v>42209</v>
      </c>
      <c r="F683" s="82" t="s">
        <v>98</v>
      </c>
      <c r="G683" s="273"/>
      <c r="H683" s="128"/>
      <c r="I683" s="80">
        <f>127154+14017</f>
        <v>141171</v>
      </c>
      <c r="J683" s="81" t="s">
        <v>54</v>
      </c>
      <c r="K683" s="81" t="s">
        <v>99</v>
      </c>
      <c r="L683" s="140" t="str">
        <f>IF(AND('331-CT'!$E$7=TH!H683,OR(J683="331",K683="331")),"x","")</f>
        <v/>
      </c>
    </row>
    <row r="684" spans="1:12">
      <c r="A684" s="78">
        <f t="shared" si="32"/>
        <v>2015</v>
      </c>
      <c r="B684" s="78">
        <f t="shared" si="33"/>
        <v>7</v>
      </c>
      <c r="C684" s="79">
        <f>E684</f>
        <v>42209</v>
      </c>
      <c r="D684" s="79" t="s">
        <v>17</v>
      </c>
      <c r="E684" s="79">
        <v>42209</v>
      </c>
      <c r="F684" s="82" t="s">
        <v>301</v>
      </c>
      <c r="G684" s="273"/>
      <c r="H684" s="9" t="s">
        <v>85</v>
      </c>
      <c r="I684" s="80">
        <v>300000000</v>
      </c>
      <c r="J684" s="81" t="s">
        <v>18</v>
      </c>
      <c r="K684" s="81" t="s">
        <v>54</v>
      </c>
      <c r="L684" s="140" t="str">
        <f>IF(AND('331-CT'!$E$7=TH!H684,OR(J684="331",K684="331")),"x","")</f>
        <v/>
      </c>
    </row>
    <row r="685" spans="1:12">
      <c r="A685" s="78">
        <f t="shared" si="32"/>
        <v>2015</v>
      </c>
      <c r="B685" s="78">
        <f t="shared" si="33"/>
        <v>7</v>
      </c>
      <c r="C685" s="79">
        <f>E685</f>
        <v>42209</v>
      </c>
      <c r="D685" s="79" t="s">
        <v>17</v>
      </c>
      <c r="E685" s="79">
        <v>42209</v>
      </c>
      <c r="F685" s="82" t="s">
        <v>34</v>
      </c>
      <c r="G685" s="273"/>
      <c r="H685" s="128"/>
      <c r="I685" s="80">
        <v>150000</v>
      </c>
      <c r="J685" s="81" t="s">
        <v>242</v>
      </c>
      <c r="K685" s="81" t="s">
        <v>54</v>
      </c>
      <c r="L685" s="140" t="str">
        <f>IF(AND('331-CT'!$E$7=TH!H685,OR(J685="331",K685="331")),"x","")</f>
        <v/>
      </c>
    </row>
    <row r="686" spans="1:12">
      <c r="A686" s="78">
        <f t="shared" si="32"/>
        <v>2015</v>
      </c>
      <c r="B686" s="78">
        <f t="shared" si="33"/>
        <v>7</v>
      </c>
      <c r="C686" s="79">
        <f>E686</f>
        <v>42209</v>
      </c>
      <c r="D686" s="79" t="s">
        <v>17</v>
      </c>
      <c r="E686" s="79">
        <v>42209</v>
      </c>
      <c r="F686" s="82" t="s">
        <v>35</v>
      </c>
      <c r="G686" s="273"/>
      <c r="H686" s="128"/>
      <c r="I686" s="80">
        <v>15000</v>
      </c>
      <c r="J686" s="81" t="s">
        <v>19</v>
      </c>
      <c r="K686" s="81" t="s">
        <v>54</v>
      </c>
      <c r="L686" s="140" t="str">
        <f>IF(AND('331-CT'!$E$7=TH!H686,OR(J686="331",K686="331")),"x","")</f>
        <v/>
      </c>
    </row>
    <row r="687" spans="1:12">
      <c r="A687" s="78">
        <f t="shared" si="32"/>
        <v>2015</v>
      </c>
      <c r="B687" s="78">
        <f t="shared" si="33"/>
        <v>7</v>
      </c>
      <c r="C687" s="79">
        <v>42210</v>
      </c>
      <c r="D687" s="79" t="s">
        <v>78</v>
      </c>
      <c r="E687" s="79">
        <v>42210</v>
      </c>
      <c r="F687" s="82" t="s">
        <v>130</v>
      </c>
      <c r="G687" s="273" t="s">
        <v>420</v>
      </c>
      <c r="H687" s="128" t="s">
        <v>190</v>
      </c>
      <c r="I687" s="80">
        <v>420229000</v>
      </c>
      <c r="J687" s="81" t="s">
        <v>669</v>
      </c>
      <c r="K687" s="81" t="s">
        <v>18</v>
      </c>
      <c r="L687" s="140" t="str">
        <f>IF(AND('331-CT'!$E$7=TH!H687,OR(J687="331",K687="331")),"x","")</f>
        <v/>
      </c>
    </row>
    <row r="688" spans="1:12">
      <c r="A688" s="78">
        <f t="shared" si="32"/>
        <v>2015</v>
      </c>
      <c r="B688" s="78">
        <f t="shared" si="33"/>
        <v>7</v>
      </c>
      <c r="C688" s="79">
        <v>42210</v>
      </c>
      <c r="D688" s="79" t="s">
        <v>78</v>
      </c>
      <c r="E688" s="79">
        <v>42210</v>
      </c>
      <c r="F688" s="82" t="s">
        <v>421</v>
      </c>
      <c r="G688" s="273" t="s">
        <v>420</v>
      </c>
      <c r="H688" s="128" t="s">
        <v>190</v>
      </c>
      <c r="I688" s="80">
        <v>3027273</v>
      </c>
      <c r="J688" s="81" t="s">
        <v>669</v>
      </c>
      <c r="K688" s="81" t="s">
        <v>18</v>
      </c>
      <c r="L688" s="140" t="str">
        <f>IF(AND('331-CT'!$E$7=TH!H688,OR(J688="331",K688="331")),"x","")</f>
        <v/>
      </c>
    </row>
    <row r="689" spans="1:12">
      <c r="A689" s="78">
        <f t="shared" si="32"/>
        <v>2015</v>
      </c>
      <c r="B689" s="78">
        <f t="shared" si="33"/>
        <v>7</v>
      </c>
      <c r="C689" s="79">
        <v>42210</v>
      </c>
      <c r="D689" s="79" t="s">
        <v>78</v>
      </c>
      <c r="E689" s="79">
        <v>42210</v>
      </c>
      <c r="F689" s="82" t="s">
        <v>412</v>
      </c>
      <c r="G689" s="273" t="s">
        <v>420</v>
      </c>
      <c r="H689" s="128" t="s">
        <v>190</v>
      </c>
      <c r="I689" s="80">
        <v>4645454</v>
      </c>
      <c r="J689" s="81" t="s">
        <v>669</v>
      </c>
      <c r="K689" s="81" t="s">
        <v>18</v>
      </c>
      <c r="L689" s="140" t="str">
        <f>IF(AND('331-CT'!$E$7=TH!H689,OR(J689="331",K689="331")),"x","")</f>
        <v/>
      </c>
    </row>
    <row r="690" spans="1:12">
      <c r="A690" s="78">
        <f t="shared" si="32"/>
        <v>2015</v>
      </c>
      <c r="B690" s="78">
        <f t="shared" si="33"/>
        <v>7</v>
      </c>
      <c r="C690" s="79">
        <v>42210</v>
      </c>
      <c r="D690" s="79" t="s">
        <v>78</v>
      </c>
      <c r="E690" s="79">
        <v>42210</v>
      </c>
      <c r="F690" s="82" t="s">
        <v>422</v>
      </c>
      <c r="G690" s="273" t="s">
        <v>420</v>
      </c>
      <c r="H690" s="128" t="s">
        <v>190</v>
      </c>
      <c r="I690" s="80">
        <v>3909130</v>
      </c>
      <c r="J690" s="81" t="s">
        <v>669</v>
      </c>
      <c r="K690" s="81" t="s">
        <v>18</v>
      </c>
      <c r="L690" s="140" t="str">
        <f>IF(AND('331-CT'!$E$7=TH!H690,OR(J690="331",K690="331")),"x","")</f>
        <v/>
      </c>
    </row>
    <row r="691" spans="1:12">
      <c r="A691" s="78">
        <f t="shared" si="32"/>
        <v>2015</v>
      </c>
      <c r="B691" s="78">
        <f t="shared" si="33"/>
        <v>7</v>
      </c>
      <c r="C691" s="79">
        <v>42210</v>
      </c>
      <c r="D691" s="79" t="s">
        <v>78</v>
      </c>
      <c r="E691" s="79">
        <v>42210</v>
      </c>
      <c r="F691" s="82" t="s">
        <v>416</v>
      </c>
      <c r="G691" s="273" t="s">
        <v>420</v>
      </c>
      <c r="H691" s="128" t="s">
        <v>190</v>
      </c>
      <c r="I691" s="80">
        <v>2272750</v>
      </c>
      <c r="J691" s="81" t="s">
        <v>669</v>
      </c>
      <c r="K691" s="81" t="s">
        <v>18</v>
      </c>
      <c r="L691" s="140" t="str">
        <f>IF(AND('331-CT'!$E$7=TH!H691,OR(J691="331",K691="331")),"x","")</f>
        <v/>
      </c>
    </row>
    <row r="692" spans="1:12">
      <c r="A692" s="78">
        <f t="shared" si="32"/>
        <v>2015</v>
      </c>
      <c r="B692" s="78">
        <f t="shared" si="33"/>
        <v>7</v>
      </c>
      <c r="C692" s="79">
        <v>42210</v>
      </c>
      <c r="D692" s="79" t="s">
        <v>78</v>
      </c>
      <c r="E692" s="79">
        <v>42210</v>
      </c>
      <c r="F692" s="82" t="s">
        <v>418</v>
      </c>
      <c r="G692" s="273" t="s">
        <v>420</v>
      </c>
      <c r="H692" s="128" t="s">
        <v>190</v>
      </c>
      <c r="I692" s="80">
        <v>181820</v>
      </c>
      <c r="J692" s="81" t="s">
        <v>669</v>
      </c>
      <c r="K692" s="81" t="s">
        <v>18</v>
      </c>
      <c r="L692" s="140" t="str">
        <f>IF(AND('331-CT'!$E$7=TH!H692,OR(J692="331",K692="331")),"x","")</f>
        <v/>
      </c>
    </row>
    <row r="693" spans="1:12">
      <c r="A693" s="78">
        <f t="shared" si="32"/>
        <v>2015</v>
      </c>
      <c r="B693" s="78">
        <f t="shared" si="33"/>
        <v>7</v>
      </c>
      <c r="C693" s="79">
        <v>42210</v>
      </c>
      <c r="D693" s="79" t="s">
        <v>78</v>
      </c>
      <c r="E693" s="79">
        <v>42210</v>
      </c>
      <c r="F693" s="82" t="s">
        <v>425</v>
      </c>
      <c r="G693" s="273" t="s">
        <v>420</v>
      </c>
      <c r="H693" s="128" t="s">
        <v>190</v>
      </c>
      <c r="I693" s="80">
        <v>610912</v>
      </c>
      <c r="J693" s="81" t="s">
        <v>669</v>
      </c>
      <c r="K693" s="81" t="s">
        <v>18</v>
      </c>
      <c r="L693" s="140" t="str">
        <f>IF(AND('331-CT'!$E$7=TH!H693,OR(J693="331",K693="331")),"x","")</f>
        <v/>
      </c>
    </row>
    <row r="694" spans="1:12">
      <c r="A694" s="78">
        <f t="shared" si="32"/>
        <v>2015</v>
      </c>
      <c r="B694" s="78">
        <f t="shared" si="33"/>
        <v>7</v>
      </c>
      <c r="C694" s="79">
        <v>42210</v>
      </c>
      <c r="D694" s="79" t="s">
        <v>78</v>
      </c>
      <c r="E694" s="79">
        <v>42210</v>
      </c>
      <c r="F694" s="82" t="s">
        <v>423</v>
      </c>
      <c r="G694" s="273" t="s">
        <v>420</v>
      </c>
      <c r="H694" s="128" t="s">
        <v>190</v>
      </c>
      <c r="I694" s="80">
        <v>1409100</v>
      </c>
      <c r="J694" s="81" t="s">
        <v>669</v>
      </c>
      <c r="K694" s="81" t="s">
        <v>18</v>
      </c>
      <c r="L694" s="140" t="str">
        <f>IF(AND('331-CT'!$E$7=TH!H694,OR(J694="331",K694="331")),"x","")</f>
        <v/>
      </c>
    </row>
    <row r="695" spans="1:12">
      <c r="A695" s="78">
        <f t="shared" si="32"/>
        <v>2015</v>
      </c>
      <c r="B695" s="78">
        <f t="shared" si="33"/>
        <v>7</v>
      </c>
      <c r="C695" s="79">
        <v>42210</v>
      </c>
      <c r="D695" s="79" t="s">
        <v>78</v>
      </c>
      <c r="E695" s="79">
        <v>42210</v>
      </c>
      <c r="F695" s="82" t="s">
        <v>424</v>
      </c>
      <c r="G695" s="273" t="s">
        <v>420</v>
      </c>
      <c r="H695" s="128" t="s">
        <v>190</v>
      </c>
      <c r="I695" s="80">
        <v>26727330</v>
      </c>
      <c r="J695" s="81" t="s">
        <v>669</v>
      </c>
      <c r="K695" s="81" t="s">
        <v>18</v>
      </c>
      <c r="L695" s="140" t="str">
        <f>IF(AND('331-CT'!$E$7=TH!H695,OR(J695="331",K695="331")),"x","")</f>
        <v/>
      </c>
    </row>
    <row r="696" spans="1:12">
      <c r="A696" s="78">
        <f t="shared" si="32"/>
        <v>2015</v>
      </c>
      <c r="B696" s="78">
        <f t="shared" si="33"/>
        <v>7</v>
      </c>
      <c r="C696" s="79">
        <v>42210</v>
      </c>
      <c r="D696" s="79" t="s">
        <v>78</v>
      </c>
      <c r="E696" s="79">
        <v>42210</v>
      </c>
      <c r="F696" s="82" t="s">
        <v>415</v>
      </c>
      <c r="G696" s="273" t="s">
        <v>420</v>
      </c>
      <c r="H696" s="128" t="s">
        <v>190</v>
      </c>
      <c r="I696" s="80">
        <v>13909094</v>
      </c>
      <c r="J696" s="81" t="s">
        <v>669</v>
      </c>
      <c r="K696" s="81" t="s">
        <v>18</v>
      </c>
      <c r="L696" s="140" t="str">
        <f>IF(AND('331-CT'!$E$7=TH!H696,OR(J696="331",K696="331")),"x","")</f>
        <v/>
      </c>
    </row>
    <row r="697" spans="1:12">
      <c r="A697" s="78">
        <f t="shared" si="32"/>
        <v>2015</v>
      </c>
      <c r="B697" s="78">
        <f t="shared" si="33"/>
        <v>7</v>
      </c>
      <c r="C697" s="79">
        <v>42210</v>
      </c>
      <c r="D697" s="79" t="s">
        <v>78</v>
      </c>
      <c r="E697" s="79">
        <v>42210</v>
      </c>
      <c r="F697" s="82" t="s">
        <v>426</v>
      </c>
      <c r="G697" s="273" t="s">
        <v>420</v>
      </c>
      <c r="H697" s="128" t="s">
        <v>190</v>
      </c>
      <c r="I697" s="80">
        <v>400000</v>
      </c>
      <c r="J697" s="81" t="s">
        <v>669</v>
      </c>
      <c r="K697" s="81" t="s">
        <v>18</v>
      </c>
      <c r="L697" s="140" t="str">
        <f>IF(AND('331-CT'!$E$7=TH!H697,OR(J697="331",K697="331")),"x","")</f>
        <v/>
      </c>
    </row>
    <row r="698" spans="1:12">
      <c r="A698" s="78">
        <f t="shared" si="32"/>
        <v>2015</v>
      </c>
      <c r="B698" s="78">
        <f t="shared" si="33"/>
        <v>7</v>
      </c>
      <c r="C698" s="79">
        <v>42210</v>
      </c>
      <c r="D698" s="79" t="s">
        <v>78</v>
      </c>
      <c r="E698" s="79">
        <v>42210</v>
      </c>
      <c r="F698" s="82" t="s">
        <v>426</v>
      </c>
      <c r="G698" s="273" t="s">
        <v>420</v>
      </c>
      <c r="H698" s="128" t="s">
        <v>190</v>
      </c>
      <c r="I698" s="80">
        <v>445455</v>
      </c>
      <c r="J698" s="81" t="s">
        <v>669</v>
      </c>
      <c r="K698" s="81" t="s">
        <v>18</v>
      </c>
      <c r="L698" s="140" t="str">
        <f>IF(AND('331-CT'!$E$7=TH!H698,OR(J698="331",K698="331")),"x","")</f>
        <v/>
      </c>
    </row>
    <row r="699" spans="1:12">
      <c r="A699" s="78">
        <f t="shared" si="32"/>
        <v>2015</v>
      </c>
      <c r="B699" s="78">
        <f t="shared" si="33"/>
        <v>7</v>
      </c>
      <c r="C699" s="79">
        <v>42210</v>
      </c>
      <c r="D699" s="79" t="s">
        <v>78</v>
      </c>
      <c r="E699" s="79">
        <v>42210</v>
      </c>
      <c r="F699" s="82" t="s">
        <v>419</v>
      </c>
      <c r="G699" s="273" t="s">
        <v>420</v>
      </c>
      <c r="H699" s="128" t="s">
        <v>190</v>
      </c>
      <c r="I699" s="80">
        <v>47776731</v>
      </c>
      <c r="J699" s="81" t="s">
        <v>19</v>
      </c>
      <c r="K699" s="81" t="s">
        <v>18</v>
      </c>
      <c r="L699" s="140" t="str">
        <f>IF(AND('331-CT'!$E$7=TH!H699,OR(J699="331",K699="331")),"x","")</f>
        <v/>
      </c>
    </row>
    <row r="700" spans="1:12">
      <c r="A700" s="78">
        <f t="shared" si="32"/>
        <v>2015</v>
      </c>
      <c r="B700" s="78">
        <f t="shared" si="33"/>
        <v>7</v>
      </c>
      <c r="C700" s="79">
        <v>42211</v>
      </c>
      <c r="D700" s="79" t="s">
        <v>78</v>
      </c>
      <c r="E700" s="79">
        <v>42211</v>
      </c>
      <c r="F700" s="82" t="s">
        <v>413</v>
      </c>
      <c r="G700" s="273" t="s">
        <v>427</v>
      </c>
      <c r="H700" s="128" t="s">
        <v>190</v>
      </c>
      <c r="I700" s="80">
        <v>3289092</v>
      </c>
      <c r="J700" s="81" t="s">
        <v>669</v>
      </c>
      <c r="K700" s="81" t="s">
        <v>18</v>
      </c>
      <c r="L700" s="140" t="str">
        <f>IF(AND('331-CT'!$E$7=TH!H700,OR(J700="331",K700="331")),"x","")</f>
        <v/>
      </c>
    </row>
    <row r="701" spans="1:12">
      <c r="A701" s="78">
        <f t="shared" si="32"/>
        <v>2015</v>
      </c>
      <c r="B701" s="78">
        <f t="shared" si="33"/>
        <v>7</v>
      </c>
      <c r="C701" s="79">
        <v>42211</v>
      </c>
      <c r="D701" s="79" t="s">
        <v>78</v>
      </c>
      <c r="E701" s="79">
        <v>42211</v>
      </c>
      <c r="F701" s="82" t="s">
        <v>130</v>
      </c>
      <c r="G701" s="273" t="s">
        <v>427</v>
      </c>
      <c r="H701" s="128" t="s">
        <v>190</v>
      </c>
      <c r="I701" s="80">
        <v>26090904</v>
      </c>
      <c r="J701" s="81" t="s">
        <v>669</v>
      </c>
      <c r="K701" s="81" t="s">
        <v>18</v>
      </c>
      <c r="L701" s="140" t="str">
        <f>IF(AND('331-CT'!$E$7=TH!H701,OR(J701="331",K701="331")),"x","")</f>
        <v/>
      </c>
    </row>
    <row r="702" spans="1:12">
      <c r="A702" s="78">
        <f t="shared" si="32"/>
        <v>2015</v>
      </c>
      <c r="B702" s="78">
        <f t="shared" si="33"/>
        <v>7</v>
      </c>
      <c r="C702" s="79">
        <v>42211</v>
      </c>
      <c r="D702" s="79" t="s">
        <v>78</v>
      </c>
      <c r="E702" s="79">
        <v>42211</v>
      </c>
      <c r="F702" s="82" t="s">
        <v>412</v>
      </c>
      <c r="G702" s="273" t="s">
        <v>427</v>
      </c>
      <c r="H702" s="128" t="s">
        <v>190</v>
      </c>
      <c r="I702" s="80">
        <v>9068181</v>
      </c>
      <c r="J702" s="81" t="s">
        <v>669</v>
      </c>
      <c r="K702" s="81" t="s">
        <v>18</v>
      </c>
      <c r="L702" s="140" t="str">
        <f>IF(AND('331-CT'!$E$7=TH!H702,OR(J702="331",K702="331")),"x","")</f>
        <v/>
      </c>
    </row>
    <row r="703" spans="1:12">
      <c r="A703" s="78">
        <f t="shared" si="32"/>
        <v>2015</v>
      </c>
      <c r="B703" s="78">
        <f t="shared" si="33"/>
        <v>7</v>
      </c>
      <c r="C703" s="79">
        <v>42211</v>
      </c>
      <c r="D703" s="79" t="s">
        <v>78</v>
      </c>
      <c r="E703" s="79">
        <v>42211</v>
      </c>
      <c r="F703" s="82" t="s">
        <v>422</v>
      </c>
      <c r="G703" s="273" t="s">
        <v>427</v>
      </c>
      <c r="H703" s="128" t="s">
        <v>190</v>
      </c>
      <c r="I703" s="80">
        <v>1818200</v>
      </c>
      <c r="J703" s="81" t="s">
        <v>669</v>
      </c>
      <c r="K703" s="81" t="s">
        <v>18</v>
      </c>
      <c r="L703" s="140" t="str">
        <f>IF(AND('331-CT'!$E$7=TH!H703,OR(J703="331",K703="331")),"x","")</f>
        <v/>
      </c>
    </row>
    <row r="704" spans="1:12">
      <c r="A704" s="78">
        <f t="shared" si="32"/>
        <v>2015</v>
      </c>
      <c r="B704" s="78">
        <f t="shared" si="33"/>
        <v>7</v>
      </c>
      <c r="C704" s="79">
        <v>42211</v>
      </c>
      <c r="D704" s="79" t="s">
        <v>78</v>
      </c>
      <c r="E704" s="79">
        <v>42211</v>
      </c>
      <c r="F704" s="82" t="s">
        <v>415</v>
      </c>
      <c r="G704" s="273" t="s">
        <v>427</v>
      </c>
      <c r="H704" s="128" t="s">
        <v>190</v>
      </c>
      <c r="I704" s="80">
        <v>13500003</v>
      </c>
      <c r="J704" s="81" t="s">
        <v>669</v>
      </c>
      <c r="K704" s="81" t="s">
        <v>18</v>
      </c>
      <c r="L704" s="140" t="str">
        <f>IF(AND('331-CT'!$E$7=TH!H704,OR(J704="331",K704="331")),"x","")</f>
        <v/>
      </c>
    </row>
    <row r="705" spans="1:12">
      <c r="A705" s="78">
        <f t="shared" si="32"/>
        <v>2015</v>
      </c>
      <c r="B705" s="78">
        <f t="shared" si="33"/>
        <v>7</v>
      </c>
      <c r="C705" s="79">
        <v>42211</v>
      </c>
      <c r="D705" s="79" t="s">
        <v>78</v>
      </c>
      <c r="E705" s="79">
        <v>42211</v>
      </c>
      <c r="F705" s="82" t="s">
        <v>413</v>
      </c>
      <c r="G705" s="273" t="s">
        <v>427</v>
      </c>
      <c r="H705" s="128" t="s">
        <v>190</v>
      </c>
      <c r="I705" s="80">
        <v>1126364</v>
      </c>
      <c r="J705" s="81" t="s">
        <v>669</v>
      </c>
      <c r="K705" s="81" t="s">
        <v>18</v>
      </c>
      <c r="L705" s="140" t="str">
        <f>IF(AND('331-CT'!$E$7=TH!H705,OR(J705="331",K705="331")),"x","")</f>
        <v/>
      </c>
    </row>
    <row r="706" spans="1:12">
      <c r="A706" s="78">
        <f t="shared" si="32"/>
        <v>2015</v>
      </c>
      <c r="B706" s="78">
        <f t="shared" si="33"/>
        <v>7</v>
      </c>
      <c r="C706" s="79">
        <v>42211</v>
      </c>
      <c r="D706" s="79" t="s">
        <v>78</v>
      </c>
      <c r="E706" s="79">
        <v>42211</v>
      </c>
      <c r="F706" s="82" t="s">
        <v>419</v>
      </c>
      <c r="G706" s="273" t="s">
        <v>427</v>
      </c>
      <c r="H706" s="128" t="s">
        <v>190</v>
      </c>
      <c r="I706" s="80">
        <v>5489274</v>
      </c>
      <c r="J706" s="81" t="s">
        <v>19</v>
      </c>
      <c r="K706" s="81" t="s">
        <v>18</v>
      </c>
      <c r="L706" s="140" t="str">
        <f>IF(AND('331-CT'!$E$7=TH!H706,OR(J706="331",K706="331")),"x","")</f>
        <v/>
      </c>
    </row>
    <row r="707" spans="1:12">
      <c r="A707" s="78">
        <f t="shared" si="32"/>
        <v>2015</v>
      </c>
      <c r="B707" s="78">
        <f t="shared" si="33"/>
        <v>7</v>
      </c>
      <c r="C707" s="79">
        <f t="shared" ref="C707:C717" si="34">E707</f>
        <v>42212</v>
      </c>
      <c r="D707" s="79" t="s">
        <v>17</v>
      </c>
      <c r="E707" s="79">
        <v>42212</v>
      </c>
      <c r="F707" s="82" t="s">
        <v>433</v>
      </c>
      <c r="G707" s="273"/>
      <c r="H707" s="9" t="s">
        <v>357</v>
      </c>
      <c r="I707" s="80">
        <v>53060000</v>
      </c>
      <c r="J707" s="81" t="s">
        <v>18</v>
      </c>
      <c r="K707" s="81" t="s">
        <v>54</v>
      </c>
      <c r="L707" s="140" t="str">
        <f>IF(AND('331-CT'!$E$7=TH!H707,OR(J707="331",K707="331")),"x","")</f>
        <v/>
      </c>
    </row>
    <row r="708" spans="1:12">
      <c r="A708" s="78">
        <f t="shared" si="32"/>
        <v>2015</v>
      </c>
      <c r="B708" s="78">
        <f t="shared" si="33"/>
        <v>7</v>
      </c>
      <c r="C708" s="79">
        <f t="shared" si="34"/>
        <v>42212</v>
      </c>
      <c r="D708" s="79" t="s">
        <v>17</v>
      </c>
      <c r="E708" s="79">
        <v>42212</v>
      </c>
      <c r="F708" s="82" t="s">
        <v>34</v>
      </c>
      <c r="G708" s="273"/>
      <c r="H708" s="128"/>
      <c r="I708" s="80">
        <v>20000</v>
      </c>
      <c r="J708" s="81" t="s">
        <v>242</v>
      </c>
      <c r="K708" s="81" t="s">
        <v>54</v>
      </c>
      <c r="L708" s="140" t="str">
        <f>IF(AND('331-CT'!$E$7=TH!H708,OR(J708="331",K708="331")),"x","")</f>
        <v/>
      </c>
    </row>
    <row r="709" spans="1:12">
      <c r="A709" s="78">
        <f t="shared" si="32"/>
        <v>2015</v>
      </c>
      <c r="B709" s="78">
        <f t="shared" si="33"/>
        <v>7</v>
      </c>
      <c r="C709" s="79">
        <f t="shared" si="34"/>
        <v>42212</v>
      </c>
      <c r="D709" s="79" t="s">
        <v>17</v>
      </c>
      <c r="E709" s="79">
        <v>42212</v>
      </c>
      <c r="F709" s="82" t="s">
        <v>35</v>
      </c>
      <c r="G709" s="273"/>
      <c r="H709" s="128"/>
      <c r="I709" s="80">
        <v>2000</v>
      </c>
      <c r="J709" s="81" t="s">
        <v>19</v>
      </c>
      <c r="K709" s="81" t="s">
        <v>54</v>
      </c>
      <c r="L709" s="140" t="str">
        <f>IF(AND('331-CT'!$E$7=TH!H709,OR(J709="331",K709="331")),"x","")</f>
        <v/>
      </c>
    </row>
    <row r="710" spans="1:12">
      <c r="A710" s="78">
        <f t="shared" si="32"/>
        <v>2015</v>
      </c>
      <c r="B710" s="78">
        <f t="shared" si="33"/>
        <v>7</v>
      </c>
      <c r="C710" s="79">
        <f t="shared" si="34"/>
        <v>42212</v>
      </c>
      <c r="D710" s="79" t="s">
        <v>17</v>
      </c>
      <c r="E710" s="79">
        <v>42212</v>
      </c>
      <c r="F710" s="82" t="s">
        <v>301</v>
      </c>
      <c r="G710" s="273"/>
      <c r="H710" s="9" t="s">
        <v>408</v>
      </c>
      <c r="I710" s="80">
        <v>90000000</v>
      </c>
      <c r="J710" s="81" t="s">
        <v>18</v>
      </c>
      <c r="K710" s="81" t="s">
        <v>54</v>
      </c>
      <c r="L710" s="140" t="str">
        <f>IF(AND('331-CT'!$E$7=TH!H710,OR(J710="331",K710="331")),"x","")</f>
        <v/>
      </c>
    </row>
    <row r="711" spans="1:12">
      <c r="A711" s="78">
        <f t="shared" si="32"/>
        <v>2015</v>
      </c>
      <c r="B711" s="78">
        <f t="shared" si="33"/>
        <v>7</v>
      </c>
      <c r="C711" s="79">
        <f t="shared" si="34"/>
        <v>42212</v>
      </c>
      <c r="D711" s="79" t="s">
        <v>17</v>
      </c>
      <c r="E711" s="79">
        <v>42212</v>
      </c>
      <c r="F711" s="82" t="s">
        <v>34</v>
      </c>
      <c r="G711" s="273"/>
      <c r="H711" s="128"/>
      <c r="I711" s="80">
        <v>45000</v>
      </c>
      <c r="J711" s="81" t="s">
        <v>242</v>
      </c>
      <c r="K711" s="81" t="s">
        <v>54</v>
      </c>
      <c r="L711" s="140" t="str">
        <f>IF(AND('331-CT'!$E$7=TH!H711,OR(J711="331",K711="331")),"x","")</f>
        <v/>
      </c>
    </row>
    <row r="712" spans="1:12">
      <c r="A712" s="78">
        <f t="shared" si="32"/>
        <v>2015</v>
      </c>
      <c r="B712" s="78">
        <f t="shared" si="33"/>
        <v>7</v>
      </c>
      <c r="C712" s="79">
        <f t="shared" si="34"/>
        <v>42212</v>
      </c>
      <c r="D712" s="79" t="s">
        <v>17</v>
      </c>
      <c r="E712" s="79">
        <v>42212</v>
      </c>
      <c r="F712" s="82" t="s">
        <v>35</v>
      </c>
      <c r="G712" s="273"/>
      <c r="H712" s="128"/>
      <c r="I712" s="80">
        <v>4500</v>
      </c>
      <c r="J712" s="81" t="s">
        <v>19</v>
      </c>
      <c r="K712" s="81" t="s">
        <v>54</v>
      </c>
      <c r="L712" s="140" t="str">
        <f>IF(AND('331-CT'!$E$7=TH!H712,OR(J712="331",K712="331")),"x","")</f>
        <v/>
      </c>
    </row>
    <row r="713" spans="1:12">
      <c r="A713" s="78">
        <f t="shared" si="32"/>
        <v>2015</v>
      </c>
      <c r="B713" s="78">
        <f t="shared" si="33"/>
        <v>7</v>
      </c>
      <c r="C713" s="79">
        <f t="shared" si="34"/>
        <v>42212</v>
      </c>
      <c r="D713" s="79" t="s">
        <v>17</v>
      </c>
      <c r="E713" s="79">
        <v>42212</v>
      </c>
      <c r="F713" s="82" t="s">
        <v>301</v>
      </c>
      <c r="G713" s="273"/>
      <c r="H713" s="9" t="s">
        <v>300</v>
      </c>
      <c r="I713" s="80">
        <v>200000000</v>
      </c>
      <c r="J713" s="81" t="s">
        <v>18</v>
      </c>
      <c r="K713" s="81" t="s">
        <v>54</v>
      </c>
      <c r="L713" s="140" t="str">
        <f>IF(AND('331-CT'!$E$7=TH!H713,OR(J713="331",K713="331")),"x","")</f>
        <v/>
      </c>
    </row>
    <row r="714" spans="1:12">
      <c r="A714" s="78">
        <f t="shared" si="32"/>
        <v>2015</v>
      </c>
      <c r="B714" s="78">
        <f t="shared" si="33"/>
        <v>7</v>
      </c>
      <c r="C714" s="79">
        <f t="shared" si="34"/>
        <v>42212</v>
      </c>
      <c r="D714" s="79" t="s">
        <v>17</v>
      </c>
      <c r="E714" s="79">
        <v>42212</v>
      </c>
      <c r="F714" s="82" t="s">
        <v>34</v>
      </c>
      <c r="G714" s="273"/>
      <c r="H714" s="128"/>
      <c r="I714" s="80">
        <v>100000</v>
      </c>
      <c r="J714" s="81" t="s">
        <v>242</v>
      </c>
      <c r="K714" s="81" t="s">
        <v>54</v>
      </c>
      <c r="L714" s="140" t="str">
        <f>IF(AND('331-CT'!$E$7=TH!H714,OR(J714="331",K714="331")),"x","")</f>
        <v/>
      </c>
    </row>
    <row r="715" spans="1:12">
      <c r="A715" s="78">
        <f t="shared" si="32"/>
        <v>2015</v>
      </c>
      <c r="B715" s="78">
        <f t="shared" si="33"/>
        <v>7</v>
      </c>
      <c r="C715" s="79">
        <f t="shared" si="34"/>
        <v>42212</v>
      </c>
      <c r="D715" s="79" t="s">
        <v>17</v>
      </c>
      <c r="E715" s="79">
        <v>42212</v>
      </c>
      <c r="F715" s="82" t="s">
        <v>35</v>
      </c>
      <c r="G715" s="273"/>
      <c r="H715" s="128"/>
      <c r="I715" s="80">
        <v>10000</v>
      </c>
      <c r="J715" s="81" t="s">
        <v>19</v>
      </c>
      <c r="K715" s="81" t="s">
        <v>54</v>
      </c>
      <c r="L715" s="140" t="str">
        <f>IF(AND('331-CT'!$E$7=TH!H715,OR(J715="331",K715="331")),"x","")</f>
        <v/>
      </c>
    </row>
    <row r="716" spans="1:12">
      <c r="A716" s="78">
        <f t="shared" si="32"/>
        <v>2015</v>
      </c>
      <c r="B716" s="78">
        <f t="shared" si="33"/>
        <v>7</v>
      </c>
      <c r="C716" s="79">
        <f t="shared" si="34"/>
        <v>42214</v>
      </c>
      <c r="D716" s="79" t="s">
        <v>21</v>
      </c>
      <c r="E716" s="79">
        <v>42214</v>
      </c>
      <c r="F716" s="82" t="s">
        <v>434</v>
      </c>
      <c r="G716" s="273"/>
      <c r="H716" s="128"/>
      <c r="I716" s="80">
        <v>500000</v>
      </c>
      <c r="J716" s="81" t="s">
        <v>54</v>
      </c>
      <c r="K716" s="81" t="s">
        <v>244</v>
      </c>
      <c r="L716" s="140" t="str">
        <f>IF(AND('331-CT'!$E$7=TH!H716,OR(J716="331",K716="331")),"x","")</f>
        <v/>
      </c>
    </row>
    <row r="717" spans="1:12">
      <c r="A717" s="78">
        <f t="shared" si="32"/>
        <v>2015</v>
      </c>
      <c r="B717" s="78">
        <f t="shared" si="33"/>
        <v>7</v>
      </c>
      <c r="C717" s="79">
        <f t="shared" si="34"/>
        <v>42215</v>
      </c>
      <c r="D717" s="79" t="s">
        <v>21</v>
      </c>
      <c r="E717" s="79">
        <v>42215</v>
      </c>
      <c r="F717" s="82" t="s">
        <v>435</v>
      </c>
      <c r="G717" s="273"/>
      <c r="H717" s="128" t="s">
        <v>436</v>
      </c>
      <c r="I717" s="80">
        <v>1000000000</v>
      </c>
      <c r="J717" s="81" t="s">
        <v>54</v>
      </c>
      <c r="K717" s="81" t="s">
        <v>227</v>
      </c>
      <c r="L717" s="140" t="str">
        <f>IF(AND('331-CT'!$E$7=TH!H717,OR(J717="331",K717="331")),"x","")</f>
        <v/>
      </c>
    </row>
    <row r="718" spans="1:12">
      <c r="A718" s="135">
        <f t="shared" si="32"/>
        <v>2015</v>
      </c>
      <c r="B718" s="135">
        <f t="shared" si="33"/>
        <v>8</v>
      </c>
      <c r="C718" s="136">
        <v>42217</v>
      </c>
      <c r="D718" s="136" t="s">
        <v>20</v>
      </c>
      <c r="E718" s="136">
        <f t="shared" ref="E718:E781" si="35">C718</f>
        <v>42217</v>
      </c>
      <c r="F718" s="137" t="s">
        <v>593</v>
      </c>
      <c r="G718" s="274"/>
      <c r="H718" s="138" t="s">
        <v>445</v>
      </c>
      <c r="I718" s="139">
        <v>1000000000</v>
      </c>
      <c r="J718" s="140" t="s">
        <v>203</v>
      </c>
      <c r="K718" s="140" t="s">
        <v>39</v>
      </c>
      <c r="L718" s="140" t="str">
        <f>IF(AND('331-CT'!$E$7=TH!H718,OR(J718="331",K718="331")),"x","")</f>
        <v/>
      </c>
    </row>
    <row r="719" spans="1:12" ht="13.5" customHeight="1">
      <c r="A719" s="78">
        <f t="shared" si="32"/>
        <v>2015</v>
      </c>
      <c r="B719" s="78">
        <f t="shared" si="33"/>
        <v>8</v>
      </c>
      <c r="C719" s="79">
        <v>42219</v>
      </c>
      <c r="D719" s="79" t="s">
        <v>21</v>
      </c>
      <c r="E719" s="79">
        <f t="shared" si="35"/>
        <v>42219</v>
      </c>
      <c r="F719" s="82" t="s">
        <v>438</v>
      </c>
      <c r="G719" s="273"/>
      <c r="H719" s="128"/>
      <c r="I719" s="80">
        <v>105126466</v>
      </c>
      <c r="J719" s="81" t="s">
        <v>54</v>
      </c>
      <c r="K719" s="81" t="s">
        <v>39</v>
      </c>
      <c r="L719" s="140" t="str">
        <f>IF(AND('331-CT'!$E$7=TH!H719,OR(J719="331",K719="331")),"x","")</f>
        <v/>
      </c>
    </row>
    <row r="720" spans="1:12" ht="13.5" customHeight="1">
      <c r="A720" s="78">
        <f t="shared" si="32"/>
        <v>2015</v>
      </c>
      <c r="B720" s="78">
        <f t="shared" si="33"/>
        <v>8</v>
      </c>
      <c r="C720" s="79">
        <v>42219</v>
      </c>
      <c r="D720" s="79" t="s">
        <v>17</v>
      </c>
      <c r="E720" s="79">
        <f t="shared" si="35"/>
        <v>42219</v>
      </c>
      <c r="F720" s="82" t="s">
        <v>301</v>
      </c>
      <c r="G720" s="273"/>
      <c r="H720" s="9" t="s">
        <v>172</v>
      </c>
      <c r="I720" s="80">
        <v>400000000</v>
      </c>
      <c r="J720" s="81" t="s">
        <v>18</v>
      </c>
      <c r="K720" s="81" t="s">
        <v>54</v>
      </c>
      <c r="L720" s="140" t="str">
        <f>IF(AND('331-CT'!$E$7=TH!H720,OR(J720="331",K720="331")),"x","")</f>
        <v/>
      </c>
    </row>
    <row r="721" spans="1:12" ht="13.5" customHeight="1">
      <c r="A721" s="78">
        <f t="shared" si="32"/>
        <v>2015</v>
      </c>
      <c r="B721" s="78">
        <f t="shared" si="33"/>
        <v>8</v>
      </c>
      <c r="C721" s="79">
        <v>42219</v>
      </c>
      <c r="D721" s="79" t="s">
        <v>17</v>
      </c>
      <c r="E721" s="79">
        <f t="shared" si="35"/>
        <v>42219</v>
      </c>
      <c r="F721" s="82" t="s">
        <v>34</v>
      </c>
      <c r="G721" s="273"/>
      <c r="H721" s="128"/>
      <c r="I721" s="80">
        <v>150000</v>
      </c>
      <c r="J721" s="81" t="s">
        <v>242</v>
      </c>
      <c r="K721" s="81" t="s">
        <v>54</v>
      </c>
      <c r="L721" s="140" t="str">
        <f>IF(AND('331-CT'!$E$7=TH!H721,OR(J721="331",K721="331")),"x","")</f>
        <v/>
      </c>
    </row>
    <row r="722" spans="1:12" ht="13.5" customHeight="1">
      <c r="A722" s="78">
        <f t="shared" si="32"/>
        <v>2015</v>
      </c>
      <c r="B722" s="78">
        <f t="shared" si="33"/>
        <v>8</v>
      </c>
      <c r="C722" s="79">
        <v>42219</v>
      </c>
      <c r="D722" s="79" t="s">
        <v>17</v>
      </c>
      <c r="E722" s="79">
        <f t="shared" si="35"/>
        <v>42219</v>
      </c>
      <c r="F722" s="82" t="s">
        <v>35</v>
      </c>
      <c r="G722" s="273"/>
      <c r="H722" s="128"/>
      <c r="I722" s="80">
        <v>15000</v>
      </c>
      <c r="J722" s="81" t="s">
        <v>19</v>
      </c>
      <c r="K722" s="81" t="s">
        <v>54</v>
      </c>
      <c r="L722" s="140" t="str">
        <f>IF(AND('331-CT'!$E$7=TH!H722,OR(J722="331",K722="331")),"x","")</f>
        <v/>
      </c>
    </row>
    <row r="723" spans="1:12" ht="13.5" customHeight="1">
      <c r="A723" s="78">
        <f t="shared" si="32"/>
        <v>2015</v>
      </c>
      <c r="B723" s="78">
        <f t="shared" si="33"/>
        <v>8</v>
      </c>
      <c r="C723" s="79">
        <v>42219</v>
      </c>
      <c r="D723" s="79" t="s">
        <v>17</v>
      </c>
      <c r="E723" s="79">
        <f t="shared" si="35"/>
        <v>42219</v>
      </c>
      <c r="F723" s="82" t="s">
        <v>301</v>
      </c>
      <c r="G723" s="273"/>
      <c r="H723" s="9" t="s">
        <v>190</v>
      </c>
      <c r="I723" s="80">
        <v>300000000</v>
      </c>
      <c r="J723" s="81" t="s">
        <v>18</v>
      </c>
      <c r="K723" s="81" t="s">
        <v>54</v>
      </c>
      <c r="L723" s="140" t="str">
        <f>IF(AND('331-CT'!$E$7=TH!H723,OR(J723="331",K723="331")),"x","")</f>
        <v/>
      </c>
    </row>
    <row r="724" spans="1:12" ht="13.5" customHeight="1">
      <c r="A724" s="78">
        <f t="shared" si="32"/>
        <v>2015</v>
      </c>
      <c r="B724" s="78">
        <f t="shared" si="33"/>
        <v>8</v>
      </c>
      <c r="C724" s="79">
        <v>42219</v>
      </c>
      <c r="D724" s="79" t="s">
        <v>17</v>
      </c>
      <c r="E724" s="79">
        <f t="shared" si="35"/>
        <v>42219</v>
      </c>
      <c r="F724" s="82" t="s">
        <v>34</v>
      </c>
      <c r="G724" s="273"/>
      <c r="H724" s="128"/>
      <c r="I724" s="80">
        <v>120000</v>
      </c>
      <c r="J724" s="81" t="s">
        <v>242</v>
      </c>
      <c r="K724" s="81" t="s">
        <v>54</v>
      </c>
      <c r="L724" s="140" t="str">
        <f>IF(AND('331-CT'!$E$7=TH!H724,OR(J724="331",K724="331")),"x","")</f>
        <v/>
      </c>
    </row>
    <row r="725" spans="1:12" s="232" customFormat="1" ht="13.5" customHeight="1">
      <c r="A725" s="78">
        <f t="shared" ref="A725:A788" si="36">IF(C725&lt;&gt;"",YEAR(C725),"")</f>
        <v>2015</v>
      </c>
      <c r="B725" s="78">
        <f t="shared" ref="B725:B788" si="37">IF(C725&lt;&gt;"",MONTH(C725),"")</f>
        <v>8</v>
      </c>
      <c r="C725" s="79">
        <v>42219</v>
      </c>
      <c r="D725" s="79" t="s">
        <v>17</v>
      </c>
      <c r="E725" s="79">
        <f t="shared" si="35"/>
        <v>42219</v>
      </c>
      <c r="F725" s="82" t="s">
        <v>35</v>
      </c>
      <c r="G725" s="273"/>
      <c r="H725" s="128"/>
      <c r="I725" s="80">
        <v>12000</v>
      </c>
      <c r="J725" s="81" t="s">
        <v>19</v>
      </c>
      <c r="K725" s="81" t="s">
        <v>54</v>
      </c>
      <c r="L725" s="140" t="str">
        <f>IF(AND('331-CT'!$E$7=TH!H725,OR(J725="331",K725="331")),"x","")</f>
        <v/>
      </c>
    </row>
    <row r="726" spans="1:12" ht="13.5" customHeight="1">
      <c r="A726" s="78">
        <f t="shared" si="36"/>
        <v>2015</v>
      </c>
      <c r="B726" s="78">
        <f t="shared" si="37"/>
        <v>8</v>
      </c>
      <c r="C726" s="79">
        <v>42223</v>
      </c>
      <c r="D726" s="79" t="s">
        <v>73</v>
      </c>
      <c r="E726" s="79">
        <f t="shared" si="35"/>
        <v>42223</v>
      </c>
      <c r="F726" s="82" t="s">
        <v>449</v>
      </c>
      <c r="G726" s="278" t="s">
        <v>560</v>
      </c>
      <c r="H726" s="128" t="s">
        <v>450</v>
      </c>
      <c r="I726" s="80">
        <v>15450000</v>
      </c>
      <c r="J726" s="81" t="s">
        <v>669</v>
      </c>
      <c r="K726" s="81" t="s">
        <v>203</v>
      </c>
      <c r="L726" s="140" t="str">
        <f>IF(AND('331-CT'!$E$7=TH!H726,OR(J726="331",K726="331")),"x","")</f>
        <v/>
      </c>
    </row>
    <row r="727" spans="1:12" ht="13.5" customHeight="1">
      <c r="A727" s="78">
        <f t="shared" si="36"/>
        <v>2015</v>
      </c>
      <c r="B727" s="78">
        <f t="shared" si="37"/>
        <v>8</v>
      </c>
      <c r="C727" s="79">
        <v>42223</v>
      </c>
      <c r="D727" s="79" t="s">
        <v>73</v>
      </c>
      <c r="E727" s="79">
        <f t="shared" si="35"/>
        <v>42223</v>
      </c>
      <c r="F727" s="82" t="s">
        <v>451</v>
      </c>
      <c r="G727" s="278" t="s">
        <v>560</v>
      </c>
      <c r="H727" s="128" t="s">
        <v>450</v>
      </c>
      <c r="I727" s="80">
        <v>1545000</v>
      </c>
      <c r="J727" s="81" t="s">
        <v>19</v>
      </c>
      <c r="K727" s="81" t="s">
        <v>203</v>
      </c>
      <c r="L727" s="140" t="str">
        <f>IF(AND('331-CT'!$E$7=TH!H727,OR(J727="331",K727="331")),"x","")</f>
        <v/>
      </c>
    </row>
    <row r="728" spans="1:12" ht="13.5" customHeight="1">
      <c r="A728" s="78">
        <f t="shared" si="36"/>
        <v>2015</v>
      </c>
      <c r="B728" s="78">
        <f t="shared" si="37"/>
        <v>8</v>
      </c>
      <c r="C728" s="79">
        <v>42224</v>
      </c>
      <c r="D728" s="79" t="s">
        <v>92</v>
      </c>
      <c r="E728" s="79">
        <f t="shared" si="35"/>
        <v>42224</v>
      </c>
      <c r="F728" s="82" t="s">
        <v>446</v>
      </c>
      <c r="G728" s="278" t="s">
        <v>559</v>
      </c>
      <c r="H728" s="128" t="s">
        <v>448</v>
      </c>
      <c r="I728" s="80">
        <v>13500000</v>
      </c>
      <c r="J728" s="81" t="s">
        <v>669</v>
      </c>
      <c r="K728" s="81" t="s">
        <v>203</v>
      </c>
      <c r="L728" s="140" t="str">
        <f>IF(AND('331-CT'!$E$7=TH!H728,OR(J728="331",K728="331")),"x","")</f>
        <v/>
      </c>
    </row>
    <row r="729" spans="1:12" ht="13.5" customHeight="1">
      <c r="A729" s="78">
        <f t="shared" si="36"/>
        <v>2015</v>
      </c>
      <c r="B729" s="78">
        <f t="shared" si="37"/>
        <v>8</v>
      </c>
      <c r="C729" s="79">
        <v>42224</v>
      </c>
      <c r="D729" s="79" t="s">
        <v>92</v>
      </c>
      <c r="E729" s="79">
        <f t="shared" si="35"/>
        <v>42224</v>
      </c>
      <c r="F729" s="82" t="s">
        <v>447</v>
      </c>
      <c r="G729" s="278" t="s">
        <v>559</v>
      </c>
      <c r="H729" s="128" t="s">
        <v>448</v>
      </c>
      <c r="I729" s="80">
        <v>1350000</v>
      </c>
      <c r="J729" s="81" t="s">
        <v>19</v>
      </c>
      <c r="K729" s="81" t="s">
        <v>203</v>
      </c>
      <c r="L729" s="140" t="str">
        <f>IF(AND('331-CT'!$E$7=TH!H729,OR(J729="331",K729="331")),"x","")</f>
        <v/>
      </c>
    </row>
    <row r="730" spans="1:12" ht="13.5" customHeight="1">
      <c r="A730" s="78">
        <f t="shared" si="36"/>
        <v>2015</v>
      </c>
      <c r="B730" s="78">
        <f t="shared" si="37"/>
        <v>8</v>
      </c>
      <c r="C730" s="79">
        <v>42224</v>
      </c>
      <c r="D730" s="79" t="s">
        <v>93</v>
      </c>
      <c r="E730" s="79">
        <f t="shared" si="35"/>
        <v>42224</v>
      </c>
      <c r="F730" s="82" t="s">
        <v>449</v>
      </c>
      <c r="G730" s="278" t="s">
        <v>561</v>
      </c>
      <c r="H730" s="128" t="s">
        <v>450</v>
      </c>
      <c r="I730" s="80">
        <v>15450000</v>
      </c>
      <c r="J730" s="81" t="s">
        <v>669</v>
      </c>
      <c r="K730" s="81" t="s">
        <v>203</v>
      </c>
      <c r="L730" s="140" t="str">
        <f>IF(AND('331-CT'!$E$7=TH!H730,OR(J730="331",K730="331")),"x","")</f>
        <v/>
      </c>
    </row>
    <row r="731" spans="1:12" ht="13.5" customHeight="1">
      <c r="A731" s="78">
        <f t="shared" si="36"/>
        <v>2015</v>
      </c>
      <c r="B731" s="78">
        <f t="shared" si="37"/>
        <v>8</v>
      </c>
      <c r="C731" s="79">
        <v>42224</v>
      </c>
      <c r="D731" s="79" t="s">
        <v>93</v>
      </c>
      <c r="E731" s="79">
        <f t="shared" si="35"/>
        <v>42224</v>
      </c>
      <c r="F731" s="82" t="s">
        <v>451</v>
      </c>
      <c r="G731" s="278" t="s">
        <v>561</v>
      </c>
      <c r="H731" s="128" t="s">
        <v>450</v>
      </c>
      <c r="I731" s="80">
        <v>1545000</v>
      </c>
      <c r="J731" s="81" t="s">
        <v>19</v>
      </c>
      <c r="K731" s="81" t="s">
        <v>203</v>
      </c>
      <c r="L731" s="140" t="str">
        <f>IF(AND('331-CT'!$E$7=TH!H731,OR(J731="331",K731="331")),"x","")</f>
        <v/>
      </c>
    </row>
    <row r="732" spans="1:12" ht="13.5" customHeight="1">
      <c r="A732" s="78">
        <f t="shared" si="36"/>
        <v>2015</v>
      </c>
      <c r="B732" s="78">
        <f t="shared" si="37"/>
        <v>8</v>
      </c>
      <c r="C732" s="79">
        <v>42225</v>
      </c>
      <c r="D732" s="79" t="s">
        <v>72</v>
      </c>
      <c r="E732" s="79">
        <f t="shared" si="35"/>
        <v>42225</v>
      </c>
      <c r="F732" s="82" t="s">
        <v>449</v>
      </c>
      <c r="G732" s="278" t="s">
        <v>562</v>
      </c>
      <c r="H732" s="128" t="s">
        <v>450</v>
      </c>
      <c r="I732" s="80">
        <v>15450000</v>
      </c>
      <c r="J732" s="81" t="s">
        <v>669</v>
      </c>
      <c r="K732" s="81" t="s">
        <v>203</v>
      </c>
      <c r="L732" s="140" t="str">
        <f>IF(AND('331-CT'!$E$7=TH!H732,OR(J732="331",K732="331")),"x","")</f>
        <v/>
      </c>
    </row>
    <row r="733" spans="1:12" ht="13.5" customHeight="1">
      <c r="A733" s="78">
        <f t="shared" si="36"/>
        <v>2015</v>
      </c>
      <c r="B733" s="78">
        <f t="shared" si="37"/>
        <v>8</v>
      </c>
      <c r="C733" s="79">
        <v>42225</v>
      </c>
      <c r="D733" s="79" t="s">
        <v>72</v>
      </c>
      <c r="E733" s="79">
        <f t="shared" si="35"/>
        <v>42225</v>
      </c>
      <c r="F733" s="82" t="s">
        <v>451</v>
      </c>
      <c r="G733" s="278" t="s">
        <v>562</v>
      </c>
      <c r="H733" s="128" t="s">
        <v>450</v>
      </c>
      <c r="I733" s="80">
        <v>1545000</v>
      </c>
      <c r="J733" s="81" t="s">
        <v>19</v>
      </c>
      <c r="K733" s="81" t="s">
        <v>203</v>
      </c>
      <c r="L733" s="140" t="str">
        <f>IF(AND('331-CT'!$E$7=TH!H733,OR(J733="331",K733="331")),"x","")</f>
        <v/>
      </c>
    </row>
    <row r="734" spans="1:12" ht="13.5" customHeight="1">
      <c r="A734" s="78">
        <f t="shared" si="36"/>
        <v>2015</v>
      </c>
      <c r="B734" s="78">
        <f t="shared" si="37"/>
        <v>8</v>
      </c>
      <c r="C734" s="79">
        <v>42226</v>
      </c>
      <c r="D734" s="79" t="s">
        <v>71</v>
      </c>
      <c r="E734" s="79">
        <f t="shared" si="35"/>
        <v>42226</v>
      </c>
      <c r="F734" s="82" t="s">
        <v>449</v>
      </c>
      <c r="G734" s="278" t="s">
        <v>563</v>
      </c>
      <c r="H734" s="128" t="s">
        <v>450</v>
      </c>
      <c r="I734" s="80">
        <v>5150000</v>
      </c>
      <c r="J734" s="81" t="s">
        <v>669</v>
      </c>
      <c r="K734" s="81" t="s">
        <v>203</v>
      </c>
      <c r="L734" s="140" t="str">
        <f>IF(AND('331-CT'!$E$7=TH!H734,OR(J734="331",K734="331")),"x","")</f>
        <v/>
      </c>
    </row>
    <row r="735" spans="1:12" ht="13.5" customHeight="1">
      <c r="A735" s="78">
        <f t="shared" si="36"/>
        <v>2015</v>
      </c>
      <c r="B735" s="78">
        <f t="shared" si="37"/>
        <v>8</v>
      </c>
      <c r="C735" s="79">
        <v>42226</v>
      </c>
      <c r="D735" s="79" t="s">
        <v>71</v>
      </c>
      <c r="E735" s="79">
        <f t="shared" si="35"/>
        <v>42226</v>
      </c>
      <c r="F735" s="82" t="s">
        <v>451</v>
      </c>
      <c r="G735" s="278" t="s">
        <v>563</v>
      </c>
      <c r="H735" s="128" t="s">
        <v>450</v>
      </c>
      <c r="I735" s="80">
        <v>515000</v>
      </c>
      <c r="J735" s="81" t="s">
        <v>19</v>
      </c>
      <c r="K735" s="81" t="s">
        <v>203</v>
      </c>
      <c r="L735" s="140" t="str">
        <f>IF(AND('331-CT'!$E$7=TH!H735,OR(J735="331",K735="331")),"x","")</f>
        <v/>
      </c>
    </row>
    <row r="736" spans="1:12" ht="13.5" customHeight="1">
      <c r="A736" s="78">
        <f t="shared" si="36"/>
        <v>2015</v>
      </c>
      <c r="B736" s="78">
        <f t="shared" si="37"/>
        <v>8</v>
      </c>
      <c r="C736" s="79">
        <v>42229</v>
      </c>
      <c r="D736" s="79" t="s">
        <v>17</v>
      </c>
      <c r="E736" s="79">
        <f t="shared" si="35"/>
        <v>42229</v>
      </c>
      <c r="F736" s="82" t="s">
        <v>301</v>
      </c>
      <c r="G736" s="273"/>
      <c r="H736" s="9" t="s">
        <v>408</v>
      </c>
      <c r="I736" s="80">
        <v>50000000</v>
      </c>
      <c r="J736" s="81" t="s">
        <v>18</v>
      </c>
      <c r="K736" s="81" t="s">
        <v>54</v>
      </c>
      <c r="L736" s="140" t="str">
        <f>IF(AND('331-CT'!$E$7=TH!H736,OR(J736="331",K736="331")),"x","")</f>
        <v/>
      </c>
    </row>
    <row r="737" spans="1:12" ht="13.5" customHeight="1">
      <c r="A737" s="78">
        <f t="shared" si="36"/>
        <v>2015</v>
      </c>
      <c r="B737" s="78">
        <f t="shared" si="37"/>
        <v>8</v>
      </c>
      <c r="C737" s="79">
        <v>42229</v>
      </c>
      <c r="D737" s="79" t="s">
        <v>17</v>
      </c>
      <c r="E737" s="79">
        <f t="shared" si="35"/>
        <v>42229</v>
      </c>
      <c r="F737" s="82" t="s">
        <v>34</v>
      </c>
      <c r="G737" s="273"/>
      <c r="H737" s="128"/>
      <c r="I737" s="80">
        <v>25000</v>
      </c>
      <c r="J737" s="81" t="s">
        <v>242</v>
      </c>
      <c r="K737" s="81" t="s">
        <v>54</v>
      </c>
      <c r="L737" s="140" t="str">
        <f>IF(AND('331-CT'!$E$7=TH!H737,OR(J737="331",K737="331")),"x","")</f>
        <v/>
      </c>
    </row>
    <row r="738" spans="1:12">
      <c r="A738" s="78">
        <f t="shared" si="36"/>
        <v>2015</v>
      </c>
      <c r="B738" s="78">
        <f t="shared" si="37"/>
        <v>8</v>
      </c>
      <c r="C738" s="79">
        <v>42229</v>
      </c>
      <c r="D738" s="79" t="s">
        <v>17</v>
      </c>
      <c r="E738" s="79">
        <f t="shared" si="35"/>
        <v>42229</v>
      </c>
      <c r="F738" s="82" t="s">
        <v>35</v>
      </c>
      <c r="G738" s="273"/>
      <c r="H738" s="128"/>
      <c r="I738" s="80">
        <v>2500</v>
      </c>
      <c r="J738" s="81" t="s">
        <v>19</v>
      </c>
      <c r="K738" s="81" t="s">
        <v>54</v>
      </c>
      <c r="L738" s="140" t="str">
        <f>IF(AND('331-CT'!$E$7=TH!H738,OR(J738="331",K738="331")),"x","")</f>
        <v/>
      </c>
    </row>
    <row r="739" spans="1:12">
      <c r="A739" s="78">
        <f t="shared" si="36"/>
        <v>2015</v>
      </c>
      <c r="B739" s="78">
        <f t="shared" si="37"/>
        <v>8</v>
      </c>
      <c r="C739" s="79">
        <v>42229</v>
      </c>
      <c r="D739" s="79" t="s">
        <v>78</v>
      </c>
      <c r="E739" s="79">
        <f t="shared" si="35"/>
        <v>42229</v>
      </c>
      <c r="F739" s="82" t="s">
        <v>460</v>
      </c>
      <c r="G739" s="273" t="s">
        <v>459</v>
      </c>
      <c r="H739" s="128" t="s">
        <v>111</v>
      </c>
      <c r="I739" s="80">
        <v>2000000000</v>
      </c>
      <c r="J739" s="81" t="s">
        <v>669</v>
      </c>
      <c r="K739" s="81" t="s">
        <v>18</v>
      </c>
      <c r="L739" s="140" t="str">
        <f>IF(AND('331-CT'!$E$7=TH!H739,OR(J739="331",K739="331")),"x","")</f>
        <v/>
      </c>
    </row>
    <row r="740" spans="1:12" ht="13.5" customHeight="1">
      <c r="A740" s="78">
        <f t="shared" si="36"/>
        <v>2015</v>
      </c>
      <c r="B740" s="78">
        <f t="shared" si="37"/>
        <v>8</v>
      </c>
      <c r="C740" s="79">
        <v>42229</v>
      </c>
      <c r="D740" s="79" t="s">
        <v>78</v>
      </c>
      <c r="E740" s="79">
        <f t="shared" si="35"/>
        <v>42229</v>
      </c>
      <c r="F740" s="82" t="s">
        <v>461</v>
      </c>
      <c r="G740" s="273" t="s">
        <v>459</v>
      </c>
      <c r="H740" s="128" t="s">
        <v>111</v>
      </c>
      <c r="I740" s="80">
        <v>200000000</v>
      </c>
      <c r="J740" s="81" t="s">
        <v>19</v>
      </c>
      <c r="K740" s="81" t="s">
        <v>18</v>
      </c>
      <c r="L740" s="140" t="str">
        <f>IF(AND('331-CT'!$E$7=TH!H740,OR(J740="331",K740="331")),"x","")</f>
        <v/>
      </c>
    </row>
    <row r="741" spans="1:12" ht="13.5" customHeight="1">
      <c r="A741" s="78">
        <f t="shared" si="36"/>
        <v>2015</v>
      </c>
      <c r="B741" s="78">
        <f t="shared" si="37"/>
        <v>8</v>
      </c>
      <c r="C741" s="79">
        <v>42229</v>
      </c>
      <c r="D741" s="79" t="s">
        <v>21</v>
      </c>
      <c r="E741" s="79">
        <f t="shared" si="35"/>
        <v>42229</v>
      </c>
      <c r="F741" s="82" t="s">
        <v>469</v>
      </c>
      <c r="G741" s="273"/>
      <c r="H741" s="128" t="s">
        <v>470</v>
      </c>
      <c r="I741" s="80">
        <v>1000000000</v>
      </c>
      <c r="J741" s="81" t="s">
        <v>54</v>
      </c>
      <c r="K741" s="81" t="s">
        <v>227</v>
      </c>
      <c r="L741" s="140" t="str">
        <f>IF(AND('331-CT'!$E$7=TH!H741,OR(J741="331",K741="331")),"x","")</f>
        <v/>
      </c>
    </row>
    <row r="742" spans="1:12" ht="13.5" customHeight="1">
      <c r="A742" s="78">
        <f t="shared" si="36"/>
        <v>2015</v>
      </c>
      <c r="B742" s="78">
        <f t="shared" si="37"/>
        <v>8</v>
      </c>
      <c r="C742" s="79">
        <v>42230</v>
      </c>
      <c r="D742" s="79" t="s">
        <v>78</v>
      </c>
      <c r="E742" s="79">
        <f t="shared" si="35"/>
        <v>42230</v>
      </c>
      <c r="F742" s="82" t="s">
        <v>453</v>
      </c>
      <c r="G742" s="273" t="s">
        <v>452</v>
      </c>
      <c r="H742" s="128" t="s">
        <v>455</v>
      </c>
      <c r="I742" s="80">
        <v>30000000</v>
      </c>
      <c r="J742" s="81" t="s">
        <v>669</v>
      </c>
      <c r="K742" s="81" t="s">
        <v>18</v>
      </c>
      <c r="L742" s="140" t="str">
        <f>IF(AND('331-CT'!$E$7=TH!H742,OR(J742="331",K742="331")),"x","")</f>
        <v/>
      </c>
    </row>
    <row r="743" spans="1:12" ht="13.5" customHeight="1">
      <c r="A743" s="78">
        <f t="shared" si="36"/>
        <v>2015</v>
      </c>
      <c r="B743" s="78">
        <f t="shared" si="37"/>
        <v>8</v>
      </c>
      <c r="C743" s="79">
        <v>42230</v>
      </c>
      <c r="D743" s="79" t="s">
        <v>78</v>
      </c>
      <c r="E743" s="79">
        <f t="shared" si="35"/>
        <v>42230</v>
      </c>
      <c r="F743" s="82" t="s">
        <v>454</v>
      </c>
      <c r="G743" s="273" t="s">
        <v>452</v>
      </c>
      <c r="H743" s="128" t="s">
        <v>455</v>
      </c>
      <c r="I743" s="80">
        <v>3000000</v>
      </c>
      <c r="J743" s="81" t="s">
        <v>19</v>
      </c>
      <c r="K743" s="81" t="s">
        <v>18</v>
      </c>
      <c r="L743" s="140" t="str">
        <f>IF(AND('331-CT'!$E$7=TH!H743,OR(J743="331",K743="331")),"x","")</f>
        <v/>
      </c>
    </row>
    <row r="744" spans="1:12" ht="13.5" customHeight="1">
      <c r="A744" s="78">
        <f t="shared" si="36"/>
        <v>2015</v>
      </c>
      <c r="B744" s="78">
        <f t="shared" si="37"/>
        <v>8</v>
      </c>
      <c r="C744" s="79">
        <v>42230</v>
      </c>
      <c r="D744" s="79" t="s">
        <v>78</v>
      </c>
      <c r="E744" s="79">
        <f t="shared" si="35"/>
        <v>42230</v>
      </c>
      <c r="F744" s="82" t="s">
        <v>457</v>
      </c>
      <c r="G744" s="273" t="s">
        <v>456</v>
      </c>
      <c r="H744" s="131" t="s">
        <v>495</v>
      </c>
      <c r="I744" s="80">
        <v>545120000</v>
      </c>
      <c r="J744" s="81" t="s">
        <v>669</v>
      </c>
      <c r="K744" s="81" t="s">
        <v>18</v>
      </c>
      <c r="L744" s="140" t="str">
        <f>IF(AND('331-CT'!$E$7=TH!H744,OR(J744="331",K744="331")),"x","")</f>
        <v/>
      </c>
    </row>
    <row r="745" spans="1:12" ht="13.5" customHeight="1">
      <c r="A745" s="78">
        <f t="shared" si="36"/>
        <v>2015</v>
      </c>
      <c r="B745" s="78">
        <f t="shared" si="37"/>
        <v>8</v>
      </c>
      <c r="C745" s="79">
        <v>42230</v>
      </c>
      <c r="D745" s="79" t="s">
        <v>78</v>
      </c>
      <c r="E745" s="79">
        <f t="shared" si="35"/>
        <v>42230</v>
      </c>
      <c r="F745" s="82" t="s">
        <v>458</v>
      </c>
      <c r="G745" s="273" t="s">
        <v>456</v>
      </c>
      <c r="H745" s="131" t="s">
        <v>495</v>
      </c>
      <c r="I745" s="80">
        <v>54512000</v>
      </c>
      <c r="J745" s="81" t="s">
        <v>19</v>
      </c>
      <c r="K745" s="81" t="s">
        <v>18</v>
      </c>
      <c r="L745" s="140" t="str">
        <f>IF(AND('331-CT'!$E$7=TH!H745,OR(J745="331",K745="331")),"x","")</f>
        <v/>
      </c>
    </row>
    <row r="746" spans="1:12" ht="13.5" customHeight="1">
      <c r="A746" s="78">
        <f t="shared" si="36"/>
        <v>2015</v>
      </c>
      <c r="B746" s="78">
        <f t="shared" si="37"/>
        <v>8</v>
      </c>
      <c r="C746" s="79">
        <v>42230</v>
      </c>
      <c r="D746" s="79" t="s">
        <v>17</v>
      </c>
      <c r="E746" s="79">
        <f t="shared" si="35"/>
        <v>42230</v>
      </c>
      <c r="F746" s="82" t="s">
        <v>301</v>
      </c>
      <c r="G746" s="273"/>
      <c r="H746" s="9" t="s">
        <v>306</v>
      </c>
      <c r="I746" s="80">
        <v>500000000</v>
      </c>
      <c r="J746" s="81" t="s">
        <v>18</v>
      </c>
      <c r="K746" s="81" t="s">
        <v>54</v>
      </c>
      <c r="L746" s="140" t="str">
        <f>IF(AND('331-CT'!$E$7=TH!H746,OR(J746="331",K746="331")),"x","")</f>
        <v/>
      </c>
    </row>
    <row r="747" spans="1:12" ht="13.5" customHeight="1">
      <c r="A747" s="78">
        <f t="shared" si="36"/>
        <v>2015</v>
      </c>
      <c r="B747" s="78">
        <f t="shared" si="37"/>
        <v>8</v>
      </c>
      <c r="C747" s="79">
        <v>42230</v>
      </c>
      <c r="D747" s="79" t="s">
        <v>17</v>
      </c>
      <c r="E747" s="79">
        <f t="shared" si="35"/>
        <v>42230</v>
      </c>
      <c r="F747" s="82" t="s">
        <v>34</v>
      </c>
      <c r="G747" s="273"/>
      <c r="H747" s="128"/>
      <c r="I747" s="80">
        <v>150000</v>
      </c>
      <c r="J747" s="81" t="s">
        <v>242</v>
      </c>
      <c r="K747" s="81" t="s">
        <v>54</v>
      </c>
      <c r="L747" s="140" t="str">
        <f>IF(AND('331-CT'!$E$7=TH!H747,OR(J747="331",K747="331")),"x","")</f>
        <v/>
      </c>
    </row>
    <row r="748" spans="1:12" ht="13.5" customHeight="1">
      <c r="A748" s="78">
        <f t="shared" si="36"/>
        <v>2015</v>
      </c>
      <c r="B748" s="78">
        <f t="shared" si="37"/>
        <v>8</v>
      </c>
      <c r="C748" s="79">
        <v>42230</v>
      </c>
      <c r="D748" s="79" t="s">
        <v>17</v>
      </c>
      <c r="E748" s="79">
        <f t="shared" si="35"/>
        <v>42230</v>
      </c>
      <c r="F748" s="82" t="s">
        <v>35</v>
      </c>
      <c r="G748" s="273"/>
      <c r="H748" s="128"/>
      <c r="I748" s="80">
        <v>15000</v>
      </c>
      <c r="J748" s="81" t="s">
        <v>19</v>
      </c>
      <c r="K748" s="81" t="s">
        <v>54</v>
      </c>
      <c r="L748" s="140" t="str">
        <f>IF(AND('331-CT'!$E$7=TH!H748,OR(J748="331",K748="331")),"x","")</f>
        <v/>
      </c>
    </row>
    <row r="749" spans="1:12" ht="13.5" customHeight="1">
      <c r="A749" s="78">
        <f t="shared" si="36"/>
        <v>2015</v>
      </c>
      <c r="B749" s="78">
        <f t="shared" si="37"/>
        <v>8</v>
      </c>
      <c r="C749" s="79">
        <v>42234</v>
      </c>
      <c r="D749" s="79" t="s">
        <v>133</v>
      </c>
      <c r="E749" s="79">
        <f t="shared" si="35"/>
        <v>42234</v>
      </c>
      <c r="F749" s="99" t="s">
        <v>590</v>
      </c>
      <c r="G749" s="273"/>
      <c r="H749" s="128" t="s">
        <v>272</v>
      </c>
      <c r="I749" s="80">
        <v>500000000</v>
      </c>
      <c r="J749" s="81" t="s">
        <v>54</v>
      </c>
      <c r="K749" s="81" t="s">
        <v>203</v>
      </c>
      <c r="L749" s="140" t="str">
        <f>IF(AND('331-CT'!$E$7=TH!H749,OR(J749="331",K749="331")),"x","")</f>
        <v/>
      </c>
    </row>
    <row r="750" spans="1:12" ht="13.5" customHeight="1">
      <c r="A750" s="78">
        <f t="shared" si="36"/>
        <v>2015</v>
      </c>
      <c r="B750" s="78">
        <f t="shared" si="37"/>
        <v>8</v>
      </c>
      <c r="C750" s="79">
        <v>42235</v>
      </c>
      <c r="D750" s="79" t="s">
        <v>134</v>
      </c>
      <c r="E750" s="79">
        <f t="shared" si="35"/>
        <v>42235</v>
      </c>
      <c r="F750" s="82" t="s">
        <v>471</v>
      </c>
      <c r="G750" s="278" t="s">
        <v>564</v>
      </c>
      <c r="H750" s="128" t="s">
        <v>472</v>
      </c>
      <c r="I750" s="80">
        <v>3660000</v>
      </c>
      <c r="J750" s="81" t="s">
        <v>669</v>
      </c>
      <c r="K750" s="81" t="s">
        <v>203</v>
      </c>
      <c r="L750" s="140" t="str">
        <f>IF(AND('331-CT'!$E$7=TH!H750,OR(J750="331",K750="331")),"x","")</f>
        <v/>
      </c>
    </row>
    <row r="751" spans="1:12" ht="14.25" customHeight="1">
      <c r="A751" s="78">
        <f t="shared" si="36"/>
        <v>2015</v>
      </c>
      <c r="B751" s="78">
        <f t="shared" si="37"/>
        <v>8</v>
      </c>
      <c r="C751" s="79">
        <v>42235</v>
      </c>
      <c r="D751" s="79" t="s">
        <v>135</v>
      </c>
      <c r="E751" s="79">
        <f t="shared" si="35"/>
        <v>42235</v>
      </c>
      <c r="F751" s="82" t="s">
        <v>462</v>
      </c>
      <c r="G751" s="278" t="s">
        <v>565</v>
      </c>
      <c r="H751" s="128" t="s">
        <v>465</v>
      </c>
      <c r="I751" s="80">
        <v>6636364</v>
      </c>
      <c r="J751" s="81" t="s">
        <v>669</v>
      </c>
      <c r="K751" s="81" t="s">
        <v>203</v>
      </c>
      <c r="L751" s="140" t="str">
        <f>IF(AND('331-CT'!$E$7=TH!H751,OR(J751="331",K751="331")),"x","")</f>
        <v/>
      </c>
    </row>
    <row r="752" spans="1:12" ht="14.25" customHeight="1">
      <c r="A752" s="78">
        <f t="shared" si="36"/>
        <v>2015</v>
      </c>
      <c r="B752" s="78">
        <f t="shared" si="37"/>
        <v>8</v>
      </c>
      <c r="C752" s="79">
        <v>42235</v>
      </c>
      <c r="D752" s="79" t="s">
        <v>135</v>
      </c>
      <c r="E752" s="79">
        <f t="shared" si="35"/>
        <v>42235</v>
      </c>
      <c r="F752" s="82" t="s">
        <v>463</v>
      </c>
      <c r="G752" s="278" t="s">
        <v>565</v>
      </c>
      <c r="H752" s="128" t="s">
        <v>465</v>
      </c>
      <c r="I752" s="80">
        <v>663636</v>
      </c>
      <c r="J752" s="81" t="s">
        <v>19</v>
      </c>
      <c r="K752" s="81" t="s">
        <v>203</v>
      </c>
      <c r="L752" s="140" t="str">
        <f>IF(AND('331-CT'!$E$7=TH!H752,OR(J752="331",K752="331")),"x","")</f>
        <v/>
      </c>
    </row>
    <row r="753" spans="1:12" ht="14.25" customHeight="1">
      <c r="A753" s="78">
        <f t="shared" si="36"/>
        <v>2015</v>
      </c>
      <c r="B753" s="78">
        <f t="shared" si="37"/>
        <v>8</v>
      </c>
      <c r="C753" s="79">
        <v>42235</v>
      </c>
      <c r="D753" s="79" t="s">
        <v>154</v>
      </c>
      <c r="E753" s="79">
        <f t="shared" si="35"/>
        <v>42235</v>
      </c>
      <c r="F753" s="82" t="s">
        <v>464</v>
      </c>
      <c r="G753" s="278" t="s">
        <v>566</v>
      </c>
      <c r="H753" s="128" t="s">
        <v>466</v>
      </c>
      <c r="I753" s="80">
        <v>4700000</v>
      </c>
      <c r="J753" s="81" t="s">
        <v>669</v>
      </c>
      <c r="K753" s="81" t="s">
        <v>203</v>
      </c>
      <c r="L753" s="140" t="str">
        <f>IF(AND('331-CT'!$E$7=TH!H753,OR(J753="331",K753="331")),"x","")</f>
        <v/>
      </c>
    </row>
    <row r="754" spans="1:12" ht="14.25" customHeight="1">
      <c r="A754" s="78">
        <f t="shared" si="36"/>
        <v>2015</v>
      </c>
      <c r="B754" s="78">
        <f t="shared" si="37"/>
        <v>8</v>
      </c>
      <c r="C754" s="79">
        <v>42235</v>
      </c>
      <c r="D754" s="79" t="s">
        <v>17</v>
      </c>
      <c r="E754" s="79">
        <f t="shared" si="35"/>
        <v>42235</v>
      </c>
      <c r="F754" s="82" t="s">
        <v>119</v>
      </c>
      <c r="G754" s="273"/>
      <c r="H754" s="128" t="s">
        <v>314</v>
      </c>
      <c r="I754" s="80">
        <v>8180556</v>
      </c>
      <c r="J754" s="81" t="s">
        <v>240</v>
      </c>
      <c r="K754" s="81" t="s">
        <v>54</v>
      </c>
      <c r="L754" s="140" t="str">
        <f>IF(AND('331-CT'!$E$7=TH!H754,OR(J754="331",K754="331")),"x","")</f>
        <v/>
      </c>
    </row>
    <row r="755" spans="1:12" ht="14.25" customHeight="1">
      <c r="A755" s="78">
        <f t="shared" si="36"/>
        <v>2015</v>
      </c>
      <c r="B755" s="78">
        <f t="shared" si="37"/>
        <v>8</v>
      </c>
      <c r="C755" s="79">
        <v>42235</v>
      </c>
      <c r="D755" s="79" t="s">
        <v>17</v>
      </c>
      <c r="E755" s="79">
        <f t="shared" si="35"/>
        <v>42235</v>
      </c>
      <c r="F755" s="82" t="s">
        <v>141</v>
      </c>
      <c r="G755" s="273"/>
      <c r="H755" s="128" t="s">
        <v>315</v>
      </c>
      <c r="I755" s="80">
        <v>16361111</v>
      </c>
      <c r="J755" s="81" t="s">
        <v>240</v>
      </c>
      <c r="K755" s="81" t="s">
        <v>54</v>
      </c>
      <c r="L755" s="140" t="str">
        <f>IF(AND('331-CT'!$E$7=TH!H755,OR(J755="331",K755="331")),"x","")</f>
        <v/>
      </c>
    </row>
    <row r="756" spans="1:12" ht="14.25" customHeight="1">
      <c r="A756" s="78">
        <f t="shared" si="36"/>
        <v>2015</v>
      </c>
      <c r="B756" s="78">
        <f t="shared" si="37"/>
        <v>8</v>
      </c>
      <c r="C756" s="79">
        <v>42235</v>
      </c>
      <c r="D756" s="79" t="s">
        <v>17</v>
      </c>
      <c r="E756" s="79">
        <f t="shared" si="35"/>
        <v>42235</v>
      </c>
      <c r="F756" s="82" t="s">
        <v>143</v>
      </c>
      <c r="G756" s="273"/>
      <c r="H756" s="128" t="s">
        <v>317</v>
      </c>
      <c r="I756" s="80">
        <v>13088889</v>
      </c>
      <c r="J756" s="81" t="s">
        <v>240</v>
      </c>
      <c r="K756" s="81" t="s">
        <v>54</v>
      </c>
      <c r="L756" s="140" t="str">
        <f>IF(AND('331-CT'!$E$7=TH!H756,OR(J756="331",K756="331")),"x","")</f>
        <v/>
      </c>
    </row>
    <row r="757" spans="1:12" ht="14.25" customHeight="1">
      <c r="A757" s="78">
        <f t="shared" si="36"/>
        <v>2015</v>
      </c>
      <c r="B757" s="78">
        <f t="shared" si="37"/>
        <v>8</v>
      </c>
      <c r="C757" s="79">
        <v>42235</v>
      </c>
      <c r="D757" s="79" t="s">
        <v>17</v>
      </c>
      <c r="E757" s="79">
        <f t="shared" si="35"/>
        <v>42235</v>
      </c>
      <c r="F757" s="82" t="s">
        <v>144</v>
      </c>
      <c r="G757" s="273"/>
      <c r="H757" s="128" t="s">
        <v>316</v>
      </c>
      <c r="I757" s="80">
        <v>12270833</v>
      </c>
      <c r="J757" s="81" t="s">
        <v>240</v>
      </c>
      <c r="K757" s="81" t="s">
        <v>54</v>
      </c>
      <c r="L757" s="140" t="str">
        <f>IF(AND('331-CT'!$E$7=TH!H757,OR(J757="331",K757="331")),"x","")</f>
        <v/>
      </c>
    </row>
    <row r="758" spans="1:12" ht="14.25" customHeight="1">
      <c r="A758" s="78">
        <f t="shared" si="36"/>
        <v>2015</v>
      </c>
      <c r="B758" s="78">
        <f t="shared" si="37"/>
        <v>8</v>
      </c>
      <c r="C758" s="79">
        <v>42235</v>
      </c>
      <c r="D758" s="79" t="s">
        <v>17</v>
      </c>
      <c r="E758" s="79">
        <f t="shared" si="35"/>
        <v>42235</v>
      </c>
      <c r="F758" s="82" t="s">
        <v>145</v>
      </c>
      <c r="G758" s="273"/>
      <c r="H758" s="128" t="s">
        <v>318</v>
      </c>
      <c r="I758" s="80">
        <v>8180556</v>
      </c>
      <c r="J758" s="81" t="s">
        <v>240</v>
      </c>
      <c r="K758" s="81" t="s">
        <v>54</v>
      </c>
      <c r="L758" s="140" t="str">
        <f>IF(AND('331-CT'!$E$7=TH!H758,OR(J758="331",K758="331")),"x","")</f>
        <v/>
      </c>
    </row>
    <row r="759" spans="1:12" ht="14.25" customHeight="1">
      <c r="A759" s="78">
        <f t="shared" si="36"/>
        <v>2015</v>
      </c>
      <c r="B759" s="78">
        <f t="shared" si="37"/>
        <v>8</v>
      </c>
      <c r="C759" s="79">
        <v>42235</v>
      </c>
      <c r="D759" s="79" t="s">
        <v>17</v>
      </c>
      <c r="E759" s="79">
        <f t="shared" si="35"/>
        <v>42235</v>
      </c>
      <c r="F759" s="82" t="s">
        <v>147</v>
      </c>
      <c r="G759" s="273"/>
      <c r="H759" s="128" t="s">
        <v>319</v>
      </c>
      <c r="I759" s="80">
        <v>12270833</v>
      </c>
      <c r="J759" s="81" t="s">
        <v>240</v>
      </c>
      <c r="K759" s="81" t="s">
        <v>54</v>
      </c>
      <c r="L759" s="140" t="str">
        <f>IF(AND('331-CT'!$E$7=TH!H759,OR(J759="331",K759="331")),"x","")</f>
        <v/>
      </c>
    </row>
    <row r="760" spans="1:12" ht="14.25" customHeight="1">
      <c r="A760" s="78">
        <f t="shared" si="36"/>
        <v>2015</v>
      </c>
      <c r="B760" s="78">
        <f t="shared" si="37"/>
        <v>8</v>
      </c>
      <c r="C760" s="79">
        <v>42235</v>
      </c>
      <c r="D760" s="79" t="s">
        <v>17</v>
      </c>
      <c r="E760" s="79">
        <f t="shared" si="35"/>
        <v>42235</v>
      </c>
      <c r="F760" s="82" t="s">
        <v>273</v>
      </c>
      <c r="G760" s="273"/>
      <c r="H760" s="128" t="s">
        <v>320</v>
      </c>
      <c r="I760" s="80">
        <v>16361111</v>
      </c>
      <c r="J760" s="81" t="s">
        <v>240</v>
      </c>
      <c r="K760" s="81" t="s">
        <v>54</v>
      </c>
      <c r="L760" s="140" t="str">
        <f>IF(AND('331-CT'!$E$7=TH!H760,OR(J760="331",K760="331")),"x","")</f>
        <v/>
      </c>
    </row>
    <row r="761" spans="1:12" ht="14.25" customHeight="1">
      <c r="A761" s="78">
        <f t="shared" si="36"/>
        <v>2015</v>
      </c>
      <c r="B761" s="78">
        <f t="shared" si="37"/>
        <v>8</v>
      </c>
      <c r="C761" s="79">
        <v>42235</v>
      </c>
      <c r="D761" s="79" t="s">
        <v>17</v>
      </c>
      <c r="E761" s="79">
        <f t="shared" si="35"/>
        <v>42235</v>
      </c>
      <c r="F761" s="82" t="s">
        <v>303</v>
      </c>
      <c r="G761" s="273"/>
      <c r="H761" s="128" t="s">
        <v>321</v>
      </c>
      <c r="I761" s="80">
        <v>11452778</v>
      </c>
      <c r="J761" s="81" t="s">
        <v>240</v>
      </c>
      <c r="K761" s="81" t="s">
        <v>54</v>
      </c>
      <c r="L761" s="140" t="str">
        <f>IF(AND('331-CT'!$E$7=TH!H761,OR(J761="331",K761="331")),"x","")</f>
        <v/>
      </c>
    </row>
    <row r="762" spans="1:12" ht="14.25" customHeight="1">
      <c r="A762" s="78">
        <f t="shared" si="36"/>
        <v>2015</v>
      </c>
      <c r="B762" s="78">
        <f t="shared" si="37"/>
        <v>8</v>
      </c>
      <c r="C762" s="79">
        <v>42235</v>
      </c>
      <c r="D762" s="79" t="s">
        <v>17</v>
      </c>
      <c r="E762" s="79">
        <f t="shared" si="35"/>
        <v>42235</v>
      </c>
      <c r="F762" s="82" t="s">
        <v>304</v>
      </c>
      <c r="G762" s="273"/>
      <c r="H762" s="128" t="s">
        <v>322</v>
      </c>
      <c r="I762" s="80">
        <v>12270833</v>
      </c>
      <c r="J762" s="81" t="s">
        <v>240</v>
      </c>
      <c r="K762" s="81" t="s">
        <v>54</v>
      </c>
      <c r="L762" s="140" t="str">
        <f>IF(AND('331-CT'!$E$7=TH!H762,OR(J762="331",K762="331")),"x","")</f>
        <v/>
      </c>
    </row>
    <row r="763" spans="1:12" ht="14.25" customHeight="1">
      <c r="A763" s="78">
        <f t="shared" si="36"/>
        <v>2015</v>
      </c>
      <c r="B763" s="78">
        <f t="shared" si="37"/>
        <v>8</v>
      </c>
      <c r="C763" s="79">
        <v>42235</v>
      </c>
      <c r="D763" s="79" t="s">
        <v>17</v>
      </c>
      <c r="E763" s="79">
        <f t="shared" si="35"/>
        <v>42235</v>
      </c>
      <c r="F763" s="82" t="s">
        <v>432</v>
      </c>
      <c r="G763" s="273"/>
      <c r="H763" s="128" t="s">
        <v>324</v>
      </c>
      <c r="I763" s="80">
        <v>12270833</v>
      </c>
      <c r="J763" s="81" t="s">
        <v>240</v>
      </c>
      <c r="K763" s="81" t="s">
        <v>54</v>
      </c>
      <c r="L763" s="140" t="str">
        <f>IF(AND('331-CT'!$E$7=TH!H763,OR(J763="331",K763="331")),"x","")</f>
        <v/>
      </c>
    </row>
    <row r="764" spans="1:12" ht="14.25" customHeight="1">
      <c r="A764" s="78">
        <f t="shared" si="36"/>
        <v>2015</v>
      </c>
      <c r="B764" s="78">
        <f t="shared" si="37"/>
        <v>8</v>
      </c>
      <c r="C764" s="79">
        <v>42235</v>
      </c>
      <c r="D764" s="79" t="s">
        <v>17</v>
      </c>
      <c r="E764" s="79">
        <f t="shared" si="35"/>
        <v>42235</v>
      </c>
      <c r="F764" s="82" t="s">
        <v>479</v>
      </c>
      <c r="G764" s="273"/>
      <c r="H764" s="128" t="s">
        <v>326</v>
      </c>
      <c r="I764" s="80">
        <v>19000000</v>
      </c>
      <c r="J764" s="81" t="s">
        <v>240</v>
      </c>
      <c r="K764" s="81" t="s">
        <v>54</v>
      </c>
      <c r="L764" s="140" t="str">
        <f>IF(AND('331-CT'!$E$7=TH!H764,OR(J764="331",K764="331")),"x","")</f>
        <v/>
      </c>
    </row>
    <row r="765" spans="1:12" ht="14.25" customHeight="1">
      <c r="A765" s="78">
        <f t="shared" si="36"/>
        <v>2015</v>
      </c>
      <c r="B765" s="78">
        <f t="shared" si="37"/>
        <v>8</v>
      </c>
      <c r="C765" s="79">
        <v>42235</v>
      </c>
      <c r="D765" s="79" t="s">
        <v>17</v>
      </c>
      <c r="E765" s="79">
        <f t="shared" si="35"/>
        <v>42235</v>
      </c>
      <c r="F765" s="82" t="s">
        <v>480</v>
      </c>
      <c r="G765" s="273"/>
      <c r="H765" s="128" t="s">
        <v>431</v>
      </c>
      <c r="I765" s="80">
        <v>15833333</v>
      </c>
      <c r="J765" s="81" t="s">
        <v>240</v>
      </c>
      <c r="K765" s="81" t="s">
        <v>54</v>
      </c>
      <c r="L765" s="140" t="str">
        <f>IF(AND('331-CT'!$E$7=TH!H765,OR(J765="331",K765="331")),"x","")</f>
        <v/>
      </c>
    </row>
    <row r="766" spans="1:12" ht="14.25" customHeight="1">
      <c r="A766" s="78">
        <f t="shared" si="36"/>
        <v>2015</v>
      </c>
      <c r="B766" s="78">
        <f t="shared" si="37"/>
        <v>8</v>
      </c>
      <c r="C766" s="79">
        <v>42235</v>
      </c>
      <c r="D766" s="79" t="s">
        <v>17</v>
      </c>
      <c r="E766" s="79">
        <f t="shared" si="35"/>
        <v>42235</v>
      </c>
      <c r="F766" s="82" t="s">
        <v>481</v>
      </c>
      <c r="G766" s="273"/>
      <c r="H766" s="9" t="s">
        <v>455</v>
      </c>
      <c r="I766" s="80">
        <v>33000000</v>
      </c>
      <c r="J766" s="81" t="s">
        <v>18</v>
      </c>
      <c r="K766" s="81" t="s">
        <v>54</v>
      </c>
      <c r="L766" s="140" t="str">
        <f>IF(AND('331-CT'!$E$7=TH!H766,OR(J766="331",K766="331")),"x","")</f>
        <v/>
      </c>
    </row>
    <row r="767" spans="1:12" ht="14.25" customHeight="1">
      <c r="A767" s="78">
        <f t="shared" si="36"/>
        <v>2015</v>
      </c>
      <c r="B767" s="78">
        <f t="shared" si="37"/>
        <v>8</v>
      </c>
      <c r="C767" s="79">
        <v>42235</v>
      </c>
      <c r="D767" s="79" t="s">
        <v>17</v>
      </c>
      <c r="E767" s="79">
        <f t="shared" si="35"/>
        <v>42235</v>
      </c>
      <c r="F767" s="82" t="s">
        <v>34</v>
      </c>
      <c r="G767" s="273"/>
      <c r="H767" s="128"/>
      <c r="I767" s="80">
        <v>20000</v>
      </c>
      <c r="J767" s="81" t="s">
        <v>242</v>
      </c>
      <c r="K767" s="81" t="s">
        <v>54</v>
      </c>
      <c r="L767" s="140" t="str">
        <f>IF(AND('331-CT'!$E$7=TH!H767,OR(J767="331",K767="331")),"x","")</f>
        <v/>
      </c>
    </row>
    <row r="768" spans="1:12" ht="14.25" customHeight="1">
      <c r="A768" s="78">
        <f t="shared" si="36"/>
        <v>2015</v>
      </c>
      <c r="B768" s="78">
        <f t="shared" si="37"/>
        <v>8</v>
      </c>
      <c r="C768" s="79">
        <v>42235</v>
      </c>
      <c r="D768" s="79" t="s">
        <v>17</v>
      </c>
      <c r="E768" s="79">
        <f t="shared" si="35"/>
        <v>42235</v>
      </c>
      <c r="F768" s="82" t="s">
        <v>35</v>
      </c>
      <c r="G768" s="273"/>
      <c r="H768" s="128"/>
      <c r="I768" s="80">
        <v>2000</v>
      </c>
      <c r="J768" s="81" t="s">
        <v>19</v>
      </c>
      <c r="K768" s="81" t="s">
        <v>54</v>
      </c>
      <c r="L768" s="140" t="str">
        <f>IF(AND('331-CT'!$E$7=TH!H768,OR(J768="331",K768="331")),"x","")</f>
        <v/>
      </c>
    </row>
    <row r="769" spans="1:12" ht="14.25" customHeight="1">
      <c r="A769" s="78">
        <f t="shared" si="36"/>
        <v>2015</v>
      </c>
      <c r="B769" s="78">
        <f t="shared" si="37"/>
        <v>8</v>
      </c>
      <c r="C769" s="79">
        <v>42235</v>
      </c>
      <c r="D769" s="79" t="s">
        <v>78</v>
      </c>
      <c r="E769" s="79">
        <f t="shared" si="35"/>
        <v>42235</v>
      </c>
      <c r="F769" s="82" t="s">
        <v>477</v>
      </c>
      <c r="G769" s="273" t="s">
        <v>476</v>
      </c>
      <c r="H769" s="128" t="s">
        <v>190</v>
      </c>
      <c r="I769" s="80">
        <v>268648390</v>
      </c>
      <c r="J769" s="81" t="s">
        <v>669</v>
      </c>
      <c r="K769" s="81" t="s">
        <v>18</v>
      </c>
      <c r="L769" s="140" t="str">
        <f>IF(AND('331-CT'!$E$7=TH!H769,OR(J769="331",K769="331")),"x","")</f>
        <v/>
      </c>
    </row>
    <row r="770" spans="1:12">
      <c r="A770" s="78">
        <f t="shared" si="36"/>
        <v>2015</v>
      </c>
      <c r="B770" s="78">
        <f t="shared" si="37"/>
        <v>8</v>
      </c>
      <c r="C770" s="79">
        <v>42235</v>
      </c>
      <c r="D770" s="79" t="s">
        <v>78</v>
      </c>
      <c r="E770" s="79">
        <f t="shared" si="35"/>
        <v>42235</v>
      </c>
      <c r="F770" s="82" t="s">
        <v>478</v>
      </c>
      <c r="G770" s="273" t="s">
        <v>476</v>
      </c>
      <c r="H770" s="128" t="s">
        <v>190</v>
      </c>
      <c r="I770" s="80">
        <v>26864839</v>
      </c>
      <c r="J770" s="81" t="s">
        <v>19</v>
      </c>
      <c r="K770" s="81" t="s">
        <v>18</v>
      </c>
      <c r="L770" s="140" t="str">
        <f>IF(AND('331-CT'!$E$7=TH!H770,OR(J770="331",K770="331")),"x","")</f>
        <v/>
      </c>
    </row>
    <row r="771" spans="1:12">
      <c r="A771" s="78">
        <f t="shared" si="36"/>
        <v>2015</v>
      </c>
      <c r="B771" s="78">
        <f t="shared" si="37"/>
        <v>8</v>
      </c>
      <c r="C771" s="79">
        <v>42236</v>
      </c>
      <c r="D771" s="79" t="s">
        <v>78</v>
      </c>
      <c r="E771" s="79">
        <f t="shared" si="35"/>
        <v>42236</v>
      </c>
      <c r="F771" s="82" t="s">
        <v>486</v>
      </c>
      <c r="G771" s="273" t="s">
        <v>485</v>
      </c>
      <c r="H771" s="128" t="s">
        <v>300</v>
      </c>
      <c r="I771" s="80">
        <v>54327273</v>
      </c>
      <c r="J771" s="81" t="s">
        <v>669</v>
      </c>
      <c r="K771" s="81" t="s">
        <v>18</v>
      </c>
      <c r="L771" s="140" t="str">
        <f>IF(AND('331-CT'!$E$7=TH!H771,OR(J771="331",K771="331")),"x","")</f>
        <v/>
      </c>
    </row>
    <row r="772" spans="1:12">
      <c r="A772" s="78">
        <f t="shared" si="36"/>
        <v>2015</v>
      </c>
      <c r="B772" s="78">
        <f t="shared" si="37"/>
        <v>8</v>
      </c>
      <c r="C772" s="79">
        <v>42236</v>
      </c>
      <c r="D772" s="79" t="s">
        <v>78</v>
      </c>
      <c r="E772" s="79">
        <f t="shared" si="35"/>
        <v>42236</v>
      </c>
      <c r="F772" s="82" t="s">
        <v>487</v>
      </c>
      <c r="G772" s="273" t="s">
        <v>485</v>
      </c>
      <c r="H772" s="128" t="s">
        <v>300</v>
      </c>
      <c r="I772" s="80">
        <v>5432727</v>
      </c>
      <c r="J772" s="81" t="s">
        <v>19</v>
      </c>
      <c r="K772" s="81" t="s">
        <v>18</v>
      </c>
      <c r="L772" s="140" t="str">
        <f>IF(AND('331-CT'!$E$7=TH!H772,OR(J772="331",K772="331")),"x","")</f>
        <v/>
      </c>
    </row>
    <row r="773" spans="1:12">
      <c r="A773" s="78">
        <f t="shared" si="36"/>
        <v>2015</v>
      </c>
      <c r="B773" s="78">
        <f t="shared" si="37"/>
        <v>8</v>
      </c>
      <c r="C773" s="79">
        <v>42236</v>
      </c>
      <c r="D773" s="79" t="s">
        <v>157</v>
      </c>
      <c r="E773" s="79">
        <f t="shared" si="35"/>
        <v>42236</v>
      </c>
      <c r="F773" s="82" t="s">
        <v>473</v>
      </c>
      <c r="G773" s="278" t="s">
        <v>567</v>
      </c>
      <c r="H773" s="128" t="s">
        <v>474</v>
      </c>
      <c r="I773" s="80">
        <v>15500000</v>
      </c>
      <c r="J773" s="81" t="s">
        <v>669</v>
      </c>
      <c r="K773" s="81" t="s">
        <v>203</v>
      </c>
      <c r="L773" s="140" t="str">
        <f>IF(AND('331-CT'!$E$7=TH!H773,OR(J773="331",K773="331")),"x","")</f>
        <v/>
      </c>
    </row>
    <row r="774" spans="1:12">
      <c r="A774" s="78">
        <f t="shared" si="36"/>
        <v>2015</v>
      </c>
      <c r="B774" s="78">
        <f t="shared" si="37"/>
        <v>8</v>
      </c>
      <c r="C774" s="79">
        <v>42236</v>
      </c>
      <c r="D774" s="79" t="s">
        <v>158</v>
      </c>
      <c r="E774" s="79">
        <f t="shared" si="35"/>
        <v>42236</v>
      </c>
      <c r="F774" s="82" t="s">
        <v>473</v>
      </c>
      <c r="G774" s="278" t="s">
        <v>568</v>
      </c>
      <c r="H774" s="128" t="s">
        <v>475</v>
      </c>
      <c r="I774" s="80">
        <v>3300000</v>
      </c>
      <c r="J774" s="81" t="s">
        <v>669</v>
      </c>
      <c r="K774" s="81" t="s">
        <v>203</v>
      </c>
      <c r="L774" s="140" t="str">
        <f>IF(AND('331-CT'!$E$7=TH!H774,OR(J774="331",K774="331")),"x","")</f>
        <v/>
      </c>
    </row>
    <row r="775" spans="1:12">
      <c r="A775" s="78">
        <f t="shared" si="36"/>
        <v>2015</v>
      </c>
      <c r="B775" s="78">
        <f t="shared" si="37"/>
        <v>8</v>
      </c>
      <c r="C775" s="79">
        <v>42236</v>
      </c>
      <c r="D775" s="79" t="s">
        <v>17</v>
      </c>
      <c r="E775" s="79">
        <f t="shared" si="35"/>
        <v>42236</v>
      </c>
      <c r="F775" s="82" t="s">
        <v>301</v>
      </c>
      <c r="G775" s="273"/>
      <c r="H775" s="128" t="s">
        <v>86</v>
      </c>
      <c r="I775" s="80">
        <v>128400000</v>
      </c>
      <c r="J775" s="81" t="s">
        <v>18</v>
      </c>
      <c r="K775" s="81" t="s">
        <v>54</v>
      </c>
      <c r="L775" s="140" t="str">
        <f>IF(AND('331-CT'!$E$7=TH!H775,OR(J775="331",K775="331")),"x","")</f>
        <v>x</v>
      </c>
    </row>
    <row r="776" spans="1:12">
      <c r="A776" s="78">
        <f t="shared" si="36"/>
        <v>2015</v>
      </c>
      <c r="B776" s="78">
        <f t="shared" si="37"/>
        <v>8</v>
      </c>
      <c r="C776" s="79">
        <v>42236</v>
      </c>
      <c r="D776" s="79" t="s">
        <v>17</v>
      </c>
      <c r="E776" s="79">
        <f t="shared" si="35"/>
        <v>42236</v>
      </c>
      <c r="F776" s="82" t="s">
        <v>34</v>
      </c>
      <c r="G776" s="273"/>
      <c r="H776" s="128"/>
      <c r="I776" s="80">
        <v>60000</v>
      </c>
      <c r="J776" s="81" t="s">
        <v>242</v>
      </c>
      <c r="K776" s="81" t="s">
        <v>54</v>
      </c>
      <c r="L776" s="140" t="str">
        <f>IF(AND('331-CT'!$E$7=TH!H776,OR(J776="331",K776="331")),"x","")</f>
        <v/>
      </c>
    </row>
    <row r="777" spans="1:12">
      <c r="A777" s="78">
        <f t="shared" si="36"/>
        <v>2015</v>
      </c>
      <c r="B777" s="78">
        <f t="shared" si="37"/>
        <v>8</v>
      </c>
      <c r="C777" s="79">
        <v>42236</v>
      </c>
      <c r="D777" s="79" t="s">
        <v>17</v>
      </c>
      <c r="E777" s="79">
        <f t="shared" si="35"/>
        <v>42236</v>
      </c>
      <c r="F777" s="82" t="s">
        <v>35</v>
      </c>
      <c r="G777" s="273"/>
      <c r="H777" s="128"/>
      <c r="I777" s="80">
        <v>6000</v>
      </c>
      <c r="J777" s="81" t="s">
        <v>19</v>
      </c>
      <c r="K777" s="81" t="s">
        <v>54</v>
      </c>
      <c r="L777" s="140" t="str">
        <f>IF(AND('331-CT'!$E$7=TH!H777,OR(J777="331",K777="331")),"x","")</f>
        <v/>
      </c>
    </row>
    <row r="778" spans="1:12" s="115" customFormat="1" ht="25.5">
      <c r="A778" s="78">
        <f t="shared" si="36"/>
        <v>2015</v>
      </c>
      <c r="B778" s="78">
        <f t="shared" si="37"/>
        <v>8</v>
      </c>
      <c r="C778" s="265">
        <v>42236</v>
      </c>
      <c r="D778" s="265" t="s">
        <v>17</v>
      </c>
      <c r="E778" s="265">
        <f t="shared" si="35"/>
        <v>42236</v>
      </c>
      <c r="F778" s="252" t="s">
        <v>482</v>
      </c>
      <c r="G778" s="420"/>
      <c r="H778" s="131" t="s">
        <v>495</v>
      </c>
      <c r="I778" s="266">
        <v>200000000</v>
      </c>
      <c r="J778" s="267" t="s">
        <v>18</v>
      </c>
      <c r="K778" s="267" t="s">
        <v>54</v>
      </c>
      <c r="L778" s="140" t="str">
        <f>IF(AND('331-CT'!$E$7=TH!H778,OR(J778="331",K778="331")),"x","")</f>
        <v/>
      </c>
    </row>
    <row r="779" spans="1:12">
      <c r="A779" s="78">
        <f t="shared" si="36"/>
        <v>2015</v>
      </c>
      <c r="B779" s="78">
        <f t="shared" si="37"/>
        <v>8</v>
      </c>
      <c r="C779" s="79">
        <v>42236</v>
      </c>
      <c r="D779" s="79" t="s">
        <v>17</v>
      </c>
      <c r="E779" s="79">
        <f t="shared" si="35"/>
        <v>42236</v>
      </c>
      <c r="F779" s="82" t="s">
        <v>34</v>
      </c>
      <c r="G779" s="273"/>
      <c r="H779" s="128"/>
      <c r="I779" s="80">
        <v>64200</v>
      </c>
      <c r="J779" s="81" t="s">
        <v>242</v>
      </c>
      <c r="K779" s="81" t="s">
        <v>54</v>
      </c>
      <c r="L779" s="140" t="str">
        <f>IF(AND('331-CT'!$E$7=TH!H779,OR(J779="331",K779="331")),"x","")</f>
        <v/>
      </c>
    </row>
    <row r="780" spans="1:12">
      <c r="A780" s="78">
        <f t="shared" si="36"/>
        <v>2015</v>
      </c>
      <c r="B780" s="78">
        <f t="shared" si="37"/>
        <v>8</v>
      </c>
      <c r="C780" s="79">
        <v>42236</v>
      </c>
      <c r="D780" s="79" t="s">
        <v>17</v>
      </c>
      <c r="E780" s="79">
        <f t="shared" si="35"/>
        <v>42236</v>
      </c>
      <c r="F780" s="82" t="s">
        <v>35</v>
      </c>
      <c r="G780" s="273"/>
      <c r="H780" s="128"/>
      <c r="I780" s="80">
        <v>6420</v>
      </c>
      <c r="J780" s="81" t="s">
        <v>19</v>
      </c>
      <c r="K780" s="81" t="s">
        <v>54</v>
      </c>
      <c r="L780" s="140" t="str">
        <f>IF(AND('331-CT'!$E$7=TH!H780,OR(J780="331",K780="331")),"x","")</f>
        <v/>
      </c>
    </row>
    <row r="781" spans="1:12">
      <c r="A781" s="78">
        <f t="shared" si="36"/>
        <v>2015</v>
      </c>
      <c r="B781" s="78">
        <f t="shared" si="37"/>
        <v>8</v>
      </c>
      <c r="C781" s="136">
        <v>42237</v>
      </c>
      <c r="D781" s="136" t="s">
        <v>163</v>
      </c>
      <c r="E781" s="136">
        <f t="shared" si="35"/>
        <v>42237</v>
      </c>
      <c r="F781" s="137" t="s">
        <v>496</v>
      </c>
      <c r="G781" s="279" t="s">
        <v>569</v>
      </c>
      <c r="H781" s="138" t="s">
        <v>188</v>
      </c>
      <c r="I781" s="139">
        <v>3922000</v>
      </c>
      <c r="J781" s="140" t="s">
        <v>242</v>
      </c>
      <c r="K781" s="140" t="s">
        <v>203</v>
      </c>
      <c r="L781" s="140" t="str">
        <f>IF(AND('331-CT'!$E$7=TH!H781,OR(J781="331",K781="331")),"x","")</f>
        <v/>
      </c>
    </row>
    <row r="782" spans="1:12">
      <c r="A782" s="78">
        <f t="shared" si="36"/>
        <v>2015</v>
      </c>
      <c r="B782" s="78">
        <f t="shared" si="37"/>
        <v>8</v>
      </c>
      <c r="C782" s="79">
        <v>42237</v>
      </c>
      <c r="D782" s="136" t="s">
        <v>163</v>
      </c>
      <c r="E782" s="79">
        <f t="shared" ref="E782:E841" si="38">C782</f>
        <v>42237</v>
      </c>
      <c r="F782" s="82" t="s">
        <v>497</v>
      </c>
      <c r="G782" s="278" t="s">
        <v>569</v>
      </c>
      <c r="H782" s="128" t="s">
        <v>188</v>
      </c>
      <c r="I782" s="80">
        <v>196100</v>
      </c>
      <c r="J782" s="81" t="s">
        <v>19</v>
      </c>
      <c r="K782" s="81" t="s">
        <v>203</v>
      </c>
      <c r="L782" s="140" t="str">
        <f>IF(AND('331-CT'!$E$7=TH!H782,OR(J782="331",K782="331")),"x","")</f>
        <v/>
      </c>
    </row>
    <row r="783" spans="1:12">
      <c r="A783" s="78">
        <f t="shared" si="36"/>
        <v>2015</v>
      </c>
      <c r="B783" s="78">
        <f t="shared" si="37"/>
        <v>8</v>
      </c>
      <c r="C783" s="79">
        <v>42240</v>
      </c>
      <c r="D783" s="79" t="s">
        <v>21</v>
      </c>
      <c r="E783" s="79">
        <f t="shared" si="38"/>
        <v>42240</v>
      </c>
      <c r="F783" s="82" t="s">
        <v>98</v>
      </c>
      <c r="G783" s="273"/>
      <c r="H783" s="128"/>
      <c r="I783" s="80">
        <v>186494</v>
      </c>
      <c r="J783" s="81" t="s">
        <v>54</v>
      </c>
      <c r="K783" s="81" t="s">
        <v>99</v>
      </c>
      <c r="L783" s="140" t="str">
        <f>IF(AND('331-CT'!$E$7=TH!H783,OR(J783="331",K783="331")),"x","")</f>
        <v/>
      </c>
    </row>
    <row r="784" spans="1:12">
      <c r="A784" s="78">
        <f t="shared" si="36"/>
        <v>2015</v>
      </c>
      <c r="B784" s="78">
        <f t="shared" si="37"/>
        <v>8</v>
      </c>
      <c r="C784" s="79">
        <v>42241</v>
      </c>
      <c r="D784" s="79" t="s">
        <v>164</v>
      </c>
      <c r="E784" s="79">
        <f t="shared" si="38"/>
        <v>42241</v>
      </c>
      <c r="F784" s="82" t="s">
        <v>483</v>
      </c>
      <c r="G784" s="278" t="s">
        <v>570</v>
      </c>
      <c r="H784" s="128" t="s">
        <v>484</v>
      </c>
      <c r="I784" s="80">
        <v>2990000</v>
      </c>
      <c r="J784" s="81" t="s">
        <v>669</v>
      </c>
      <c r="K784" s="81" t="s">
        <v>203</v>
      </c>
      <c r="L784" s="140" t="str">
        <f>IF(AND('331-CT'!$E$7=TH!H784,OR(J784="331",K784="331")),"x","")</f>
        <v/>
      </c>
    </row>
    <row r="785" spans="1:12">
      <c r="A785" s="78">
        <f t="shared" si="36"/>
        <v>2015</v>
      </c>
      <c r="B785" s="78">
        <f t="shared" si="37"/>
        <v>8</v>
      </c>
      <c r="C785" s="79">
        <v>42241</v>
      </c>
      <c r="D785" s="79" t="s">
        <v>17</v>
      </c>
      <c r="E785" s="79">
        <f t="shared" si="38"/>
        <v>42241</v>
      </c>
      <c r="F785" s="82" t="s">
        <v>301</v>
      </c>
      <c r="G785" s="273"/>
      <c r="H785" s="128" t="s">
        <v>408</v>
      </c>
      <c r="I785" s="80">
        <v>50000000</v>
      </c>
      <c r="J785" s="81" t="s">
        <v>18</v>
      </c>
      <c r="K785" s="81" t="s">
        <v>54</v>
      </c>
      <c r="L785" s="140" t="str">
        <f>IF(AND('331-CT'!$E$7=TH!H785,OR(J785="331",K785="331")),"x","")</f>
        <v/>
      </c>
    </row>
    <row r="786" spans="1:12">
      <c r="A786" s="78">
        <f t="shared" si="36"/>
        <v>2015</v>
      </c>
      <c r="B786" s="78">
        <f t="shared" si="37"/>
        <v>8</v>
      </c>
      <c r="C786" s="79">
        <v>42241</v>
      </c>
      <c r="D786" s="79" t="s">
        <v>17</v>
      </c>
      <c r="E786" s="79">
        <f t="shared" si="38"/>
        <v>42241</v>
      </c>
      <c r="F786" s="82" t="s">
        <v>34</v>
      </c>
      <c r="G786" s="273"/>
      <c r="H786" s="128"/>
      <c r="I786" s="80">
        <v>25000</v>
      </c>
      <c r="J786" s="81" t="s">
        <v>242</v>
      </c>
      <c r="K786" s="81" t="s">
        <v>54</v>
      </c>
      <c r="L786" s="140" t="str">
        <f>IF(AND('331-CT'!$E$7=TH!H786,OR(J786="331",K786="331")),"x","")</f>
        <v/>
      </c>
    </row>
    <row r="787" spans="1:12">
      <c r="A787" s="78">
        <f t="shared" si="36"/>
        <v>2015</v>
      </c>
      <c r="B787" s="78">
        <f t="shared" si="37"/>
        <v>8</v>
      </c>
      <c r="C787" s="79">
        <v>42241</v>
      </c>
      <c r="D787" s="79" t="s">
        <v>17</v>
      </c>
      <c r="E787" s="79">
        <f t="shared" si="38"/>
        <v>42241</v>
      </c>
      <c r="F787" s="82" t="s">
        <v>35</v>
      </c>
      <c r="G787" s="273"/>
      <c r="H787" s="128"/>
      <c r="I787" s="80">
        <v>2500</v>
      </c>
      <c r="J787" s="81" t="s">
        <v>19</v>
      </c>
      <c r="K787" s="81" t="s">
        <v>54</v>
      </c>
      <c r="L787" s="140" t="str">
        <f>IF(AND('331-CT'!$E$7=TH!H787,OR(J787="331",K787="331")),"x","")</f>
        <v/>
      </c>
    </row>
    <row r="788" spans="1:12">
      <c r="A788" s="78">
        <f t="shared" si="36"/>
        <v>2015</v>
      </c>
      <c r="B788" s="78">
        <f t="shared" si="37"/>
        <v>8</v>
      </c>
      <c r="C788" s="79">
        <v>42241</v>
      </c>
      <c r="D788" s="79" t="s">
        <v>17</v>
      </c>
      <c r="E788" s="79">
        <f t="shared" si="38"/>
        <v>42241</v>
      </c>
      <c r="F788" s="82" t="s">
        <v>301</v>
      </c>
      <c r="G788" s="273"/>
      <c r="H788" s="128" t="s">
        <v>269</v>
      </c>
      <c r="I788" s="80">
        <v>500000000</v>
      </c>
      <c r="J788" s="81" t="s">
        <v>18</v>
      </c>
      <c r="K788" s="81" t="s">
        <v>54</v>
      </c>
      <c r="L788" s="140" t="str">
        <f>IF(AND('331-CT'!$E$7=TH!H788,OR(J788="331",K788="331")),"x","")</f>
        <v/>
      </c>
    </row>
    <row r="789" spans="1:12">
      <c r="A789" s="78">
        <f t="shared" ref="A789:A841" si="39">IF(C789&lt;&gt;"",YEAR(C789),"")</f>
        <v>2015</v>
      </c>
      <c r="B789" s="78">
        <f t="shared" ref="B789:B841" si="40">IF(C789&lt;&gt;"",MONTH(C789),"")</f>
        <v>8</v>
      </c>
      <c r="C789" s="79">
        <v>42241</v>
      </c>
      <c r="D789" s="79" t="s">
        <v>17</v>
      </c>
      <c r="E789" s="79">
        <f t="shared" si="38"/>
        <v>42241</v>
      </c>
      <c r="F789" s="82" t="s">
        <v>34</v>
      </c>
      <c r="G789" s="273"/>
      <c r="H789" s="128"/>
      <c r="I789" s="80">
        <v>250000</v>
      </c>
      <c r="J789" s="81" t="s">
        <v>242</v>
      </c>
      <c r="K789" s="81" t="s">
        <v>54</v>
      </c>
      <c r="L789" s="140" t="str">
        <f>IF(AND('331-CT'!$E$7=TH!H789,OR(J789="331",K789="331")),"x","")</f>
        <v/>
      </c>
    </row>
    <row r="790" spans="1:12">
      <c r="A790" s="78">
        <f t="shared" si="39"/>
        <v>2015</v>
      </c>
      <c r="B790" s="78">
        <f t="shared" si="40"/>
        <v>8</v>
      </c>
      <c r="C790" s="79">
        <v>42241</v>
      </c>
      <c r="D790" s="79" t="s">
        <v>17</v>
      </c>
      <c r="E790" s="79">
        <f t="shared" si="38"/>
        <v>42241</v>
      </c>
      <c r="F790" s="82" t="s">
        <v>35</v>
      </c>
      <c r="G790" s="273"/>
      <c r="H790" s="128"/>
      <c r="I790" s="80">
        <v>25000</v>
      </c>
      <c r="J790" s="81" t="s">
        <v>19</v>
      </c>
      <c r="K790" s="81" t="s">
        <v>54</v>
      </c>
      <c r="L790" s="140" t="str">
        <f>IF(AND('331-CT'!$E$7=TH!H790,OR(J790="331",K790="331")),"x","")</f>
        <v/>
      </c>
    </row>
    <row r="791" spans="1:12" s="268" customFormat="1" ht="15" customHeight="1">
      <c r="A791" s="264">
        <f t="shared" si="39"/>
        <v>2015</v>
      </c>
      <c r="B791" s="264">
        <f t="shared" si="40"/>
        <v>8</v>
      </c>
      <c r="C791" s="265">
        <v>42244</v>
      </c>
      <c r="D791" s="79" t="s">
        <v>78</v>
      </c>
      <c r="E791" s="265">
        <f t="shared" si="38"/>
        <v>42244</v>
      </c>
      <c r="F791" s="252" t="s">
        <v>489</v>
      </c>
      <c r="G791" s="273" t="s">
        <v>488</v>
      </c>
      <c r="H791" s="131" t="s">
        <v>138</v>
      </c>
      <c r="I791" s="266">
        <v>2000000000</v>
      </c>
      <c r="J791" s="267" t="s">
        <v>669</v>
      </c>
      <c r="K791" s="267" t="s">
        <v>18</v>
      </c>
      <c r="L791" s="140" t="str">
        <f>IF(AND('331-CT'!$E$7=TH!H791,OR(J791="331",K791="331")),"x","")</f>
        <v/>
      </c>
    </row>
    <row r="792" spans="1:12" s="268" customFormat="1" ht="15" customHeight="1">
      <c r="A792" s="264">
        <f t="shared" si="39"/>
        <v>2015</v>
      </c>
      <c r="B792" s="264">
        <f t="shared" si="40"/>
        <v>8</v>
      </c>
      <c r="C792" s="265">
        <v>42244</v>
      </c>
      <c r="D792" s="79" t="s">
        <v>78</v>
      </c>
      <c r="E792" s="265">
        <f t="shared" si="38"/>
        <v>42244</v>
      </c>
      <c r="F792" s="252" t="s">
        <v>490</v>
      </c>
      <c r="G792" s="273" t="s">
        <v>488</v>
      </c>
      <c r="H792" s="131" t="s">
        <v>138</v>
      </c>
      <c r="I792" s="266">
        <v>200000000</v>
      </c>
      <c r="J792" s="267" t="s">
        <v>19</v>
      </c>
      <c r="K792" s="267" t="s">
        <v>18</v>
      </c>
      <c r="L792" s="140" t="str">
        <f>IF(AND('331-CT'!$E$7=TH!H792,OR(J792="331",K792="331")),"x","")</f>
        <v/>
      </c>
    </row>
    <row r="793" spans="1:12" s="301" customFormat="1" ht="15" customHeight="1">
      <c r="A793" s="296">
        <f t="shared" si="39"/>
        <v>2015</v>
      </c>
      <c r="B793" s="296">
        <f t="shared" si="40"/>
        <v>9</v>
      </c>
      <c r="C793" s="297">
        <v>42248</v>
      </c>
      <c r="D793" s="136" t="s">
        <v>20</v>
      </c>
      <c r="E793" s="297">
        <f t="shared" si="38"/>
        <v>42248</v>
      </c>
      <c r="F793" s="298" t="s">
        <v>593</v>
      </c>
      <c r="G793" s="274"/>
      <c r="H793" s="138" t="s">
        <v>445</v>
      </c>
      <c r="I793" s="299">
        <v>2000000000</v>
      </c>
      <c r="J793" s="300" t="s">
        <v>203</v>
      </c>
      <c r="K793" s="300" t="s">
        <v>39</v>
      </c>
      <c r="L793" s="140" t="str">
        <f>IF(AND('331-CT'!$E$7=TH!H793,OR(J793="331",K793="331")),"x","")</f>
        <v/>
      </c>
    </row>
    <row r="794" spans="1:12">
      <c r="A794" s="78">
        <f t="shared" si="39"/>
        <v>2015</v>
      </c>
      <c r="B794" s="78">
        <f t="shared" si="40"/>
        <v>9</v>
      </c>
      <c r="C794" s="79">
        <v>42248</v>
      </c>
      <c r="D794" s="79" t="s">
        <v>78</v>
      </c>
      <c r="E794" s="79">
        <f t="shared" si="38"/>
        <v>42248</v>
      </c>
      <c r="F794" s="82" t="s">
        <v>492</v>
      </c>
      <c r="G794" s="143" t="s">
        <v>491</v>
      </c>
      <c r="H794" s="9" t="s">
        <v>302</v>
      </c>
      <c r="I794" s="80">
        <v>362727273</v>
      </c>
      <c r="J794" s="267" t="s">
        <v>669</v>
      </c>
      <c r="K794" s="81" t="s">
        <v>18</v>
      </c>
      <c r="L794" s="140" t="str">
        <f>IF(AND('331-CT'!$E$7=TH!H794,OR(J794="331",K794="331")),"x","")</f>
        <v/>
      </c>
    </row>
    <row r="795" spans="1:12">
      <c r="A795" s="78">
        <f t="shared" si="39"/>
        <v>2015</v>
      </c>
      <c r="B795" s="78">
        <f t="shared" si="40"/>
        <v>9</v>
      </c>
      <c r="C795" s="79">
        <v>42248</v>
      </c>
      <c r="D795" s="79" t="s">
        <v>78</v>
      </c>
      <c r="E795" s="79">
        <f t="shared" si="38"/>
        <v>42248</v>
      </c>
      <c r="F795" s="82" t="s">
        <v>492</v>
      </c>
      <c r="G795" s="143" t="s">
        <v>491</v>
      </c>
      <c r="H795" s="9" t="s">
        <v>302</v>
      </c>
      <c r="I795" s="80">
        <v>36272727</v>
      </c>
      <c r="J795" s="81" t="s">
        <v>19</v>
      </c>
      <c r="K795" s="81" t="s">
        <v>18</v>
      </c>
      <c r="L795" s="140" t="str">
        <f>IF(AND('331-CT'!$E$7=TH!H795,OR(J795="331",K795="331")),"x","")</f>
        <v/>
      </c>
    </row>
    <row r="796" spans="1:12" s="258" customFormat="1">
      <c r="A796" s="78">
        <f t="shared" si="39"/>
        <v>2015</v>
      </c>
      <c r="B796" s="78">
        <f t="shared" si="40"/>
        <v>9</v>
      </c>
      <c r="C796" s="79">
        <v>42251</v>
      </c>
      <c r="D796" s="79" t="s">
        <v>73</v>
      </c>
      <c r="E796" s="79">
        <f t="shared" si="38"/>
        <v>42251</v>
      </c>
      <c r="F796" s="82" t="s">
        <v>590</v>
      </c>
      <c r="G796" s="273"/>
      <c r="H796" s="128" t="s">
        <v>272</v>
      </c>
      <c r="I796" s="80">
        <v>300000000</v>
      </c>
      <c r="J796" s="81" t="s">
        <v>54</v>
      </c>
      <c r="K796" s="81" t="s">
        <v>203</v>
      </c>
      <c r="L796" s="140" t="str">
        <f>IF(AND('331-CT'!$E$7=TH!H796,OR(J796="331",K796="331")),"x","")</f>
        <v/>
      </c>
    </row>
    <row r="797" spans="1:12" s="258" customFormat="1">
      <c r="A797" s="78">
        <f t="shared" si="39"/>
        <v>2015</v>
      </c>
      <c r="B797" s="78">
        <f t="shared" si="40"/>
        <v>9</v>
      </c>
      <c r="C797" s="79">
        <v>42251</v>
      </c>
      <c r="D797" s="79" t="s">
        <v>17</v>
      </c>
      <c r="E797" s="79">
        <f t="shared" si="38"/>
        <v>42251</v>
      </c>
      <c r="F797" s="82" t="s">
        <v>301</v>
      </c>
      <c r="G797" s="273"/>
      <c r="H797" s="9" t="s">
        <v>302</v>
      </c>
      <c r="I797" s="80">
        <v>228000000</v>
      </c>
      <c r="J797" s="81" t="s">
        <v>18</v>
      </c>
      <c r="K797" s="81" t="s">
        <v>54</v>
      </c>
      <c r="L797" s="140" t="str">
        <f>IF(AND('331-CT'!$E$7=TH!H797,OR(J797="331",K797="331")),"x","")</f>
        <v/>
      </c>
    </row>
    <row r="798" spans="1:12">
      <c r="A798" s="78">
        <f t="shared" si="39"/>
        <v>2015</v>
      </c>
      <c r="B798" s="78">
        <f t="shared" si="40"/>
        <v>9</v>
      </c>
      <c r="C798" s="79">
        <v>42251</v>
      </c>
      <c r="D798" s="79" t="s">
        <v>17</v>
      </c>
      <c r="E798" s="79">
        <f t="shared" si="38"/>
        <v>42251</v>
      </c>
      <c r="F798" s="82" t="s">
        <v>34</v>
      </c>
      <c r="G798" s="273"/>
      <c r="H798" s="128"/>
      <c r="I798" s="80">
        <v>114000</v>
      </c>
      <c r="J798" s="81" t="s">
        <v>242</v>
      </c>
      <c r="K798" s="81" t="s">
        <v>54</v>
      </c>
      <c r="L798" s="140" t="str">
        <f>IF(AND('331-CT'!$E$7=TH!H798,OR(J798="331",K798="331")),"x","")</f>
        <v/>
      </c>
    </row>
    <row r="799" spans="1:12">
      <c r="A799" s="78">
        <f t="shared" si="39"/>
        <v>2015</v>
      </c>
      <c r="B799" s="78">
        <f t="shared" si="40"/>
        <v>9</v>
      </c>
      <c r="C799" s="79">
        <v>42251</v>
      </c>
      <c r="D799" s="79" t="s">
        <v>17</v>
      </c>
      <c r="E799" s="79">
        <f t="shared" si="38"/>
        <v>42251</v>
      </c>
      <c r="F799" s="82" t="s">
        <v>35</v>
      </c>
      <c r="G799" s="273"/>
      <c r="H799" s="128"/>
      <c r="I799" s="80">
        <v>11400</v>
      </c>
      <c r="J799" s="81" t="s">
        <v>19</v>
      </c>
      <c r="K799" s="81" t="s">
        <v>54</v>
      </c>
      <c r="L799" s="140" t="str">
        <f>IF(AND('331-CT'!$E$7=TH!H799,OR(J799="331",K799="331")),"x","")</f>
        <v/>
      </c>
    </row>
    <row r="800" spans="1:12">
      <c r="A800" s="78">
        <f t="shared" si="39"/>
        <v>2015</v>
      </c>
      <c r="B800" s="78">
        <f t="shared" si="40"/>
        <v>9</v>
      </c>
      <c r="C800" s="79">
        <v>42251</v>
      </c>
      <c r="D800" s="79" t="s">
        <v>17</v>
      </c>
      <c r="E800" s="79">
        <f t="shared" si="38"/>
        <v>42251</v>
      </c>
      <c r="F800" s="82" t="s">
        <v>301</v>
      </c>
      <c r="G800" s="273"/>
      <c r="H800" s="128" t="s">
        <v>190</v>
      </c>
      <c r="I800" s="80">
        <v>150000000</v>
      </c>
      <c r="J800" s="81" t="s">
        <v>18</v>
      </c>
      <c r="K800" s="81" t="s">
        <v>54</v>
      </c>
      <c r="L800" s="140" t="str">
        <f>IF(AND('331-CT'!$E$7=TH!H800,OR(J800="331",K800="331")),"x","")</f>
        <v/>
      </c>
    </row>
    <row r="801" spans="1:12">
      <c r="A801" s="78">
        <f t="shared" si="39"/>
        <v>2015</v>
      </c>
      <c r="B801" s="78">
        <f t="shared" si="40"/>
        <v>9</v>
      </c>
      <c r="C801" s="79">
        <v>42251</v>
      </c>
      <c r="D801" s="79" t="s">
        <v>17</v>
      </c>
      <c r="E801" s="79">
        <f t="shared" si="38"/>
        <v>42251</v>
      </c>
      <c r="F801" s="82" t="s">
        <v>34</v>
      </c>
      <c r="G801" s="273"/>
      <c r="H801" s="128"/>
      <c r="I801" s="80">
        <v>95000</v>
      </c>
      <c r="J801" s="81" t="s">
        <v>242</v>
      </c>
      <c r="K801" s="81" t="s">
        <v>54</v>
      </c>
      <c r="L801" s="140" t="str">
        <f>IF(AND('331-CT'!$E$7=TH!H801,OR(J801="331",K801="331")),"x","")</f>
        <v/>
      </c>
    </row>
    <row r="802" spans="1:12">
      <c r="A802" s="78">
        <f t="shared" si="39"/>
        <v>2015</v>
      </c>
      <c r="B802" s="78">
        <f t="shared" si="40"/>
        <v>9</v>
      </c>
      <c r="C802" s="79">
        <v>42251</v>
      </c>
      <c r="D802" s="79" t="s">
        <v>17</v>
      </c>
      <c r="E802" s="79">
        <f t="shared" si="38"/>
        <v>42251</v>
      </c>
      <c r="F802" s="82" t="s">
        <v>35</v>
      </c>
      <c r="G802" s="273"/>
      <c r="H802" s="128"/>
      <c r="I802" s="80">
        <v>9500</v>
      </c>
      <c r="J802" s="81" t="s">
        <v>19</v>
      </c>
      <c r="K802" s="81" t="s">
        <v>54</v>
      </c>
      <c r="L802" s="140" t="str">
        <f>IF(AND('331-CT'!$E$7=TH!H802,OR(J802="331",K802="331")),"x","")</f>
        <v/>
      </c>
    </row>
    <row r="803" spans="1:12">
      <c r="A803" s="78">
        <f t="shared" si="39"/>
        <v>2015</v>
      </c>
      <c r="B803" s="78">
        <f t="shared" si="40"/>
        <v>9</v>
      </c>
      <c r="C803" s="79">
        <v>42251</v>
      </c>
      <c r="D803" s="79" t="s">
        <v>17</v>
      </c>
      <c r="E803" s="79">
        <f t="shared" si="38"/>
        <v>42251</v>
      </c>
      <c r="F803" s="82" t="s">
        <v>301</v>
      </c>
      <c r="G803" s="273"/>
      <c r="H803" s="128" t="s">
        <v>408</v>
      </c>
      <c r="I803" s="80">
        <v>50000000</v>
      </c>
      <c r="J803" s="81" t="s">
        <v>18</v>
      </c>
      <c r="K803" s="81" t="s">
        <v>54</v>
      </c>
      <c r="L803" s="140" t="str">
        <f>IF(AND('331-CT'!$E$7=TH!H803,OR(J803="331",K803="331")),"x","")</f>
        <v/>
      </c>
    </row>
    <row r="804" spans="1:12">
      <c r="A804" s="78">
        <f t="shared" si="39"/>
        <v>2015</v>
      </c>
      <c r="B804" s="78">
        <f t="shared" si="40"/>
        <v>9</v>
      </c>
      <c r="C804" s="79">
        <v>42251</v>
      </c>
      <c r="D804" s="79" t="s">
        <v>17</v>
      </c>
      <c r="E804" s="79">
        <f t="shared" si="38"/>
        <v>42251</v>
      </c>
      <c r="F804" s="82" t="s">
        <v>34</v>
      </c>
      <c r="G804" s="273"/>
      <c r="H804" s="128"/>
      <c r="I804" s="80">
        <v>25000</v>
      </c>
      <c r="J804" s="81" t="s">
        <v>242</v>
      </c>
      <c r="K804" s="81" t="s">
        <v>54</v>
      </c>
      <c r="L804" s="140" t="str">
        <f>IF(AND('331-CT'!$E$7=TH!H804,OR(J804="331",K804="331")),"x","")</f>
        <v/>
      </c>
    </row>
    <row r="805" spans="1:12">
      <c r="A805" s="78">
        <f t="shared" si="39"/>
        <v>2015</v>
      </c>
      <c r="B805" s="78">
        <f t="shared" si="40"/>
        <v>9</v>
      </c>
      <c r="C805" s="79">
        <v>42251</v>
      </c>
      <c r="D805" s="79" t="s">
        <v>17</v>
      </c>
      <c r="E805" s="79">
        <f t="shared" si="38"/>
        <v>42251</v>
      </c>
      <c r="F805" s="82" t="s">
        <v>35</v>
      </c>
      <c r="G805" s="273"/>
      <c r="H805" s="128"/>
      <c r="I805" s="80">
        <v>2500</v>
      </c>
      <c r="J805" s="81" t="s">
        <v>19</v>
      </c>
      <c r="K805" s="81" t="s">
        <v>54</v>
      </c>
      <c r="L805" s="140" t="str">
        <f>IF(AND('331-CT'!$E$7=TH!H805,OR(J805="331",K805="331")),"x","")</f>
        <v/>
      </c>
    </row>
    <row r="806" spans="1:12">
      <c r="A806" s="253">
        <f t="shared" si="39"/>
        <v>2015</v>
      </c>
      <c r="B806" s="253">
        <f t="shared" si="40"/>
        <v>9</v>
      </c>
      <c r="C806" s="254">
        <v>42254</v>
      </c>
      <c r="D806" s="79" t="s">
        <v>92</v>
      </c>
      <c r="E806" s="254">
        <f t="shared" si="38"/>
        <v>42254</v>
      </c>
      <c r="F806" s="255" t="s">
        <v>493</v>
      </c>
      <c r="G806" s="275"/>
      <c r="H806" s="256" t="s">
        <v>445</v>
      </c>
      <c r="I806" s="257">
        <v>1591000</v>
      </c>
      <c r="J806" s="142" t="s">
        <v>242</v>
      </c>
      <c r="K806" s="142" t="s">
        <v>203</v>
      </c>
      <c r="L806" s="140" t="str">
        <f>IF(AND('331-CT'!$E$7=TH!H806,OR(J806="331",K806="331")),"x","")</f>
        <v/>
      </c>
    </row>
    <row r="807" spans="1:12">
      <c r="A807" s="253">
        <f t="shared" si="39"/>
        <v>2015</v>
      </c>
      <c r="B807" s="253">
        <f t="shared" si="40"/>
        <v>9</v>
      </c>
      <c r="C807" s="254">
        <v>42254</v>
      </c>
      <c r="D807" s="79" t="s">
        <v>92</v>
      </c>
      <c r="E807" s="254">
        <f t="shared" si="38"/>
        <v>42254</v>
      </c>
      <c r="F807" s="255" t="s">
        <v>494</v>
      </c>
      <c r="G807" s="275"/>
      <c r="H807" s="256" t="s">
        <v>445</v>
      </c>
      <c r="I807" s="257">
        <v>159000</v>
      </c>
      <c r="J807" s="142" t="s">
        <v>19</v>
      </c>
      <c r="K807" s="142" t="s">
        <v>203</v>
      </c>
      <c r="L807" s="140" t="str">
        <f>IF(AND('331-CT'!$E$7=TH!H807,OR(J807="331",K807="331")),"x","")</f>
        <v/>
      </c>
    </row>
    <row r="808" spans="1:12">
      <c r="A808" s="78">
        <f t="shared" si="39"/>
        <v>2015</v>
      </c>
      <c r="B808" s="78">
        <f t="shared" si="40"/>
        <v>9</v>
      </c>
      <c r="C808" s="79">
        <v>42261</v>
      </c>
      <c r="D808" s="79" t="s">
        <v>78</v>
      </c>
      <c r="E808" s="79">
        <f t="shared" si="38"/>
        <v>42261</v>
      </c>
      <c r="F808" s="82" t="s">
        <v>506</v>
      </c>
      <c r="G808" s="143" t="s">
        <v>505</v>
      </c>
      <c r="H808" s="128" t="s">
        <v>300</v>
      </c>
      <c r="I808" s="80">
        <v>104460564</v>
      </c>
      <c r="J808" s="81" t="s">
        <v>669</v>
      </c>
      <c r="K808" s="81" t="s">
        <v>18</v>
      </c>
      <c r="L808" s="140" t="str">
        <f>IF(AND('331-CT'!$E$7=TH!H808,OR(J808="331",K808="331")),"x","")</f>
        <v/>
      </c>
    </row>
    <row r="809" spans="1:12">
      <c r="A809" s="78">
        <f t="shared" si="39"/>
        <v>2015</v>
      </c>
      <c r="B809" s="78">
        <f t="shared" si="40"/>
        <v>9</v>
      </c>
      <c r="C809" s="79">
        <v>42261</v>
      </c>
      <c r="D809" s="79" t="s">
        <v>78</v>
      </c>
      <c r="E809" s="79">
        <f t="shared" si="38"/>
        <v>42261</v>
      </c>
      <c r="F809" s="82" t="s">
        <v>507</v>
      </c>
      <c r="G809" s="143" t="s">
        <v>505</v>
      </c>
      <c r="H809" s="128" t="s">
        <v>300</v>
      </c>
      <c r="I809" s="80">
        <v>10446056</v>
      </c>
      <c r="J809" s="81" t="s">
        <v>19</v>
      </c>
      <c r="K809" s="81" t="s">
        <v>18</v>
      </c>
      <c r="L809" s="140" t="str">
        <f>IF(AND('331-CT'!$E$7=TH!H809,OR(J809="331",K809="331")),"x","")</f>
        <v/>
      </c>
    </row>
    <row r="810" spans="1:12">
      <c r="A810" s="78">
        <f t="shared" si="39"/>
        <v>2015</v>
      </c>
      <c r="B810" s="78">
        <f t="shared" si="40"/>
        <v>9</v>
      </c>
      <c r="C810" s="79">
        <v>42263</v>
      </c>
      <c r="D810" s="79" t="s">
        <v>93</v>
      </c>
      <c r="E810" s="79">
        <f t="shared" si="38"/>
        <v>42263</v>
      </c>
      <c r="F810" s="82" t="s">
        <v>499</v>
      </c>
      <c r="G810" s="278" t="s">
        <v>571</v>
      </c>
      <c r="H810" s="128" t="s">
        <v>498</v>
      </c>
      <c r="I810" s="80">
        <v>16600000</v>
      </c>
      <c r="J810" s="81" t="s">
        <v>669</v>
      </c>
      <c r="K810" s="81" t="s">
        <v>203</v>
      </c>
      <c r="L810" s="140" t="str">
        <f>IF(AND('331-CT'!$E$7=TH!H810,OR(J810="331",K810="331")),"x","")</f>
        <v/>
      </c>
    </row>
    <row r="811" spans="1:12">
      <c r="A811" s="78">
        <f t="shared" si="39"/>
        <v>2015</v>
      </c>
      <c r="B811" s="78">
        <f t="shared" si="40"/>
        <v>9</v>
      </c>
      <c r="C811" s="79">
        <v>42263</v>
      </c>
      <c r="D811" s="79" t="s">
        <v>93</v>
      </c>
      <c r="E811" s="79">
        <f t="shared" si="38"/>
        <v>42263</v>
      </c>
      <c r="F811" s="82" t="s">
        <v>500</v>
      </c>
      <c r="G811" s="278" t="s">
        <v>571</v>
      </c>
      <c r="H811" s="128" t="s">
        <v>498</v>
      </c>
      <c r="I811" s="80">
        <v>1660000</v>
      </c>
      <c r="J811" s="81" t="s">
        <v>19</v>
      </c>
      <c r="K811" s="81" t="s">
        <v>203</v>
      </c>
      <c r="L811" s="140" t="str">
        <f>IF(AND('331-CT'!$E$7=TH!H811,OR(J811="331",K811="331")),"x","")</f>
        <v/>
      </c>
    </row>
    <row r="812" spans="1:12">
      <c r="A812" s="78">
        <f t="shared" si="39"/>
        <v>2015</v>
      </c>
      <c r="B812" s="78">
        <f t="shared" si="40"/>
        <v>9</v>
      </c>
      <c r="C812" s="79">
        <v>42264</v>
      </c>
      <c r="D812" s="79" t="s">
        <v>72</v>
      </c>
      <c r="E812" s="79">
        <f t="shared" si="38"/>
        <v>42264</v>
      </c>
      <c r="F812" s="82" t="s">
        <v>501</v>
      </c>
      <c r="G812" s="278" t="s">
        <v>572</v>
      </c>
      <c r="H812" s="128" t="s">
        <v>498</v>
      </c>
      <c r="I812" s="80">
        <v>18032000</v>
      </c>
      <c r="J812" s="81" t="s">
        <v>669</v>
      </c>
      <c r="K812" s="81" t="s">
        <v>203</v>
      </c>
      <c r="L812" s="140" t="str">
        <f>IF(AND('331-CT'!$E$7=TH!H812,OR(J812="331",K812="331")),"x","")</f>
        <v/>
      </c>
    </row>
    <row r="813" spans="1:12">
      <c r="A813" s="78">
        <f t="shared" si="39"/>
        <v>2015</v>
      </c>
      <c r="B813" s="78">
        <f t="shared" si="40"/>
        <v>9</v>
      </c>
      <c r="C813" s="79">
        <v>42264</v>
      </c>
      <c r="D813" s="79" t="s">
        <v>72</v>
      </c>
      <c r="E813" s="79">
        <f t="shared" si="38"/>
        <v>42264</v>
      </c>
      <c r="F813" s="82" t="s">
        <v>502</v>
      </c>
      <c r="G813" s="278" t="s">
        <v>572</v>
      </c>
      <c r="H813" s="128" t="s">
        <v>498</v>
      </c>
      <c r="I813" s="80">
        <v>1803200</v>
      </c>
      <c r="J813" s="81" t="s">
        <v>19</v>
      </c>
      <c r="K813" s="81" t="s">
        <v>203</v>
      </c>
      <c r="L813" s="140" t="str">
        <f>IF(AND('331-CT'!$E$7=TH!H813,OR(J813="331",K813="331")),"x","")</f>
        <v/>
      </c>
    </row>
    <row r="814" spans="1:12">
      <c r="A814" s="78">
        <f t="shared" si="39"/>
        <v>2015</v>
      </c>
      <c r="B814" s="78">
        <f t="shared" si="40"/>
        <v>9</v>
      </c>
      <c r="C814" s="79">
        <v>42265</v>
      </c>
      <c r="D814" s="79" t="s">
        <v>71</v>
      </c>
      <c r="E814" s="79">
        <f t="shared" si="38"/>
        <v>42265</v>
      </c>
      <c r="F814" s="82" t="s">
        <v>503</v>
      </c>
      <c r="G814" s="278" t="s">
        <v>573</v>
      </c>
      <c r="H814" s="128" t="s">
        <v>498</v>
      </c>
      <c r="I814" s="80">
        <v>11650000</v>
      </c>
      <c r="J814" s="81" t="s">
        <v>669</v>
      </c>
      <c r="K814" s="81" t="s">
        <v>203</v>
      </c>
      <c r="L814" s="140" t="str">
        <f>IF(AND('331-CT'!$E$7=TH!H814,OR(J814="331",K814="331")),"x","")</f>
        <v/>
      </c>
    </row>
    <row r="815" spans="1:12">
      <c r="A815" s="78">
        <f t="shared" si="39"/>
        <v>2015</v>
      </c>
      <c r="B815" s="78">
        <f t="shared" si="40"/>
        <v>9</v>
      </c>
      <c r="C815" s="79">
        <v>42265</v>
      </c>
      <c r="D815" s="79" t="s">
        <v>71</v>
      </c>
      <c r="E815" s="79">
        <f t="shared" si="38"/>
        <v>42265</v>
      </c>
      <c r="F815" s="82" t="s">
        <v>504</v>
      </c>
      <c r="G815" s="278" t="s">
        <v>573</v>
      </c>
      <c r="H815" s="128" t="s">
        <v>498</v>
      </c>
      <c r="I815" s="80">
        <v>1165000</v>
      </c>
      <c r="J815" s="81" t="s">
        <v>19</v>
      </c>
      <c r="K815" s="81" t="s">
        <v>203</v>
      </c>
      <c r="L815" s="140" t="str">
        <f>IF(AND('331-CT'!$E$7=TH!H815,OR(J815="331",K815="331")),"x","")</f>
        <v/>
      </c>
    </row>
    <row r="816" spans="1:12">
      <c r="A816" s="78">
        <f t="shared" si="39"/>
        <v>2015</v>
      </c>
      <c r="B816" s="78">
        <f t="shared" si="40"/>
        <v>9</v>
      </c>
      <c r="C816" s="79">
        <v>42266</v>
      </c>
      <c r="D816" s="79" t="s">
        <v>133</v>
      </c>
      <c r="E816" s="79">
        <f t="shared" si="38"/>
        <v>42266</v>
      </c>
      <c r="F816" s="82" t="s">
        <v>601</v>
      </c>
      <c r="G816" s="278" t="s">
        <v>597</v>
      </c>
      <c r="H816" s="128" t="s">
        <v>599</v>
      </c>
      <c r="I816" s="80">
        <v>1682000</v>
      </c>
      <c r="J816" s="81" t="s">
        <v>669</v>
      </c>
      <c r="K816" s="81" t="s">
        <v>203</v>
      </c>
      <c r="L816" s="140" t="str">
        <f>IF(AND('331-CT'!$E$7=TH!H816,OR(J816="331",K816="331")),"x","")</f>
        <v/>
      </c>
    </row>
    <row r="817" spans="1:12">
      <c r="A817" s="78">
        <f t="shared" si="39"/>
        <v>2015</v>
      </c>
      <c r="B817" s="78">
        <f t="shared" si="40"/>
        <v>9</v>
      </c>
      <c r="C817" s="79">
        <v>42266</v>
      </c>
      <c r="D817" s="79" t="s">
        <v>133</v>
      </c>
      <c r="E817" s="79">
        <f t="shared" si="38"/>
        <v>42266</v>
      </c>
      <c r="F817" s="82" t="s">
        <v>596</v>
      </c>
      <c r="G817" s="278" t="s">
        <v>598</v>
      </c>
      <c r="H817" s="128" t="s">
        <v>600</v>
      </c>
      <c r="I817" s="80">
        <v>8200000</v>
      </c>
      <c r="J817" s="81" t="s">
        <v>669</v>
      </c>
      <c r="K817" s="81" t="s">
        <v>203</v>
      </c>
      <c r="L817" s="140" t="str">
        <f>IF(AND('331-CT'!$E$7=TH!H817,OR(J817="331",K817="331")),"x","")</f>
        <v/>
      </c>
    </row>
    <row r="818" spans="1:12">
      <c r="A818" s="78">
        <f t="shared" si="39"/>
        <v>2015</v>
      </c>
      <c r="B818" s="78">
        <f t="shared" si="40"/>
        <v>9</v>
      </c>
      <c r="C818" s="79">
        <v>42266</v>
      </c>
      <c r="D818" s="79" t="s">
        <v>134</v>
      </c>
      <c r="E818" s="79">
        <f t="shared" si="38"/>
        <v>42266</v>
      </c>
      <c r="F818" s="82" t="s">
        <v>590</v>
      </c>
      <c r="G818" s="273"/>
      <c r="H818" s="128" t="s">
        <v>272</v>
      </c>
      <c r="I818" s="80">
        <v>200000000</v>
      </c>
      <c r="J818" s="81" t="s">
        <v>54</v>
      </c>
      <c r="K818" s="81" t="s">
        <v>203</v>
      </c>
      <c r="L818" s="140" t="str">
        <f>IF(AND('331-CT'!$E$7=TH!H818,OR(J818="331",K818="331")),"x","")</f>
        <v/>
      </c>
    </row>
    <row r="819" spans="1:12">
      <c r="A819" s="78">
        <f t="shared" si="39"/>
        <v>2015</v>
      </c>
      <c r="B819" s="78">
        <f t="shared" si="40"/>
        <v>9</v>
      </c>
      <c r="C819" s="79">
        <v>42266</v>
      </c>
      <c r="D819" s="79" t="s">
        <v>17</v>
      </c>
      <c r="E819" s="79">
        <f t="shared" si="38"/>
        <v>42266</v>
      </c>
      <c r="F819" s="82" t="s">
        <v>301</v>
      </c>
      <c r="G819" s="273"/>
      <c r="H819" s="128" t="s">
        <v>300</v>
      </c>
      <c r="I819" s="80">
        <v>201012500</v>
      </c>
      <c r="J819" s="81" t="s">
        <v>18</v>
      </c>
      <c r="K819" s="81" t="s">
        <v>54</v>
      </c>
      <c r="L819" s="140" t="str">
        <f>IF(AND('331-CT'!$E$7=TH!H819,OR(J819="331",K819="331")),"x","")</f>
        <v/>
      </c>
    </row>
    <row r="820" spans="1:12">
      <c r="A820" s="78">
        <f t="shared" si="39"/>
        <v>2015</v>
      </c>
      <c r="B820" s="78">
        <f t="shared" si="40"/>
        <v>9</v>
      </c>
      <c r="C820" s="79">
        <v>42266</v>
      </c>
      <c r="D820" s="79" t="s">
        <v>17</v>
      </c>
      <c r="E820" s="79">
        <f t="shared" si="38"/>
        <v>42266</v>
      </c>
      <c r="F820" s="82" t="s">
        <v>34</v>
      </c>
      <c r="G820" s="273"/>
      <c r="H820" s="128"/>
      <c r="I820" s="80">
        <v>120506</v>
      </c>
      <c r="J820" s="81" t="s">
        <v>242</v>
      </c>
      <c r="K820" s="81" t="s">
        <v>54</v>
      </c>
      <c r="L820" s="140" t="str">
        <f>IF(AND('331-CT'!$E$7=TH!H820,OR(J820="331",K820="331")),"x","")</f>
        <v/>
      </c>
    </row>
    <row r="821" spans="1:12">
      <c r="A821" s="78">
        <f t="shared" si="39"/>
        <v>2015</v>
      </c>
      <c r="B821" s="78">
        <f t="shared" si="40"/>
        <v>9</v>
      </c>
      <c r="C821" s="79">
        <v>42266</v>
      </c>
      <c r="D821" s="79" t="s">
        <v>17</v>
      </c>
      <c r="E821" s="79">
        <f t="shared" si="38"/>
        <v>42266</v>
      </c>
      <c r="F821" s="82" t="s">
        <v>35</v>
      </c>
      <c r="G821" s="273"/>
      <c r="H821" s="128"/>
      <c r="I821" s="80">
        <v>12051</v>
      </c>
      <c r="J821" s="81" t="s">
        <v>19</v>
      </c>
      <c r="K821" s="81" t="s">
        <v>54</v>
      </c>
      <c r="L821" s="140" t="str">
        <f>IF(AND('331-CT'!$E$7=TH!H821,OR(J821="331",K821="331")),"x","")</f>
        <v/>
      </c>
    </row>
    <row r="822" spans="1:12">
      <c r="A822" s="78">
        <f t="shared" si="39"/>
        <v>2015</v>
      </c>
      <c r="B822" s="78">
        <f t="shared" si="40"/>
        <v>9</v>
      </c>
      <c r="C822" s="79">
        <v>42266</v>
      </c>
      <c r="D822" s="79" t="s">
        <v>17</v>
      </c>
      <c r="E822" s="79">
        <f t="shared" si="38"/>
        <v>42266</v>
      </c>
      <c r="F822" s="82" t="s">
        <v>119</v>
      </c>
      <c r="G822" s="273"/>
      <c r="H822" s="128" t="s">
        <v>314</v>
      </c>
      <c r="I822" s="80">
        <v>8180556</v>
      </c>
      <c r="J822" s="81" t="s">
        <v>240</v>
      </c>
      <c r="K822" s="81" t="s">
        <v>54</v>
      </c>
      <c r="L822" s="140" t="str">
        <f>IF(AND('331-CT'!$E$7=TH!H822,OR(J822="331",K822="331")),"x","")</f>
        <v/>
      </c>
    </row>
    <row r="823" spans="1:12">
      <c r="A823" s="78">
        <f t="shared" si="39"/>
        <v>2015</v>
      </c>
      <c r="B823" s="78">
        <f t="shared" si="40"/>
        <v>9</v>
      </c>
      <c r="C823" s="79">
        <v>42266</v>
      </c>
      <c r="D823" s="79" t="s">
        <v>17</v>
      </c>
      <c r="E823" s="79">
        <f t="shared" si="38"/>
        <v>42266</v>
      </c>
      <c r="F823" s="82" t="s">
        <v>141</v>
      </c>
      <c r="G823" s="273"/>
      <c r="H823" s="128" t="s">
        <v>315</v>
      </c>
      <c r="I823" s="80">
        <v>16361111</v>
      </c>
      <c r="J823" s="81" t="s">
        <v>240</v>
      </c>
      <c r="K823" s="81" t="s">
        <v>54</v>
      </c>
      <c r="L823" s="140" t="str">
        <f>IF(AND('331-CT'!$E$7=TH!H823,OR(J823="331",K823="331")),"x","")</f>
        <v/>
      </c>
    </row>
    <row r="824" spans="1:12">
      <c r="A824" s="78">
        <f t="shared" si="39"/>
        <v>2015</v>
      </c>
      <c r="B824" s="78">
        <f t="shared" si="40"/>
        <v>9</v>
      </c>
      <c r="C824" s="79">
        <v>42266</v>
      </c>
      <c r="D824" s="79" t="s">
        <v>17</v>
      </c>
      <c r="E824" s="79">
        <f t="shared" si="38"/>
        <v>42266</v>
      </c>
      <c r="F824" s="82" t="s">
        <v>143</v>
      </c>
      <c r="G824" s="273"/>
      <c r="H824" s="128" t="s">
        <v>317</v>
      </c>
      <c r="I824" s="80">
        <v>13088889</v>
      </c>
      <c r="J824" s="81" t="s">
        <v>240</v>
      </c>
      <c r="K824" s="81" t="s">
        <v>54</v>
      </c>
      <c r="L824" s="140" t="str">
        <f>IF(AND('331-CT'!$E$7=TH!H824,OR(J824="331",K824="331")),"x","")</f>
        <v/>
      </c>
    </row>
    <row r="825" spans="1:12">
      <c r="A825" s="78">
        <f t="shared" si="39"/>
        <v>2015</v>
      </c>
      <c r="B825" s="78">
        <f t="shared" si="40"/>
        <v>9</v>
      </c>
      <c r="C825" s="79">
        <v>42266</v>
      </c>
      <c r="D825" s="79" t="s">
        <v>17</v>
      </c>
      <c r="E825" s="79">
        <f t="shared" si="38"/>
        <v>42266</v>
      </c>
      <c r="F825" s="82" t="s">
        <v>144</v>
      </c>
      <c r="G825" s="273"/>
      <c r="H825" s="128" t="s">
        <v>316</v>
      </c>
      <c r="I825" s="80">
        <v>12270833</v>
      </c>
      <c r="J825" s="81" t="s">
        <v>240</v>
      </c>
      <c r="K825" s="81" t="s">
        <v>54</v>
      </c>
      <c r="L825" s="140" t="str">
        <f>IF(AND('331-CT'!$E$7=TH!H825,OR(J825="331",K825="331")),"x","")</f>
        <v/>
      </c>
    </row>
    <row r="826" spans="1:12">
      <c r="A826" s="78">
        <f t="shared" si="39"/>
        <v>2015</v>
      </c>
      <c r="B826" s="78">
        <f t="shared" si="40"/>
        <v>9</v>
      </c>
      <c r="C826" s="79">
        <v>42266</v>
      </c>
      <c r="D826" s="79" t="s">
        <v>17</v>
      </c>
      <c r="E826" s="79">
        <f t="shared" si="38"/>
        <v>42266</v>
      </c>
      <c r="F826" s="82" t="s">
        <v>145</v>
      </c>
      <c r="G826" s="273"/>
      <c r="H826" s="128" t="s">
        <v>318</v>
      </c>
      <c r="I826" s="80">
        <v>8180556</v>
      </c>
      <c r="J826" s="81" t="s">
        <v>240</v>
      </c>
      <c r="K826" s="81" t="s">
        <v>54</v>
      </c>
      <c r="L826" s="140" t="str">
        <f>IF(AND('331-CT'!$E$7=TH!H826,OR(J826="331",K826="331")),"x","")</f>
        <v/>
      </c>
    </row>
    <row r="827" spans="1:12">
      <c r="A827" s="78">
        <f t="shared" si="39"/>
        <v>2015</v>
      </c>
      <c r="B827" s="78">
        <f t="shared" si="40"/>
        <v>9</v>
      </c>
      <c r="C827" s="79">
        <v>42266</v>
      </c>
      <c r="D827" s="79" t="s">
        <v>17</v>
      </c>
      <c r="E827" s="79">
        <f t="shared" si="38"/>
        <v>42266</v>
      </c>
      <c r="F827" s="82" t="s">
        <v>147</v>
      </c>
      <c r="G827" s="273"/>
      <c r="H827" s="128" t="s">
        <v>319</v>
      </c>
      <c r="I827" s="80">
        <v>12270833</v>
      </c>
      <c r="J827" s="81" t="s">
        <v>240</v>
      </c>
      <c r="K827" s="81" t="s">
        <v>54</v>
      </c>
      <c r="L827" s="140" t="str">
        <f>IF(AND('331-CT'!$E$7=TH!H827,OR(J827="331",K827="331")),"x","")</f>
        <v/>
      </c>
    </row>
    <row r="828" spans="1:12">
      <c r="A828" s="78">
        <f t="shared" si="39"/>
        <v>2015</v>
      </c>
      <c r="B828" s="78">
        <f t="shared" si="40"/>
        <v>9</v>
      </c>
      <c r="C828" s="79">
        <v>42266</v>
      </c>
      <c r="D828" s="79" t="s">
        <v>17</v>
      </c>
      <c r="E828" s="79">
        <f t="shared" si="38"/>
        <v>42266</v>
      </c>
      <c r="F828" s="82" t="s">
        <v>273</v>
      </c>
      <c r="G828" s="273"/>
      <c r="H828" s="128" t="s">
        <v>320</v>
      </c>
      <c r="I828" s="80">
        <v>16361111</v>
      </c>
      <c r="J828" s="81" t="s">
        <v>240</v>
      </c>
      <c r="K828" s="81" t="s">
        <v>54</v>
      </c>
      <c r="L828" s="140" t="str">
        <f>IF(AND('331-CT'!$E$7=TH!H828,OR(J828="331",K828="331")),"x","")</f>
        <v/>
      </c>
    </row>
    <row r="829" spans="1:12">
      <c r="A829" s="78">
        <f t="shared" si="39"/>
        <v>2015</v>
      </c>
      <c r="B829" s="78">
        <f t="shared" si="40"/>
        <v>9</v>
      </c>
      <c r="C829" s="79">
        <v>42266</v>
      </c>
      <c r="D829" s="79" t="s">
        <v>17</v>
      </c>
      <c r="E829" s="79">
        <f t="shared" si="38"/>
        <v>42266</v>
      </c>
      <c r="F829" s="82" t="s">
        <v>303</v>
      </c>
      <c r="G829" s="273"/>
      <c r="H829" s="128" t="s">
        <v>321</v>
      </c>
      <c r="I829" s="80">
        <v>11452778</v>
      </c>
      <c r="J829" s="81" t="s">
        <v>240</v>
      </c>
      <c r="K829" s="81" t="s">
        <v>54</v>
      </c>
      <c r="L829" s="140" t="str">
        <f>IF(AND('331-CT'!$E$7=TH!H829,OR(J829="331",K829="331")),"x","")</f>
        <v/>
      </c>
    </row>
    <row r="830" spans="1:12">
      <c r="A830" s="78">
        <f t="shared" si="39"/>
        <v>2015</v>
      </c>
      <c r="B830" s="78">
        <f t="shared" si="40"/>
        <v>9</v>
      </c>
      <c r="C830" s="79">
        <v>42266</v>
      </c>
      <c r="D830" s="79" t="s">
        <v>17</v>
      </c>
      <c r="E830" s="79">
        <f t="shared" si="38"/>
        <v>42266</v>
      </c>
      <c r="F830" s="82" t="s">
        <v>304</v>
      </c>
      <c r="G830" s="273"/>
      <c r="H830" s="128" t="s">
        <v>322</v>
      </c>
      <c r="I830" s="80">
        <v>12270833</v>
      </c>
      <c r="J830" s="81" t="s">
        <v>240</v>
      </c>
      <c r="K830" s="81" t="s">
        <v>54</v>
      </c>
      <c r="L830" s="140" t="str">
        <f>IF(AND('331-CT'!$E$7=TH!H830,OR(J830="331",K830="331")),"x","")</f>
        <v/>
      </c>
    </row>
    <row r="831" spans="1:12">
      <c r="A831" s="78">
        <f t="shared" si="39"/>
        <v>2015</v>
      </c>
      <c r="B831" s="78">
        <f t="shared" si="40"/>
        <v>9</v>
      </c>
      <c r="C831" s="79">
        <v>42266</v>
      </c>
      <c r="D831" s="79" t="s">
        <v>17</v>
      </c>
      <c r="E831" s="79">
        <f t="shared" si="38"/>
        <v>42266</v>
      </c>
      <c r="F831" s="82" t="s">
        <v>432</v>
      </c>
      <c r="G831" s="273"/>
      <c r="H831" s="128" t="s">
        <v>324</v>
      </c>
      <c r="I831" s="80">
        <v>12270833</v>
      </c>
      <c r="J831" s="81" t="s">
        <v>240</v>
      </c>
      <c r="K831" s="81" t="s">
        <v>54</v>
      </c>
      <c r="L831" s="140" t="str">
        <f>IF(AND('331-CT'!$E$7=TH!H831,OR(J831="331",K831="331")),"x","")</f>
        <v/>
      </c>
    </row>
    <row r="832" spans="1:12">
      <c r="A832" s="78">
        <f t="shared" si="39"/>
        <v>2015</v>
      </c>
      <c r="B832" s="78">
        <f t="shared" si="40"/>
        <v>9</v>
      </c>
      <c r="C832" s="79">
        <v>42266</v>
      </c>
      <c r="D832" s="79" t="s">
        <v>17</v>
      </c>
      <c r="E832" s="79">
        <f t="shared" si="38"/>
        <v>42266</v>
      </c>
      <c r="F832" s="82" t="s">
        <v>479</v>
      </c>
      <c r="G832" s="273"/>
      <c r="H832" s="128" t="s">
        <v>326</v>
      </c>
      <c r="I832" s="80">
        <v>12270833</v>
      </c>
      <c r="J832" s="81" t="s">
        <v>240</v>
      </c>
      <c r="K832" s="81" t="s">
        <v>54</v>
      </c>
      <c r="L832" s="140" t="str">
        <f>IF(AND('331-CT'!$E$7=TH!H832,OR(J832="331",K832="331")),"x","")</f>
        <v/>
      </c>
    </row>
    <row r="833" spans="1:12">
      <c r="A833" s="78">
        <f t="shared" si="39"/>
        <v>2015</v>
      </c>
      <c r="B833" s="78">
        <f t="shared" si="40"/>
        <v>9</v>
      </c>
      <c r="C833" s="79">
        <v>42266</v>
      </c>
      <c r="D833" s="79" t="s">
        <v>17</v>
      </c>
      <c r="E833" s="79">
        <f t="shared" si="38"/>
        <v>42266</v>
      </c>
      <c r="F833" s="82" t="s">
        <v>480</v>
      </c>
      <c r="G833" s="273"/>
      <c r="H833" s="128" t="s">
        <v>431</v>
      </c>
      <c r="I833" s="80">
        <v>12270833</v>
      </c>
      <c r="J833" s="81" t="s">
        <v>240</v>
      </c>
      <c r="K833" s="81" t="s">
        <v>54</v>
      </c>
      <c r="L833" s="140" t="str">
        <f>IF(AND('331-CT'!$E$7=TH!H833,OR(J833="331",K833="331")),"x","")</f>
        <v/>
      </c>
    </row>
    <row r="834" spans="1:12">
      <c r="A834" s="78">
        <f t="shared" si="39"/>
        <v>2015</v>
      </c>
      <c r="B834" s="78">
        <f t="shared" si="40"/>
        <v>9</v>
      </c>
      <c r="C834" s="79">
        <v>42266</v>
      </c>
      <c r="D834" s="79" t="s">
        <v>17</v>
      </c>
      <c r="E834" s="79">
        <f t="shared" si="38"/>
        <v>42266</v>
      </c>
      <c r="F834" s="82" t="s">
        <v>594</v>
      </c>
      <c r="G834" s="273"/>
      <c r="H834" s="128" t="s">
        <v>436</v>
      </c>
      <c r="I834" s="80">
        <v>13458333</v>
      </c>
      <c r="J834" s="81" t="s">
        <v>240</v>
      </c>
      <c r="K834" s="81" t="s">
        <v>54</v>
      </c>
      <c r="L834" s="140" t="str">
        <f>IF(AND('331-CT'!$E$7=TH!H834,OR(J834="331",K834="331")),"x","")</f>
        <v/>
      </c>
    </row>
    <row r="835" spans="1:12">
      <c r="A835" s="78">
        <f t="shared" si="39"/>
        <v>2015</v>
      </c>
      <c r="B835" s="78">
        <f t="shared" si="40"/>
        <v>9</v>
      </c>
      <c r="C835" s="79">
        <v>42266</v>
      </c>
      <c r="D835" s="79" t="s">
        <v>17</v>
      </c>
      <c r="E835" s="79">
        <f t="shared" si="38"/>
        <v>42266</v>
      </c>
      <c r="F835" s="82" t="s">
        <v>595</v>
      </c>
      <c r="G835" s="273"/>
      <c r="H835" s="128" t="s">
        <v>470</v>
      </c>
      <c r="I835" s="80">
        <v>9763889</v>
      </c>
      <c r="J835" s="81" t="s">
        <v>240</v>
      </c>
      <c r="K835" s="81" t="s">
        <v>54</v>
      </c>
      <c r="L835" s="140" t="str">
        <f>IF(AND('331-CT'!$E$7=TH!H835,OR(J835="331",K835="331")),"x","")</f>
        <v/>
      </c>
    </row>
    <row r="836" spans="1:12">
      <c r="A836" s="78">
        <f t="shared" si="39"/>
        <v>2015</v>
      </c>
      <c r="B836" s="78">
        <f t="shared" si="40"/>
        <v>9</v>
      </c>
      <c r="C836" s="79">
        <v>42266</v>
      </c>
      <c r="D836" s="79" t="s">
        <v>17</v>
      </c>
      <c r="E836" s="79">
        <f t="shared" si="38"/>
        <v>42266</v>
      </c>
      <c r="F836" s="82" t="s">
        <v>625</v>
      </c>
      <c r="G836" s="273"/>
      <c r="H836" s="128"/>
      <c r="I836" s="80">
        <v>50000</v>
      </c>
      <c r="J836" s="81" t="s">
        <v>242</v>
      </c>
      <c r="K836" s="81" t="s">
        <v>54</v>
      </c>
      <c r="L836" s="140" t="str">
        <f>IF(AND('331-CT'!$E$7=TH!H836,OR(J836="331",K836="331")),"x","")</f>
        <v/>
      </c>
    </row>
    <row r="837" spans="1:12">
      <c r="A837" s="78">
        <f t="shared" si="39"/>
        <v>2015</v>
      </c>
      <c r="B837" s="78">
        <f t="shared" si="40"/>
        <v>9</v>
      </c>
      <c r="C837" s="79">
        <v>42266</v>
      </c>
      <c r="D837" s="79" t="s">
        <v>17</v>
      </c>
      <c r="E837" s="79">
        <f t="shared" si="38"/>
        <v>42266</v>
      </c>
      <c r="F837" s="82" t="s">
        <v>44</v>
      </c>
      <c r="G837" s="273"/>
      <c r="H837" s="128"/>
      <c r="I837" s="80">
        <v>5000</v>
      </c>
      <c r="J837" s="81" t="s">
        <v>19</v>
      </c>
      <c r="K837" s="81" t="s">
        <v>54</v>
      </c>
      <c r="L837" s="140" t="str">
        <f>IF(AND('331-CT'!$E$7=TH!H837,OR(J837="331",K837="331")),"x","")</f>
        <v/>
      </c>
    </row>
    <row r="838" spans="1:12">
      <c r="A838" s="78">
        <f t="shared" si="39"/>
        <v>2015</v>
      </c>
      <c r="B838" s="78">
        <f t="shared" si="40"/>
        <v>9</v>
      </c>
      <c r="C838" s="79">
        <v>42266</v>
      </c>
      <c r="D838" s="79" t="s">
        <v>17</v>
      </c>
      <c r="E838" s="79">
        <f t="shared" si="38"/>
        <v>42266</v>
      </c>
      <c r="F838" s="82" t="s">
        <v>626</v>
      </c>
      <c r="G838" s="273"/>
      <c r="H838" s="128"/>
      <c r="I838" s="80">
        <v>50000</v>
      </c>
      <c r="J838" s="81" t="s">
        <v>242</v>
      </c>
      <c r="K838" s="81" t="s">
        <v>54</v>
      </c>
      <c r="L838" s="140" t="str">
        <f>IF(AND('331-CT'!$E$7=TH!H838,OR(J838="331",K838="331")),"x","")</f>
        <v/>
      </c>
    </row>
    <row r="839" spans="1:12">
      <c r="A839" s="78">
        <f t="shared" si="39"/>
        <v>2015</v>
      </c>
      <c r="B839" s="78">
        <f t="shared" si="40"/>
        <v>9</v>
      </c>
      <c r="C839" s="79">
        <v>42266</v>
      </c>
      <c r="D839" s="79" t="s">
        <v>17</v>
      </c>
      <c r="E839" s="79">
        <f t="shared" si="38"/>
        <v>42266</v>
      </c>
      <c r="F839" s="82" t="s">
        <v>44</v>
      </c>
      <c r="G839" s="273"/>
      <c r="H839" s="128"/>
      <c r="I839" s="80">
        <v>5000</v>
      </c>
      <c r="J839" s="81" t="s">
        <v>19</v>
      </c>
      <c r="K839" s="81" t="s">
        <v>54</v>
      </c>
      <c r="L839" s="140" t="str">
        <f>IF(AND('331-CT'!$E$7=TH!H839,OR(J839="331",K839="331")),"x","")</f>
        <v/>
      </c>
    </row>
    <row r="840" spans="1:12">
      <c r="A840" s="78">
        <f t="shared" si="39"/>
        <v>2015</v>
      </c>
      <c r="B840" s="78">
        <f t="shared" si="40"/>
        <v>9</v>
      </c>
      <c r="C840" s="79">
        <v>42268</v>
      </c>
      <c r="D840" s="79" t="s">
        <v>17</v>
      </c>
      <c r="E840" s="79">
        <f t="shared" si="38"/>
        <v>42268</v>
      </c>
      <c r="F840" s="82" t="s">
        <v>95</v>
      </c>
      <c r="G840" s="273"/>
      <c r="H840" s="128"/>
      <c r="I840" s="80">
        <v>100000</v>
      </c>
      <c r="J840" s="81" t="s">
        <v>242</v>
      </c>
      <c r="K840" s="81" t="s">
        <v>54</v>
      </c>
      <c r="L840" s="140" t="str">
        <f>IF(AND('331-CT'!$E$7=TH!H840,OR(J840="331",K840="331")),"x","")</f>
        <v/>
      </c>
    </row>
    <row r="841" spans="1:12">
      <c r="A841" s="78">
        <f t="shared" si="39"/>
        <v>2015</v>
      </c>
      <c r="B841" s="78">
        <f t="shared" si="40"/>
        <v>9</v>
      </c>
      <c r="C841" s="79">
        <v>42268</v>
      </c>
      <c r="D841" s="79" t="s">
        <v>17</v>
      </c>
      <c r="E841" s="79">
        <f t="shared" si="38"/>
        <v>42268</v>
      </c>
      <c r="F841" s="82" t="s">
        <v>96</v>
      </c>
      <c r="G841" s="273"/>
      <c r="H841" s="128"/>
      <c r="I841" s="80">
        <v>10000</v>
      </c>
      <c r="J841" s="81" t="s">
        <v>19</v>
      </c>
      <c r="K841" s="81" t="s">
        <v>54</v>
      </c>
      <c r="L841" s="140" t="str">
        <f>IF(AND('331-CT'!$E$7=TH!H841,OR(J841="331",K841="331")),"x","")</f>
        <v/>
      </c>
    </row>
    <row r="842" spans="1:12">
      <c r="A842" s="78">
        <f t="shared" ref="A842:A905" si="41">IF(C842&lt;&gt;"",YEAR(C842),"")</f>
        <v>2015</v>
      </c>
      <c r="B842" s="78">
        <f t="shared" ref="B842:B905" si="42">IF(C842&lt;&gt;"",MONTH(C842),"")</f>
        <v>9</v>
      </c>
      <c r="C842" s="79">
        <v>42275</v>
      </c>
      <c r="D842" s="79" t="s">
        <v>135</v>
      </c>
      <c r="E842" s="79">
        <v>42275</v>
      </c>
      <c r="F842" s="82" t="s">
        <v>590</v>
      </c>
      <c r="G842" s="273"/>
      <c r="H842" s="128" t="s">
        <v>272</v>
      </c>
      <c r="I842" s="80">
        <v>400000000</v>
      </c>
      <c r="J842" s="81" t="s">
        <v>54</v>
      </c>
      <c r="K842" s="81" t="s">
        <v>203</v>
      </c>
      <c r="L842" s="140" t="str">
        <f>IF(AND('331-CT'!$E$7=TH!H842,OR(J842="331",K842="331")),"x","")</f>
        <v/>
      </c>
    </row>
    <row r="843" spans="1:12">
      <c r="A843" s="78">
        <f t="shared" si="41"/>
        <v>2015</v>
      </c>
      <c r="B843" s="78">
        <f t="shared" si="42"/>
        <v>10</v>
      </c>
      <c r="C843" s="421">
        <v>42278</v>
      </c>
      <c r="D843" s="421" t="s">
        <v>73</v>
      </c>
      <c r="E843" s="421">
        <v>42261</v>
      </c>
      <c r="F843" s="422" t="s">
        <v>609</v>
      </c>
      <c r="G843" s="423" t="s">
        <v>606</v>
      </c>
      <c r="H843" s="424" t="s">
        <v>280</v>
      </c>
      <c r="I843" s="80">
        <v>490600</v>
      </c>
      <c r="J843" s="425" t="s">
        <v>242</v>
      </c>
      <c r="K843" s="425" t="s">
        <v>203</v>
      </c>
      <c r="L843" s="140" t="str">
        <f>IF(AND('331-CT'!$E$7=TH!H843,OR(J843="331",K843="331")),"x","")</f>
        <v/>
      </c>
    </row>
    <row r="844" spans="1:12">
      <c r="A844" s="78">
        <f t="shared" si="41"/>
        <v>2015</v>
      </c>
      <c r="B844" s="78">
        <f t="shared" si="42"/>
        <v>10</v>
      </c>
      <c r="C844" s="421">
        <v>42278</v>
      </c>
      <c r="D844" s="421" t="s">
        <v>73</v>
      </c>
      <c r="E844" s="421">
        <v>42261</v>
      </c>
      <c r="F844" s="422" t="s">
        <v>610</v>
      </c>
      <c r="G844" s="423" t="s">
        <v>606</v>
      </c>
      <c r="H844" s="424" t="s">
        <v>280</v>
      </c>
      <c r="I844" s="80">
        <v>49060</v>
      </c>
      <c r="J844" s="425" t="s">
        <v>19</v>
      </c>
      <c r="K844" s="425" t="s">
        <v>203</v>
      </c>
      <c r="L844" s="140" t="str">
        <f>IF(AND('331-CT'!$E$7=TH!H844,OR(J844="331",K844="331")),"x","")</f>
        <v/>
      </c>
    </row>
    <row r="845" spans="1:12">
      <c r="A845" s="78">
        <f t="shared" si="41"/>
        <v>2015</v>
      </c>
      <c r="B845" s="78">
        <f t="shared" si="42"/>
        <v>10</v>
      </c>
      <c r="C845" s="421">
        <v>42278</v>
      </c>
      <c r="D845" s="421" t="s">
        <v>92</v>
      </c>
      <c r="E845" s="421">
        <v>42273</v>
      </c>
      <c r="F845" s="422" t="s">
        <v>602</v>
      </c>
      <c r="G845" s="423" t="s">
        <v>603</v>
      </c>
      <c r="H845" s="424" t="s">
        <v>604</v>
      </c>
      <c r="I845" s="80">
        <v>12818181</v>
      </c>
      <c r="J845" s="425" t="s">
        <v>669</v>
      </c>
      <c r="K845" s="425" t="s">
        <v>203</v>
      </c>
      <c r="L845" s="140" t="str">
        <f>IF(AND('331-CT'!$E$7=TH!H845,OR(J845="331",K845="331")),"x","")</f>
        <v/>
      </c>
    </row>
    <row r="846" spans="1:12">
      <c r="A846" s="78">
        <f t="shared" si="41"/>
        <v>2015</v>
      </c>
      <c r="B846" s="78">
        <f t="shared" si="42"/>
        <v>10</v>
      </c>
      <c r="C846" s="421">
        <v>42278</v>
      </c>
      <c r="D846" s="421" t="s">
        <v>92</v>
      </c>
      <c r="E846" s="421">
        <v>42273</v>
      </c>
      <c r="F846" s="422" t="s">
        <v>605</v>
      </c>
      <c r="G846" s="423" t="s">
        <v>603</v>
      </c>
      <c r="H846" s="424" t="s">
        <v>604</v>
      </c>
      <c r="I846" s="80">
        <v>1281819</v>
      </c>
      <c r="J846" s="425" t="s">
        <v>19</v>
      </c>
      <c r="K846" s="425" t="s">
        <v>203</v>
      </c>
      <c r="L846" s="140" t="str">
        <f>IF(AND('331-CT'!$E$7=TH!H846,OR(J846="331",K846="331")),"x","")</f>
        <v/>
      </c>
    </row>
    <row r="847" spans="1:12">
      <c r="A847" s="78">
        <f t="shared" si="41"/>
        <v>2015</v>
      </c>
      <c r="B847" s="78">
        <f t="shared" si="42"/>
        <v>10</v>
      </c>
      <c r="C847" s="421">
        <v>42278</v>
      </c>
      <c r="D847" s="421" t="s">
        <v>93</v>
      </c>
      <c r="E847" s="421">
        <v>42278</v>
      </c>
      <c r="F847" s="422" t="s">
        <v>611</v>
      </c>
      <c r="G847" s="423"/>
      <c r="H847" s="424"/>
      <c r="I847" s="80">
        <v>1336364</v>
      </c>
      <c r="J847" s="425" t="s">
        <v>242</v>
      </c>
      <c r="K847" s="425" t="s">
        <v>203</v>
      </c>
      <c r="L847" s="140" t="str">
        <f>IF(AND('331-CT'!$E$7=TH!H847,OR(J847="331",K847="331")),"x","")</f>
        <v/>
      </c>
    </row>
    <row r="848" spans="1:12">
      <c r="A848" s="78">
        <f t="shared" si="41"/>
        <v>2015</v>
      </c>
      <c r="B848" s="78">
        <f t="shared" si="42"/>
        <v>10</v>
      </c>
      <c r="C848" s="421">
        <v>42278</v>
      </c>
      <c r="D848" s="421" t="s">
        <v>93</v>
      </c>
      <c r="E848" s="421">
        <v>42278</v>
      </c>
      <c r="F848" s="422" t="s">
        <v>612</v>
      </c>
      <c r="G848" s="423"/>
      <c r="H848" s="424"/>
      <c r="I848" s="80">
        <v>133636</v>
      </c>
      <c r="J848" s="425" t="s">
        <v>19</v>
      </c>
      <c r="K848" s="425" t="s">
        <v>203</v>
      </c>
      <c r="L848" s="140" t="str">
        <f>IF(AND('331-CT'!$E$7=TH!H848,OR(J848="331",K848="331")),"x","")</f>
        <v/>
      </c>
    </row>
    <row r="849" spans="1:12">
      <c r="A849" s="78">
        <f t="shared" si="41"/>
        <v>2015</v>
      </c>
      <c r="B849" s="78">
        <f t="shared" si="42"/>
        <v>10</v>
      </c>
      <c r="C849" s="421">
        <v>42278</v>
      </c>
      <c r="D849" s="421" t="s">
        <v>72</v>
      </c>
      <c r="E849" s="421">
        <v>42278</v>
      </c>
      <c r="F849" s="422" t="s">
        <v>618</v>
      </c>
      <c r="G849" s="423" t="s">
        <v>619</v>
      </c>
      <c r="H849" s="424" t="s">
        <v>450</v>
      </c>
      <c r="I849" s="80">
        <v>18000000</v>
      </c>
      <c r="J849" s="425" t="s">
        <v>669</v>
      </c>
      <c r="K849" s="425" t="s">
        <v>203</v>
      </c>
      <c r="L849" s="140" t="str">
        <f>IF(AND('331-CT'!$E$7=TH!H849,OR(J849="331",K849="331")),"x","")</f>
        <v/>
      </c>
    </row>
    <row r="850" spans="1:12">
      <c r="A850" s="78">
        <f t="shared" si="41"/>
        <v>2015</v>
      </c>
      <c r="B850" s="78">
        <f t="shared" si="42"/>
        <v>10</v>
      </c>
      <c r="C850" s="421">
        <v>42278</v>
      </c>
      <c r="D850" s="421" t="s">
        <v>72</v>
      </c>
      <c r="E850" s="421">
        <v>42278</v>
      </c>
      <c r="F850" s="422" t="s">
        <v>624</v>
      </c>
      <c r="G850" s="423" t="s">
        <v>619</v>
      </c>
      <c r="H850" s="424" t="s">
        <v>450</v>
      </c>
      <c r="I850" s="80">
        <v>1800000</v>
      </c>
      <c r="J850" s="425" t="s">
        <v>19</v>
      </c>
      <c r="K850" s="425" t="s">
        <v>203</v>
      </c>
      <c r="L850" s="140" t="str">
        <f>IF(AND('331-CT'!$E$7=TH!H850,OR(J850="331",K850="331")),"x","")</f>
        <v/>
      </c>
    </row>
    <row r="851" spans="1:12">
      <c r="A851" s="78">
        <f t="shared" si="41"/>
        <v>2015</v>
      </c>
      <c r="B851" s="78">
        <f t="shared" si="42"/>
        <v>10</v>
      </c>
      <c r="C851" s="421">
        <v>42278</v>
      </c>
      <c r="D851" s="421" t="s">
        <v>78</v>
      </c>
      <c r="E851" s="421">
        <v>42267</v>
      </c>
      <c r="F851" s="422" t="s">
        <v>477</v>
      </c>
      <c r="G851" s="423" t="s">
        <v>607</v>
      </c>
      <c r="H851" s="424" t="s">
        <v>190</v>
      </c>
      <c r="I851" s="80">
        <v>90910870</v>
      </c>
      <c r="J851" s="425" t="s">
        <v>669</v>
      </c>
      <c r="K851" s="425" t="s">
        <v>18</v>
      </c>
      <c r="L851" s="140" t="str">
        <f>IF(AND('331-CT'!$E$7=TH!H851,OR(J851="331",K851="331")),"x","")</f>
        <v/>
      </c>
    </row>
    <row r="852" spans="1:12">
      <c r="A852" s="78">
        <f t="shared" si="41"/>
        <v>2015</v>
      </c>
      <c r="B852" s="78">
        <f t="shared" si="42"/>
        <v>10</v>
      </c>
      <c r="C852" s="421">
        <v>42278</v>
      </c>
      <c r="D852" s="421" t="s">
        <v>78</v>
      </c>
      <c r="E852" s="421">
        <v>42267</v>
      </c>
      <c r="F852" s="422" t="s">
        <v>478</v>
      </c>
      <c r="G852" s="423" t="s">
        <v>607</v>
      </c>
      <c r="H852" s="424" t="s">
        <v>190</v>
      </c>
      <c r="I852" s="80">
        <v>9091087</v>
      </c>
      <c r="J852" s="425" t="s">
        <v>19</v>
      </c>
      <c r="K852" s="425" t="s">
        <v>18</v>
      </c>
      <c r="L852" s="140" t="str">
        <f>IF(AND('331-CT'!$E$7=TH!H852,OR(J852="331",K852="331")),"x","")</f>
        <v/>
      </c>
    </row>
    <row r="853" spans="1:12">
      <c r="A853" s="78">
        <f t="shared" si="41"/>
        <v>2015</v>
      </c>
      <c r="B853" s="78">
        <f t="shared" si="42"/>
        <v>10</v>
      </c>
      <c r="C853" s="421">
        <v>42278</v>
      </c>
      <c r="D853" s="421" t="s">
        <v>78</v>
      </c>
      <c r="E853" s="421">
        <v>42271</v>
      </c>
      <c r="F853" s="422" t="s">
        <v>477</v>
      </c>
      <c r="G853" s="423" t="s">
        <v>608</v>
      </c>
      <c r="H853" s="424" t="s">
        <v>190</v>
      </c>
      <c r="I853" s="80">
        <v>73661009</v>
      </c>
      <c r="J853" s="425" t="s">
        <v>669</v>
      </c>
      <c r="K853" s="425" t="s">
        <v>18</v>
      </c>
      <c r="L853" s="140" t="str">
        <f>IF(AND('331-CT'!$E$7=TH!H853,OR(J853="331",K853="331")),"x","")</f>
        <v/>
      </c>
    </row>
    <row r="854" spans="1:12">
      <c r="A854" s="78">
        <f t="shared" si="41"/>
        <v>2015</v>
      </c>
      <c r="B854" s="78">
        <f t="shared" si="42"/>
        <v>10</v>
      </c>
      <c r="C854" s="421">
        <v>42278</v>
      </c>
      <c r="D854" s="421" t="s">
        <v>78</v>
      </c>
      <c r="E854" s="421">
        <v>42271</v>
      </c>
      <c r="F854" s="422" t="s">
        <v>478</v>
      </c>
      <c r="G854" s="423" t="s">
        <v>608</v>
      </c>
      <c r="H854" s="424" t="s">
        <v>190</v>
      </c>
      <c r="I854" s="80">
        <v>7366100</v>
      </c>
      <c r="J854" s="425" t="s">
        <v>19</v>
      </c>
      <c r="K854" s="425" t="s">
        <v>18</v>
      </c>
      <c r="L854" s="140" t="str">
        <f>IF(AND('331-CT'!$E$7=TH!H854,OR(J854="331",K854="331")),"x","")</f>
        <v/>
      </c>
    </row>
    <row r="855" spans="1:12">
      <c r="A855" s="78">
        <f t="shared" si="41"/>
        <v>2015</v>
      </c>
      <c r="B855" s="78">
        <f t="shared" si="42"/>
        <v>10</v>
      </c>
      <c r="C855" s="421">
        <v>42278</v>
      </c>
      <c r="D855" s="421" t="s">
        <v>71</v>
      </c>
      <c r="E855" s="421">
        <v>42276</v>
      </c>
      <c r="F855" s="422" t="s">
        <v>667</v>
      </c>
      <c r="G855" s="423" t="s">
        <v>662</v>
      </c>
      <c r="H855" s="424" t="s">
        <v>663</v>
      </c>
      <c r="I855" s="80">
        <v>10285400</v>
      </c>
      <c r="J855" s="425" t="s">
        <v>242</v>
      </c>
      <c r="K855" s="425" t="s">
        <v>203</v>
      </c>
      <c r="L855" s="140" t="str">
        <f>IF(AND('331-CT'!$E$7=TH!H855,OR(J855="331",K855="331")),"x","")</f>
        <v/>
      </c>
    </row>
    <row r="856" spans="1:12">
      <c r="A856" s="78">
        <f t="shared" si="41"/>
        <v>2015</v>
      </c>
      <c r="B856" s="78">
        <f t="shared" si="42"/>
        <v>10</v>
      </c>
      <c r="C856" s="421">
        <v>42278</v>
      </c>
      <c r="D856" s="421" t="s">
        <v>71</v>
      </c>
      <c r="E856" s="421">
        <v>42276</v>
      </c>
      <c r="F856" s="422" t="s">
        <v>668</v>
      </c>
      <c r="G856" s="423" t="s">
        <v>662</v>
      </c>
      <c r="H856" s="424" t="s">
        <v>663</v>
      </c>
      <c r="I856" s="80">
        <v>1028540</v>
      </c>
      <c r="J856" s="425" t="s">
        <v>19</v>
      </c>
      <c r="K856" s="425" t="s">
        <v>203</v>
      </c>
      <c r="L856" s="140" t="str">
        <f>IF(AND('331-CT'!$E$7=TH!H856,OR(J856="331",K856="331")),"x","")</f>
        <v/>
      </c>
    </row>
    <row r="857" spans="1:12">
      <c r="A857" s="78">
        <f t="shared" si="41"/>
        <v>2015</v>
      </c>
      <c r="B857" s="78">
        <f t="shared" si="42"/>
        <v>10</v>
      </c>
      <c r="C857" s="421">
        <v>42278</v>
      </c>
      <c r="D857" s="421" t="s">
        <v>17</v>
      </c>
      <c r="E857" s="421">
        <v>42271</v>
      </c>
      <c r="F857" s="422" t="s">
        <v>627</v>
      </c>
      <c r="G857" s="426"/>
      <c r="H857" s="424"/>
      <c r="I857" s="80">
        <v>50000</v>
      </c>
      <c r="J857" s="425" t="s">
        <v>242</v>
      </c>
      <c r="K857" s="425" t="s">
        <v>54</v>
      </c>
      <c r="L857" s="140" t="str">
        <f>IF(AND('331-CT'!$E$7=TH!H857,OR(J857="331",K857="331")),"x","")</f>
        <v/>
      </c>
    </row>
    <row r="858" spans="1:12">
      <c r="A858" s="78">
        <f t="shared" si="41"/>
        <v>2015</v>
      </c>
      <c r="B858" s="78">
        <f t="shared" si="42"/>
        <v>10</v>
      </c>
      <c r="C858" s="421">
        <v>42278</v>
      </c>
      <c r="D858" s="421" t="s">
        <v>17</v>
      </c>
      <c r="E858" s="421">
        <v>42271</v>
      </c>
      <c r="F858" s="422" t="s">
        <v>44</v>
      </c>
      <c r="G858" s="426"/>
      <c r="H858" s="424"/>
      <c r="I858" s="80">
        <v>5000</v>
      </c>
      <c r="J858" s="425" t="s">
        <v>19</v>
      </c>
      <c r="K858" s="425" t="s">
        <v>54</v>
      </c>
      <c r="L858" s="140" t="str">
        <f>IF(AND('331-CT'!$E$7=TH!H858,OR(J858="331",K858="331")),"x","")</f>
        <v/>
      </c>
    </row>
    <row r="859" spans="1:12">
      <c r="A859" s="78">
        <f t="shared" si="41"/>
        <v>2015</v>
      </c>
      <c r="B859" s="78">
        <f t="shared" si="42"/>
        <v>10</v>
      </c>
      <c r="C859" s="421">
        <v>42278</v>
      </c>
      <c r="D859" s="421" t="s">
        <v>17</v>
      </c>
      <c r="E859" s="421">
        <v>42271</v>
      </c>
      <c r="F859" s="422" t="s">
        <v>628</v>
      </c>
      <c r="G859" s="426"/>
      <c r="H859" s="424"/>
      <c r="I859" s="80">
        <v>50000</v>
      </c>
      <c r="J859" s="425" t="s">
        <v>242</v>
      </c>
      <c r="K859" s="425" t="s">
        <v>54</v>
      </c>
      <c r="L859" s="140" t="str">
        <f>IF(AND('331-CT'!$E$7=TH!H859,OR(J859="331",K859="331")),"x","")</f>
        <v/>
      </c>
    </row>
    <row r="860" spans="1:12">
      <c r="A860" s="78">
        <f t="shared" si="41"/>
        <v>2015</v>
      </c>
      <c r="B860" s="78">
        <f t="shared" si="42"/>
        <v>10</v>
      </c>
      <c r="C860" s="421">
        <v>42278</v>
      </c>
      <c r="D860" s="421" t="s">
        <v>17</v>
      </c>
      <c r="E860" s="421">
        <v>42271</v>
      </c>
      <c r="F860" s="422" t="s">
        <v>44</v>
      </c>
      <c r="G860" s="426"/>
      <c r="H860" s="424"/>
      <c r="I860" s="80">
        <v>5000</v>
      </c>
      <c r="J860" s="425" t="s">
        <v>19</v>
      </c>
      <c r="K860" s="425" t="s">
        <v>54</v>
      </c>
      <c r="L860" s="140" t="str">
        <f>IF(AND('331-CT'!$E$7=TH!H860,OR(J860="331",K860="331")),"x","")</f>
        <v/>
      </c>
    </row>
    <row r="861" spans="1:12">
      <c r="A861" s="78">
        <f t="shared" si="41"/>
        <v>2015</v>
      </c>
      <c r="B861" s="78">
        <f t="shared" si="42"/>
        <v>10</v>
      </c>
      <c r="C861" s="421">
        <v>42278</v>
      </c>
      <c r="D861" s="421" t="s">
        <v>21</v>
      </c>
      <c r="E861" s="421">
        <v>42271</v>
      </c>
      <c r="F861" s="422" t="s">
        <v>98</v>
      </c>
      <c r="G861" s="426"/>
      <c r="H861" s="424"/>
      <c r="I861" s="80">
        <v>55871</v>
      </c>
      <c r="J861" s="425" t="s">
        <v>54</v>
      </c>
      <c r="K861" s="425" t="s">
        <v>99</v>
      </c>
      <c r="L861" s="140" t="str">
        <f>IF(AND('331-CT'!$E$7=TH!H861,OR(J861="331",K861="331")),"x","")</f>
        <v/>
      </c>
    </row>
    <row r="862" spans="1:12">
      <c r="A862" s="78">
        <f t="shared" si="41"/>
        <v>2015</v>
      </c>
      <c r="B862" s="78">
        <f t="shared" si="42"/>
        <v>10</v>
      </c>
      <c r="C862" s="421">
        <v>42278</v>
      </c>
      <c r="D862" s="421" t="s">
        <v>17</v>
      </c>
      <c r="E862" s="421">
        <v>42275</v>
      </c>
      <c r="F862" s="422" t="s">
        <v>629</v>
      </c>
      <c r="G862" s="426"/>
      <c r="H862" s="9" t="s">
        <v>306</v>
      </c>
      <c r="I862" s="80">
        <v>400000000</v>
      </c>
      <c r="J862" s="425" t="s">
        <v>18</v>
      </c>
      <c r="K862" s="425" t="s">
        <v>54</v>
      </c>
      <c r="L862" s="140" t="str">
        <f>IF(AND('331-CT'!$E$7=TH!H862,OR(J862="331",K862="331")),"x","")</f>
        <v/>
      </c>
    </row>
    <row r="863" spans="1:12">
      <c r="A863" s="78">
        <f t="shared" si="41"/>
        <v>2015</v>
      </c>
      <c r="B863" s="78">
        <f t="shared" si="42"/>
        <v>10</v>
      </c>
      <c r="C863" s="421">
        <v>42278</v>
      </c>
      <c r="D863" s="421" t="s">
        <v>17</v>
      </c>
      <c r="E863" s="421">
        <v>42275</v>
      </c>
      <c r="F863" s="422" t="s">
        <v>34</v>
      </c>
      <c r="G863" s="426"/>
      <c r="H863" s="424"/>
      <c r="I863" s="80">
        <v>232510</v>
      </c>
      <c r="J863" s="425" t="s">
        <v>242</v>
      </c>
      <c r="K863" s="425" t="s">
        <v>54</v>
      </c>
      <c r="L863" s="140" t="str">
        <f>IF(AND('331-CT'!$E$7=TH!H863,OR(J863="331",K863="331")),"x","")</f>
        <v/>
      </c>
    </row>
    <row r="864" spans="1:12">
      <c r="A864" s="78">
        <f t="shared" si="41"/>
        <v>2015</v>
      </c>
      <c r="B864" s="78">
        <f t="shared" si="42"/>
        <v>10</v>
      </c>
      <c r="C864" s="421">
        <v>42278</v>
      </c>
      <c r="D864" s="421" t="s">
        <v>17</v>
      </c>
      <c r="E864" s="421">
        <v>42275</v>
      </c>
      <c r="F864" s="422" t="s">
        <v>35</v>
      </c>
      <c r="G864" s="426"/>
      <c r="H864" s="424"/>
      <c r="I864" s="80">
        <v>23251</v>
      </c>
      <c r="J864" s="425" t="s">
        <v>19</v>
      </c>
      <c r="K864" s="425" t="s">
        <v>54</v>
      </c>
      <c r="L864" s="140" t="str">
        <f>IF(AND('331-CT'!$E$7=TH!H864,OR(J864="331",K864="331")),"x","")</f>
        <v/>
      </c>
    </row>
    <row r="865" spans="1:12">
      <c r="A865" s="78">
        <f t="shared" si="41"/>
        <v>2015</v>
      </c>
      <c r="B865" s="78">
        <f t="shared" si="42"/>
        <v>10</v>
      </c>
      <c r="C865" s="79">
        <v>42278</v>
      </c>
      <c r="D865" s="421" t="s">
        <v>133</v>
      </c>
      <c r="E865" s="79">
        <f>C865</f>
        <v>42278</v>
      </c>
      <c r="F865" s="82" t="s">
        <v>761</v>
      </c>
      <c r="G865" s="278" t="s">
        <v>762</v>
      </c>
      <c r="H865" s="128" t="s">
        <v>763</v>
      </c>
      <c r="I865" s="80">
        <v>15000000</v>
      </c>
      <c r="J865" s="81" t="s">
        <v>669</v>
      </c>
      <c r="K865" s="81" t="s">
        <v>203</v>
      </c>
      <c r="L865" s="140" t="str">
        <f>IF(AND('331-CT'!$E$7=TH!H865,OR(J865="331",K865="331")),"x","")</f>
        <v/>
      </c>
    </row>
    <row r="866" spans="1:12">
      <c r="A866" s="78">
        <f t="shared" si="41"/>
        <v>2015</v>
      </c>
      <c r="B866" s="78">
        <f t="shared" si="42"/>
        <v>10</v>
      </c>
      <c r="C866" s="79">
        <v>42278</v>
      </c>
      <c r="D866" s="421" t="s">
        <v>133</v>
      </c>
      <c r="E866" s="79">
        <f>C866</f>
        <v>42278</v>
      </c>
      <c r="F866" s="82" t="s">
        <v>764</v>
      </c>
      <c r="G866" s="278" t="s">
        <v>762</v>
      </c>
      <c r="H866" s="128" t="s">
        <v>763</v>
      </c>
      <c r="I866" s="80">
        <v>1500000</v>
      </c>
      <c r="J866" s="81" t="s">
        <v>19</v>
      </c>
      <c r="K866" s="81" t="s">
        <v>203</v>
      </c>
      <c r="L866" s="140" t="str">
        <f>IF(AND('331-CT'!$E$7=TH!H866,OR(J866="331",K866="331")),"x","")</f>
        <v/>
      </c>
    </row>
    <row r="867" spans="1:12">
      <c r="A867" s="78">
        <f t="shared" si="41"/>
        <v>2015</v>
      </c>
      <c r="B867" s="78">
        <f t="shared" si="42"/>
        <v>10</v>
      </c>
      <c r="C867" s="421">
        <v>42279</v>
      </c>
      <c r="D867" s="421" t="s">
        <v>134</v>
      </c>
      <c r="E867" s="421">
        <v>42279</v>
      </c>
      <c r="F867" s="422" t="s">
        <v>590</v>
      </c>
      <c r="G867" s="426"/>
      <c r="H867" s="424" t="s">
        <v>272</v>
      </c>
      <c r="I867" s="80">
        <v>600000000</v>
      </c>
      <c r="J867" s="425" t="s">
        <v>54</v>
      </c>
      <c r="K867" s="425" t="s">
        <v>203</v>
      </c>
      <c r="L867" s="140" t="str">
        <f>IF(AND('331-CT'!$E$7=TH!H867,OR(J867="331",K867="331")),"x","")</f>
        <v/>
      </c>
    </row>
    <row r="868" spans="1:12">
      <c r="A868" s="78">
        <f t="shared" si="41"/>
        <v>2015</v>
      </c>
      <c r="B868" s="78">
        <f t="shared" si="42"/>
        <v>10</v>
      </c>
      <c r="C868" s="421">
        <v>42279</v>
      </c>
      <c r="D868" s="421" t="s">
        <v>135</v>
      </c>
      <c r="E868" s="421">
        <v>42279</v>
      </c>
      <c r="F868" s="422" t="s">
        <v>618</v>
      </c>
      <c r="G868" s="423" t="s">
        <v>620</v>
      </c>
      <c r="H868" s="424" t="s">
        <v>450</v>
      </c>
      <c r="I868" s="80">
        <v>18000000</v>
      </c>
      <c r="J868" s="425" t="s">
        <v>669</v>
      </c>
      <c r="K868" s="425" t="s">
        <v>203</v>
      </c>
      <c r="L868" s="140" t="str">
        <f>IF(AND('331-CT'!$E$7=TH!H868,OR(J868="331",K868="331")),"x","")</f>
        <v/>
      </c>
    </row>
    <row r="869" spans="1:12">
      <c r="A869" s="78">
        <f t="shared" si="41"/>
        <v>2015</v>
      </c>
      <c r="B869" s="78">
        <f t="shared" si="42"/>
        <v>10</v>
      </c>
      <c r="C869" s="421">
        <v>42279</v>
      </c>
      <c r="D869" s="421" t="s">
        <v>135</v>
      </c>
      <c r="E869" s="421">
        <v>42279</v>
      </c>
      <c r="F869" s="422" t="s">
        <v>624</v>
      </c>
      <c r="G869" s="423" t="s">
        <v>620</v>
      </c>
      <c r="H869" s="424" t="s">
        <v>450</v>
      </c>
      <c r="I869" s="80">
        <v>1800000</v>
      </c>
      <c r="J869" s="425" t="s">
        <v>19</v>
      </c>
      <c r="K869" s="425" t="s">
        <v>203</v>
      </c>
      <c r="L869" s="140" t="str">
        <f>IF(AND('331-CT'!$E$7=TH!H869,OR(J869="331",K869="331")),"x","")</f>
        <v/>
      </c>
    </row>
    <row r="870" spans="1:12">
      <c r="A870" s="78">
        <f t="shared" si="41"/>
        <v>2015</v>
      </c>
      <c r="B870" s="78">
        <f t="shared" si="42"/>
        <v>10</v>
      </c>
      <c r="C870" s="421">
        <v>42279</v>
      </c>
      <c r="D870" s="421" t="s">
        <v>78</v>
      </c>
      <c r="E870" s="421">
        <v>42279</v>
      </c>
      <c r="F870" s="422" t="s">
        <v>613</v>
      </c>
      <c r="G870" s="423" t="s">
        <v>615</v>
      </c>
      <c r="H870" s="424" t="s">
        <v>616</v>
      </c>
      <c r="I870" s="80">
        <v>68181818</v>
      </c>
      <c r="J870" s="425" t="s">
        <v>669</v>
      </c>
      <c r="K870" s="425" t="s">
        <v>18</v>
      </c>
      <c r="L870" s="140" t="str">
        <f>IF(AND('331-CT'!$E$7=TH!H870,OR(J870="331",K870="331")),"x","")</f>
        <v/>
      </c>
    </row>
    <row r="871" spans="1:12">
      <c r="A871" s="78">
        <f t="shared" si="41"/>
        <v>2015</v>
      </c>
      <c r="B871" s="78">
        <f t="shared" si="42"/>
        <v>10</v>
      </c>
      <c r="C871" s="421">
        <v>42279</v>
      </c>
      <c r="D871" s="421" t="s">
        <v>78</v>
      </c>
      <c r="E871" s="421">
        <v>42279</v>
      </c>
      <c r="F871" s="422" t="s">
        <v>614</v>
      </c>
      <c r="G871" s="423" t="s">
        <v>615</v>
      </c>
      <c r="H871" s="424" t="s">
        <v>616</v>
      </c>
      <c r="I871" s="80">
        <v>6818182</v>
      </c>
      <c r="J871" s="425" t="s">
        <v>19</v>
      </c>
      <c r="K871" s="425" t="s">
        <v>18</v>
      </c>
      <c r="L871" s="140" t="str">
        <f>IF(AND('331-CT'!$E$7=TH!H871,OR(J871="331",K871="331")),"x","")</f>
        <v/>
      </c>
    </row>
    <row r="872" spans="1:12">
      <c r="A872" s="78">
        <f t="shared" si="41"/>
        <v>2015</v>
      </c>
      <c r="B872" s="78">
        <f t="shared" si="42"/>
        <v>10</v>
      </c>
      <c r="C872" s="421">
        <v>42279</v>
      </c>
      <c r="D872" s="421" t="s">
        <v>17</v>
      </c>
      <c r="E872" s="421">
        <v>42279</v>
      </c>
      <c r="F872" s="422" t="s">
        <v>629</v>
      </c>
      <c r="G872" s="426"/>
      <c r="H872" s="9" t="s">
        <v>190</v>
      </c>
      <c r="I872" s="80">
        <v>150000000</v>
      </c>
      <c r="J872" s="425" t="s">
        <v>18</v>
      </c>
      <c r="K872" s="425" t="s">
        <v>54</v>
      </c>
      <c r="L872" s="140" t="str">
        <f>IF(AND('331-CT'!$E$7=TH!H872,OR(J872="331",K872="331")),"x","")</f>
        <v/>
      </c>
    </row>
    <row r="873" spans="1:12">
      <c r="A873" s="78">
        <f t="shared" si="41"/>
        <v>2015</v>
      </c>
      <c r="B873" s="78">
        <f t="shared" si="42"/>
        <v>10</v>
      </c>
      <c r="C873" s="421">
        <v>42279</v>
      </c>
      <c r="D873" s="421" t="s">
        <v>17</v>
      </c>
      <c r="E873" s="421">
        <v>42279</v>
      </c>
      <c r="F873" s="422" t="s">
        <v>34</v>
      </c>
      <c r="G873" s="426"/>
      <c r="H873" s="424"/>
      <c r="I873" s="80">
        <v>112587</v>
      </c>
      <c r="J873" s="425" t="s">
        <v>242</v>
      </c>
      <c r="K873" s="425" t="s">
        <v>54</v>
      </c>
      <c r="L873" s="140" t="str">
        <f>IF(AND('331-CT'!$E$7=TH!H873,OR(J873="331",K873="331")),"x","")</f>
        <v/>
      </c>
    </row>
    <row r="874" spans="1:12">
      <c r="A874" s="78">
        <f t="shared" si="41"/>
        <v>2015</v>
      </c>
      <c r="B874" s="78">
        <f t="shared" si="42"/>
        <v>10</v>
      </c>
      <c r="C874" s="421">
        <v>42279</v>
      </c>
      <c r="D874" s="421" t="s">
        <v>17</v>
      </c>
      <c r="E874" s="421">
        <v>42279</v>
      </c>
      <c r="F874" s="422" t="s">
        <v>35</v>
      </c>
      <c r="G874" s="426"/>
      <c r="H874" s="424"/>
      <c r="I874" s="80">
        <v>11259</v>
      </c>
      <c r="J874" s="425" t="s">
        <v>19</v>
      </c>
      <c r="K874" s="425" t="s">
        <v>54</v>
      </c>
      <c r="L874" s="140" t="str">
        <f>IF(AND('331-CT'!$E$7=TH!H874,OR(J874="331",K874="331")),"x","")</f>
        <v/>
      </c>
    </row>
    <row r="875" spans="1:12">
      <c r="A875" s="78">
        <f t="shared" si="41"/>
        <v>2015</v>
      </c>
      <c r="B875" s="78">
        <f t="shared" si="42"/>
        <v>10</v>
      </c>
      <c r="C875" s="421">
        <v>42279</v>
      </c>
      <c r="D875" s="421" t="s">
        <v>17</v>
      </c>
      <c r="E875" s="421">
        <v>42279</v>
      </c>
      <c r="F875" s="422" t="s">
        <v>629</v>
      </c>
      <c r="G875" s="426"/>
      <c r="H875" s="9" t="s">
        <v>269</v>
      </c>
      <c r="I875" s="80">
        <v>400000000</v>
      </c>
      <c r="J875" s="425" t="s">
        <v>18</v>
      </c>
      <c r="K875" s="425" t="s">
        <v>54</v>
      </c>
      <c r="L875" s="140" t="str">
        <f>IF(AND('331-CT'!$E$7=TH!H875,OR(J875="331",K875="331")),"x","")</f>
        <v/>
      </c>
    </row>
    <row r="876" spans="1:12">
      <c r="A876" s="78">
        <f t="shared" si="41"/>
        <v>2015</v>
      </c>
      <c r="B876" s="78">
        <f t="shared" si="42"/>
        <v>10</v>
      </c>
      <c r="C876" s="421">
        <v>42279</v>
      </c>
      <c r="D876" s="421" t="s">
        <v>17</v>
      </c>
      <c r="E876" s="421">
        <v>42279</v>
      </c>
      <c r="F876" s="422" t="s">
        <v>34</v>
      </c>
      <c r="G876" s="426"/>
      <c r="H876" s="424"/>
      <c r="I876" s="80">
        <v>320000</v>
      </c>
      <c r="J876" s="425" t="s">
        <v>242</v>
      </c>
      <c r="K876" s="425" t="s">
        <v>54</v>
      </c>
      <c r="L876" s="140" t="str">
        <f>IF(AND('331-CT'!$E$7=TH!H876,OR(J876="331",K876="331")),"x","")</f>
        <v/>
      </c>
    </row>
    <row r="877" spans="1:12">
      <c r="A877" s="78">
        <f t="shared" si="41"/>
        <v>2015</v>
      </c>
      <c r="B877" s="78">
        <f t="shared" si="42"/>
        <v>10</v>
      </c>
      <c r="C877" s="421">
        <v>42279</v>
      </c>
      <c r="D877" s="421" t="s">
        <v>17</v>
      </c>
      <c r="E877" s="421">
        <v>42279</v>
      </c>
      <c r="F877" s="422" t="s">
        <v>35</v>
      </c>
      <c r="G877" s="426"/>
      <c r="H877" s="424"/>
      <c r="I877" s="80">
        <v>32000</v>
      </c>
      <c r="J877" s="425" t="s">
        <v>19</v>
      </c>
      <c r="K877" s="425" t="s">
        <v>54</v>
      </c>
      <c r="L877" s="140" t="str">
        <f>IF(AND('331-CT'!$E$7=TH!H877,OR(J877="331",K877="331")),"x","")</f>
        <v/>
      </c>
    </row>
    <row r="878" spans="1:12">
      <c r="A878" s="78">
        <f t="shared" si="41"/>
        <v>2015</v>
      </c>
      <c r="B878" s="78">
        <f t="shared" si="42"/>
        <v>10</v>
      </c>
      <c r="C878" s="421">
        <v>42280</v>
      </c>
      <c r="D878" s="421" t="s">
        <v>154</v>
      </c>
      <c r="E878" s="421">
        <v>42280</v>
      </c>
      <c r="F878" s="422" t="s">
        <v>618</v>
      </c>
      <c r="G878" s="423" t="s">
        <v>621</v>
      </c>
      <c r="H878" s="424" t="s">
        <v>450</v>
      </c>
      <c r="I878" s="80">
        <v>18000000</v>
      </c>
      <c r="J878" s="425" t="s">
        <v>669</v>
      </c>
      <c r="K878" s="425" t="s">
        <v>203</v>
      </c>
      <c r="L878" s="140" t="str">
        <f>IF(AND('331-CT'!$E$7=TH!H878,OR(J878="331",K878="331")),"x","")</f>
        <v/>
      </c>
    </row>
    <row r="879" spans="1:12">
      <c r="A879" s="78">
        <f t="shared" si="41"/>
        <v>2015</v>
      </c>
      <c r="B879" s="78">
        <f t="shared" si="42"/>
        <v>10</v>
      </c>
      <c r="C879" s="421">
        <v>42280</v>
      </c>
      <c r="D879" s="421" t="s">
        <v>154</v>
      </c>
      <c r="E879" s="421">
        <v>42280</v>
      </c>
      <c r="F879" s="422" t="s">
        <v>624</v>
      </c>
      <c r="G879" s="423" t="s">
        <v>621</v>
      </c>
      <c r="H879" s="424" t="s">
        <v>450</v>
      </c>
      <c r="I879" s="80">
        <v>1800000</v>
      </c>
      <c r="J879" s="425" t="s">
        <v>19</v>
      </c>
      <c r="K879" s="425" t="s">
        <v>203</v>
      </c>
      <c r="L879" s="140" t="str">
        <f>IF(AND('331-CT'!$E$7=TH!H879,OR(J879="331",K879="331")),"x","")</f>
        <v/>
      </c>
    </row>
    <row r="880" spans="1:12">
      <c r="A880" s="78">
        <f t="shared" si="41"/>
        <v>2015</v>
      </c>
      <c r="B880" s="78">
        <f t="shared" si="42"/>
        <v>10</v>
      </c>
      <c r="C880" s="421">
        <v>42281</v>
      </c>
      <c r="D880" s="421" t="s">
        <v>157</v>
      </c>
      <c r="E880" s="421">
        <v>42281</v>
      </c>
      <c r="F880" s="422" t="s">
        <v>618</v>
      </c>
      <c r="G880" s="423" t="s">
        <v>622</v>
      </c>
      <c r="H880" s="424" t="s">
        <v>450</v>
      </c>
      <c r="I880" s="80">
        <v>18000000</v>
      </c>
      <c r="J880" s="425" t="s">
        <v>669</v>
      </c>
      <c r="K880" s="425" t="s">
        <v>203</v>
      </c>
      <c r="L880" s="140" t="str">
        <f>IF(AND('331-CT'!$E$7=TH!H880,OR(J880="331",K880="331")),"x","")</f>
        <v/>
      </c>
    </row>
    <row r="881" spans="1:12">
      <c r="A881" s="78">
        <f t="shared" si="41"/>
        <v>2015</v>
      </c>
      <c r="B881" s="78">
        <f t="shared" si="42"/>
        <v>10</v>
      </c>
      <c r="C881" s="421">
        <v>42281</v>
      </c>
      <c r="D881" s="421" t="s">
        <v>157</v>
      </c>
      <c r="E881" s="421">
        <v>42281</v>
      </c>
      <c r="F881" s="422" t="s">
        <v>624</v>
      </c>
      <c r="G881" s="423" t="s">
        <v>622</v>
      </c>
      <c r="H881" s="424" t="s">
        <v>450</v>
      </c>
      <c r="I881" s="80">
        <v>1800000</v>
      </c>
      <c r="J881" s="425" t="s">
        <v>19</v>
      </c>
      <c r="K881" s="425" t="s">
        <v>203</v>
      </c>
      <c r="L881" s="140" t="str">
        <f>IF(AND('331-CT'!$E$7=TH!H881,OR(J881="331",K881="331")),"x","")</f>
        <v/>
      </c>
    </row>
    <row r="882" spans="1:12">
      <c r="A882" s="78">
        <f t="shared" si="41"/>
        <v>2015</v>
      </c>
      <c r="B882" s="78">
        <f t="shared" si="42"/>
        <v>10</v>
      </c>
      <c r="C882" s="421">
        <v>42281</v>
      </c>
      <c r="D882" s="421" t="s">
        <v>158</v>
      </c>
      <c r="E882" s="421">
        <v>42281</v>
      </c>
      <c r="F882" s="422" t="s">
        <v>630</v>
      </c>
      <c r="G882" s="423" t="s">
        <v>631</v>
      </c>
      <c r="H882" s="424" t="s">
        <v>634</v>
      </c>
      <c r="I882" s="80">
        <v>7848182</v>
      </c>
      <c r="J882" s="425" t="s">
        <v>669</v>
      </c>
      <c r="K882" s="425" t="s">
        <v>203</v>
      </c>
      <c r="L882" s="140" t="str">
        <f>IF(AND('331-CT'!$E$7=TH!H882,OR(J882="331",K882="331")),"x","")</f>
        <v/>
      </c>
    </row>
    <row r="883" spans="1:12">
      <c r="A883" s="78">
        <f t="shared" si="41"/>
        <v>2015</v>
      </c>
      <c r="B883" s="78">
        <f t="shared" si="42"/>
        <v>10</v>
      </c>
      <c r="C883" s="421">
        <v>42281</v>
      </c>
      <c r="D883" s="421" t="s">
        <v>158</v>
      </c>
      <c r="E883" s="421">
        <v>42281</v>
      </c>
      <c r="F883" s="422" t="s">
        <v>633</v>
      </c>
      <c r="G883" s="423" t="s">
        <v>631</v>
      </c>
      <c r="H883" s="424" t="s">
        <v>634</v>
      </c>
      <c r="I883" s="80">
        <v>784818</v>
      </c>
      <c r="J883" s="425" t="s">
        <v>19</v>
      </c>
      <c r="K883" s="425" t="s">
        <v>203</v>
      </c>
      <c r="L883" s="140" t="str">
        <f>IF(AND('331-CT'!$E$7=TH!H883,OR(J883="331",K883="331")),"x","")</f>
        <v/>
      </c>
    </row>
    <row r="884" spans="1:12">
      <c r="A884" s="78">
        <f t="shared" si="41"/>
        <v>2015</v>
      </c>
      <c r="B884" s="78">
        <f t="shared" si="42"/>
        <v>10</v>
      </c>
      <c r="C884" s="421">
        <v>42281</v>
      </c>
      <c r="D884" s="421" t="s">
        <v>158</v>
      </c>
      <c r="E884" s="421">
        <v>42281</v>
      </c>
      <c r="F884" s="422" t="s">
        <v>635</v>
      </c>
      <c r="G884" s="423" t="s">
        <v>632</v>
      </c>
      <c r="H884" s="424" t="s">
        <v>634</v>
      </c>
      <c r="I884" s="80">
        <v>6666364</v>
      </c>
      <c r="J884" s="425" t="s">
        <v>669</v>
      </c>
      <c r="K884" s="425" t="s">
        <v>203</v>
      </c>
      <c r="L884" s="140" t="str">
        <f>IF(AND('331-CT'!$E$7=TH!H884,OR(J884="331",K884="331")),"x","")</f>
        <v/>
      </c>
    </row>
    <row r="885" spans="1:12">
      <c r="A885" s="78">
        <f t="shared" si="41"/>
        <v>2015</v>
      </c>
      <c r="B885" s="78">
        <f t="shared" si="42"/>
        <v>10</v>
      </c>
      <c r="C885" s="421">
        <v>42281</v>
      </c>
      <c r="D885" s="421" t="s">
        <v>158</v>
      </c>
      <c r="E885" s="421">
        <v>42281</v>
      </c>
      <c r="F885" s="422" t="s">
        <v>636</v>
      </c>
      <c r="G885" s="423" t="s">
        <v>632</v>
      </c>
      <c r="H885" s="424" t="s">
        <v>634</v>
      </c>
      <c r="I885" s="80">
        <v>666636</v>
      </c>
      <c r="J885" s="425" t="s">
        <v>19</v>
      </c>
      <c r="K885" s="425" t="s">
        <v>203</v>
      </c>
      <c r="L885" s="140" t="str">
        <f>IF(AND('331-CT'!$E$7=TH!H885,OR(J885="331",K885="331")),"x","")</f>
        <v/>
      </c>
    </row>
    <row r="886" spans="1:12">
      <c r="A886" s="78">
        <f t="shared" si="41"/>
        <v>2015</v>
      </c>
      <c r="B886" s="78">
        <f t="shared" si="42"/>
        <v>10</v>
      </c>
      <c r="C886" s="421">
        <v>42282</v>
      </c>
      <c r="D886" s="421" t="s">
        <v>163</v>
      </c>
      <c r="E886" s="421">
        <v>42282</v>
      </c>
      <c r="F886" s="422" t="s">
        <v>618</v>
      </c>
      <c r="G886" s="423" t="s">
        <v>623</v>
      </c>
      <c r="H886" s="424" t="s">
        <v>450</v>
      </c>
      <c r="I886" s="80">
        <v>18000000</v>
      </c>
      <c r="J886" s="425" t="s">
        <v>669</v>
      </c>
      <c r="K886" s="425" t="s">
        <v>203</v>
      </c>
      <c r="L886" s="140" t="str">
        <f>IF(AND('331-CT'!$E$7=TH!H886,OR(J886="331",K886="331")),"x","")</f>
        <v/>
      </c>
    </row>
    <row r="887" spans="1:12">
      <c r="A887" s="78">
        <f t="shared" si="41"/>
        <v>2015</v>
      </c>
      <c r="B887" s="78">
        <f t="shared" si="42"/>
        <v>10</v>
      </c>
      <c r="C887" s="421">
        <v>42282</v>
      </c>
      <c r="D887" s="421" t="s">
        <v>163</v>
      </c>
      <c r="E887" s="421">
        <v>42282</v>
      </c>
      <c r="F887" s="422" t="s">
        <v>624</v>
      </c>
      <c r="G887" s="423" t="s">
        <v>623</v>
      </c>
      <c r="H887" s="424" t="s">
        <v>450</v>
      </c>
      <c r="I887" s="80">
        <v>1800000</v>
      </c>
      <c r="J887" s="425" t="s">
        <v>19</v>
      </c>
      <c r="K887" s="425" t="s">
        <v>203</v>
      </c>
      <c r="L887" s="140" t="str">
        <f>IF(AND('331-CT'!$E$7=TH!H887,OR(J887="331",K887="331")),"x","")</f>
        <v/>
      </c>
    </row>
    <row r="888" spans="1:12">
      <c r="A888" s="78">
        <f t="shared" si="41"/>
        <v>2015</v>
      </c>
      <c r="B888" s="78">
        <f t="shared" si="42"/>
        <v>10</v>
      </c>
      <c r="C888" s="421">
        <v>42282</v>
      </c>
      <c r="D888" s="421" t="s">
        <v>164</v>
      </c>
      <c r="E888" s="421">
        <v>42282</v>
      </c>
      <c r="F888" s="422" t="s">
        <v>673</v>
      </c>
      <c r="G888" s="423" t="s">
        <v>675</v>
      </c>
      <c r="H888" s="424" t="s">
        <v>357</v>
      </c>
      <c r="I888" s="80">
        <v>5181818</v>
      </c>
      <c r="J888" s="425" t="s">
        <v>669</v>
      </c>
      <c r="K888" s="425" t="s">
        <v>203</v>
      </c>
      <c r="L888" s="140" t="str">
        <f>IF(AND('331-CT'!$E$7=TH!H888,OR(J888="331",K888="331")),"x","")</f>
        <v/>
      </c>
    </row>
    <row r="889" spans="1:12">
      <c r="A889" s="78">
        <f t="shared" si="41"/>
        <v>2015</v>
      </c>
      <c r="B889" s="78">
        <f t="shared" si="42"/>
        <v>10</v>
      </c>
      <c r="C889" s="421">
        <v>42282</v>
      </c>
      <c r="D889" s="421" t="s">
        <v>164</v>
      </c>
      <c r="E889" s="421">
        <v>42282</v>
      </c>
      <c r="F889" s="422" t="s">
        <v>674</v>
      </c>
      <c r="G889" s="423" t="s">
        <v>675</v>
      </c>
      <c r="H889" s="424" t="s">
        <v>357</v>
      </c>
      <c r="I889" s="80">
        <v>518182</v>
      </c>
      <c r="J889" s="425" t="s">
        <v>19</v>
      </c>
      <c r="K889" s="425" t="s">
        <v>203</v>
      </c>
      <c r="L889" s="140" t="str">
        <f>IF(AND('331-CT'!$E$7=TH!H889,OR(J889="331",K889="331")),"x","")</f>
        <v/>
      </c>
    </row>
    <row r="890" spans="1:12">
      <c r="A890" s="78">
        <f t="shared" si="41"/>
        <v>2015</v>
      </c>
      <c r="B890" s="78">
        <f t="shared" si="42"/>
        <v>10</v>
      </c>
      <c r="C890" s="421">
        <v>42283</v>
      </c>
      <c r="D890" s="421" t="s">
        <v>78</v>
      </c>
      <c r="E890" s="421">
        <v>42283</v>
      </c>
      <c r="F890" s="422" t="s">
        <v>644</v>
      </c>
      <c r="G890" s="423" t="s">
        <v>645</v>
      </c>
      <c r="H890" s="424" t="s">
        <v>646</v>
      </c>
      <c r="I890" s="80">
        <v>20382000</v>
      </c>
      <c r="J890" s="425" t="s">
        <v>669</v>
      </c>
      <c r="K890" s="425" t="s">
        <v>18</v>
      </c>
      <c r="L890" s="140" t="str">
        <f>IF(AND('331-CT'!$E$7=TH!H890,OR(J890="331",K890="331")),"x","")</f>
        <v/>
      </c>
    </row>
    <row r="891" spans="1:12">
      <c r="A891" s="78">
        <f t="shared" si="41"/>
        <v>2015</v>
      </c>
      <c r="B891" s="78">
        <f t="shared" si="42"/>
        <v>10</v>
      </c>
      <c r="C891" s="79">
        <v>42283</v>
      </c>
      <c r="D891" s="421" t="s">
        <v>165</v>
      </c>
      <c r="E891" s="79">
        <f>C891</f>
        <v>42283</v>
      </c>
      <c r="F891" s="82" t="s">
        <v>761</v>
      </c>
      <c r="G891" s="278" t="s">
        <v>765</v>
      </c>
      <c r="H891" s="128" t="s">
        <v>763</v>
      </c>
      <c r="I891" s="80">
        <v>15000000</v>
      </c>
      <c r="J891" s="81" t="s">
        <v>669</v>
      </c>
      <c r="K891" s="81" t="s">
        <v>203</v>
      </c>
      <c r="L891" s="140" t="str">
        <f>IF(AND('331-CT'!$E$7=TH!H891,OR(J891="331",K891="331")),"x","")</f>
        <v/>
      </c>
    </row>
    <row r="892" spans="1:12">
      <c r="A892" s="78">
        <f t="shared" si="41"/>
        <v>2015</v>
      </c>
      <c r="B892" s="78">
        <f t="shared" si="42"/>
        <v>10</v>
      </c>
      <c r="C892" s="79">
        <v>42283</v>
      </c>
      <c r="D892" s="421" t="s">
        <v>165</v>
      </c>
      <c r="E892" s="79">
        <f>C892</f>
        <v>42283</v>
      </c>
      <c r="F892" s="82" t="s">
        <v>764</v>
      </c>
      <c r="G892" s="278" t="s">
        <v>765</v>
      </c>
      <c r="H892" s="128" t="s">
        <v>763</v>
      </c>
      <c r="I892" s="80">
        <v>1500000</v>
      </c>
      <c r="J892" s="81" t="s">
        <v>19</v>
      </c>
      <c r="K892" s="81" t="s">
        <v>203</v>
      </c>
      <c r="L892" s="140" t="str">
        <f>IF(AND('331-CT'!$E$7=TH!H892,OR(J892="331",K892="331")),"x","")</f>
        <v/>
      </c>
    </row>
    <row r="893" spans="1:12">
      <c r="A893" s="78">
        <f t="shared" si="41"/>
        <v>2015</v>
      </c>
      <c r="B893" s="78">
        <f t="shared" si="42"/>
        <v>10</v>
      </c>
      <c r="C893" s="421">
        <v>42284</v>
      </c>
      <c r="D893" s="421" t="s">
        <v>166</v>
      </c>
      <c r="E893" s="421">
        <v>42284</v>
      </c>
      <c r="F893" s="422" t="s">
        <v>637</v>
      </c>
      <c r="G893" s="423" t="s">
        <v>638</v>
      </c>
      <c r="H893" s="424" t="s">
        <v>639</v>
      </c>
      <c r="I893" s="80">
        <v>400000</v>
      </c>
      <c r="J893" s="425" t="s">
        <v>669</v>
      </c>
      <c r="K893" s="425" t="s">
        <v>203</v>
      </c>
      <c r="L893" s="140" t="str">
        <f>IF(AND('331-CT'!$E$7=TH!H893,OR(J893="331",K893="331")),"x","")</f>
        <v/>
      </c>
    </row>
    <row r="894" spans="1:12">
      <c r="A894" s="78">
        <f t="shared" si="41"/>
        <v>2015</v>
      </c>
      <c r="B894" s="78">
        <f t="shared" si="42"/>
        <v>10</v>
      </c>
      <c r="C894" s="421">
        <v>42285</v>
      </c>
      <c r="D894" s="421" t="s">
        <v>167</v>
      </c>
      <c r="E894" s="421">
        <v>42285</v>
      </c>
      <c r="F894" s="422" t="s">
        <v>640</v>
      </c>
      <c r="G894" s="423" t="s">
        <v>642</v>
      </c>
      <c r="H894" s="424" t="s">
        <v>643</v>
      </c>
      <c r="I894" s="80">
        <v>2650000</v>
      </c>
      <c r="J894" s="425" t="s">
        <v>669</v>
      </c>
      <c r="K894" s="425" t="s">
        <v>203</v>
      </c>
      <c r="L894" s="140" t="str">
        <f>IF(AND('331-CT'!$E$7=TH!H914,OR(J894="331",K894="331")),"x","")</f>
        <v/>
      </c>
    </row>
    <row r="895" spans="1:12">
      <c r="A895" s="78">
        <f t="shared" si="41"/>
        <v>2015</v>
      </c>
      <c r="B895" s="78">
        <f t="shared" si="42"/>
        <v>10</v>
      </c>
      <c r="C895" s="421">
        <v>42285</v>
      </c>
      <c r="D895" s="421" t="s">
        <v>167</v>
      </c>
      <c r="E895" s="421">
        <v>42285</v>
      </c>
      <c r="F895" s="422" t="s">
        <v>641</v>
      </c>
      <c r="G895" s="423" t="s">
        <v>642</v>
      </c>
      <c r="H895" s="424" t="s">
        <v>643</v>
      </c>
      <c r="I895" s="80">
        <v>265000</v>
      </c>
      <c r="J895" s="425" t="s">
        <v>19</v>
      </c>
      <c r="K895" s="425" t="s">
        <v>203</v>
      </c>
      <c r="L895" s="140" t="str">
        <f>IF(AND('331-CT'!$E$7=TH!H915,OR(J895="331",K895="331")),"x","")</f>
        <v/>
      </c>
    </row>
    <row r="896" spans="1:12">
      <c r="A896" s="78">
        <f t="shared" si="41"/>
        <v>2015</v>
      </c>
      <c r="B896" s="78">
        <f t="shared" si="42"/>
        <v>10</v>
      </c>
      <c r="C896" s="421">
        <v>42285</v>
      </c>
      <c r="D896" s="421" t="s">
        <v>168</v>
      </c>
      <c r="E896" s="421">
        <v>42285</v>
      </c>
      <c r="F896" s="422" t="s">
        <v>651</v>
      </c>
      <c r="G896" s="423" t="s">
        <v>653</v>
      </c>
      <c r="H896" s="424" t="s">
        <v>654</v>
      </c>
      <c r="I896" s="80">
        <v>1338182</v>
      </c>
      <c r="J896" s="425" t="s">
        <v>669</v>
      </c>
      <c r="K896" s="425" t="s">
        <v>203</v>
      </c>
      <c r="L896" s="140" t="str">
        <f>IF(AND('331-CT'!$E$7=TH!H916,OR(J896="331",K896="331")),"x","")</f>
        <v/>
      </c>
    </row>
    <row r="897" spans="1:12">
      <c r="A897" s="78">
        <f t="shared" si="41"/>
        <v>2015</v>
      </c>
      <c r="B897" s="78">
        <f t="shared" si="42"/>
        <v>10</v>
      </c>
      <c r="C897" s="421">
        <v>42285</v>
      </c>
      <c r="D897" s="421" t="s">
        <v>168</v>
      </c>
      <c r="E897" s="421">
        <v>42285</v>
      </c>
      <c r="F897" s="422" t="s">
        <v>652</v>
      </c>
      <c r="G897" s="423" t="s">
        <v>653</v>
      </c>
      <c r="H897" s="424" t="s">
        <v>654</v>
      </c>
      <c r="I897" s="80">
        <v>133818</v>
      </c>
      <c r="J897" s="425" t="s">
        <v>19</v>
      </c>
      <c r="K897" s="425" t="s">
        <v>203</v>
      </c>
      <c r="L897" s="140" t="str">
        <f>IF(AND('331-CT'!$E$7=TH!H894,OR(J897="331",K897="331")),"x","")</f>
        <v/>
      </c>
    </row>
    <row r="898" spans="1:12">
      <c r="A898" s="78">
        <f t="shared" si="41"/>
        <v>2015</v>
      </c>
      <c r="B898" s="78">
        <f t="shared" si="42"/>
        <v>10</v>
      </c>
      <c r="C898" s="421">
        <v>42285</v>
      </c>
      <c r="D898" s="421" t="s">
        <v>17</v>
      </c>
      <c r="E898" s="421">
        <v>42285</v>
      </c>
      <c r="F898" s="422" t="s">
        <v>301</v>
      </c>
      <c r="G898" s="423"/>
      <c r="H898" s="424" t="s">
        <v>408</v>
      </c>
      <c r="I898" s="80">
        <v>30000000</v>
      </c>
      <c r="J898" s="425" t="s">
        <v>18</v>
      </c>
      <c r="K898" s="425" t="s">
        <v>54</v>
      </c>
      <c r="L898" s="140" t="str">
        <f>IF(AND('331-CT'!$E$7=TH!H895,OR(J898="331",K898="331")),"x","")</f>
        <v/>
      </c>
    </row>
    <row r="899" spans="1:12">
      <c r="A899" s="78">
        <f t="shared" si="41"/>
        <v>2015</v>
      </c>
      <c r="B899" s="78">
        <f t="shared" si="42"/>
        <v>10</v>
      </c>
      <c r="C899" s="421">
        <v>42285</v>
      </c>
      <c r="D899" s="421" t="s">
        <v>17</v>
      </c>
      <c r="E899" s="421">
        <v>42285</v>
      </c>
      <c r="F899" s="422" t="s">
        <v>34</v>
      </c>
      <c r="G899" s="423"/>
      <c r="H899" s="424"/>
      <c r="I899" s="80">
        <v>25000</v>
      </c>
      <c r="J899" s="425" t="s">
        <v>242</v>
      </c>
      <c r="K899" s="425" t="s">
        <v>54</v>
      </c>
      <c r="L899" s="140" t="str">
        <f>IF(AND('331-CT'!$E$7=TH!H896,OR(J899="331",K899="331")),"x","")</f>
        <v/>
      </c>
    </row>
    <row r="900" spans="1:12">
      <c r="A900" s="78">
        <f t="shared" si="41"/>
        <v>2015</v>
      </c>
      <c r="B900" s="78">
        <f t="shared" si="42"/>
        <v>10</v>
      </c>
      <c r="C900" s="421">
        <v>42285</v>
      </c>
      <c r="D900" s="421" t="s">
        <v>17</v>
      </c>
      <c r="E900" s="421">
        <v>42285</v>
      </c>
      <c r="F900" s="422" t="s">
        <v>35</v>
      </c>
      <c r="G900" s="423"/>
      <c r="H900" s="424"/>
      <c r="I900" s="80">
        <v>2500</v>
      </c>
      <c r="J900" s="425" t="s">
        <v>19</v>
      </c>
      <c r="K900" s="425" t="s">
        <v>54</v>
      </c>
      <c r="L900" s="140" t="str">
        <f>IF(AND('331-CT'!$E$7=TH!H910,OR(J900="331",K900="331")),"x","")</f>
        <v/>
      </c>
    </row>
    <row r="901" spans="1:12">
      <c r="A901" s="78">
        <f t="shared" si="41"/>
        <v>2015</v>
      </c>
      <c r="B901" s="78">
        <f t="shared" si="42"/>
        <v>10</v>
      </c>
      <c r="C901" s="421">
        <v>42286</v>
      </c>
      <c r="D901" s="421" t="s">
        <v>169</v>
      </c>
      <c r="E901" s="421">
        <v>42286</v>
      </c>
      <c r="F901" s="422" t="s">
        <v>677</v>
      </c>
      <c r="G901" s="423" t="s">
        <v>676</v>
      </c>
      <c r="H901" s="424" t="s">
        <v>599</v>
      </c>
      <c r="I901" s="80">
        <v>1882000</v>
      </c>
      <c r="J901" s="425" t="s">
        <v>669</v>
      </c>
      <c r="K901" s="425" t="s">
        <v>203</v>
      </c>
      <c r="L901" s="140" t="str">
        <f>IF(AND('331-CT'!$E$7=TH!H911,OR(J901="331",K901="331")),"x","")</f>
        <v/>
      </c>
    </row>
    <row r="902" spans="1:12">
      <c r="A902" s="78">
        <f t="shared" si="41"/>
        <v>2015</v>
      </c>
      <c r="B902" s="78">
        <f t="shared" si="42"/>
        <v>10</v>
      </c>
      <c r="C902" s="79">
        <v>42286</v>
      </c>
      <c r="D902" s="421" t="s">
        <v>170</v>
      </c>
      <c r="E902" s="79">
        <f>C902</f>
        <v>42286</v>
      </c>
      <c r="F902" s="82" t="s">
        <v>761</v>
      </c>
      <c r="G902" s="278" t="s">
        <v>766</v>
      </c>
      <c r="H902" s="128" t="s">
        <v>763</v>
      </c>
      <c r="I902" s="80">
        <v>15000000</v>
      </c>
      <c r="J902" s="81" t="s">
        <v>669</v>
      </c>
      <c r="K902" s="81" t="s">
        <v>203</v>
      </c>
      <c r="L902" s="140" t="str">
        <f>IF(AND('331-CT'!$E$7=TH!H912,OR(J902="331",K902="331")),"x","")</f>
        <v/>
      </c>
    </row>
    <row r="903" spans="1:12">
      <c r="A903" s="78">
        <f t="shared" si="41"/>
        <v>2015</v>
      </c>
      <c r="B903" s="78">
        <f t="shared" si="42"/>
        <v>10</v>
      </c>
      <c r="C903" s="79">
        <v>42286</v>
      </c>
      <c r="D903" s="421" t="s">
        <v>170</v>
      </c>
      <c r="E903" s="79">
        <f>C903</f>
        <v>42286</v>
      </c>
      <c r="F903" s="82" t="s">
        <v>764</v>
      </c>
      <c r="G903" s="278" t="s">
        <v>766</v>
      </c>
      <c r="H903" s="128" t="s">
        <v>763</v>
      </c>
      <c r="I903" s="80">
        <v>1500000</v>
      </c>
      <c r="J903" s="81" t="s">
        <v>19</v>
      </c>
      <c r="K903" s="81" t="s">
        <v>203</v>
      </c>
      <c r="L903" s="140" t="str">
        <f>IF(AND('331-CT'!$E$7=TH!H913,OR(J903="331",K903="331")),"x","")</f>
        <v/>
      </c>
    </row>
    <row r="904" spans="1:12">
      <c r="A904" s="78">
        <f t="shared" si="41"/>
        <v>2015</v>
      </c>
      <c r="B904" s="78">
        <f t="shared" si="42"/>
        <v>10</v>
      </c>
      <c r="C904" s="421">
        <v>42287</v>
      </c>
      <c r="D904" s="421" t="s">
        <v>171</v>
      </c>
      <c r="E904" s="421">
        <v>42287</v>
      </c>
      <c r="F904" s="422" t="s">
        <v>647</v>
      </c>
      <c r="G904" s="423" t="s">
        <v>648</v>
      </c>
      <c r="H904" s="424" t="s">
        <v>649</v>
      </c>
      <c r="I904" s="80">
        <v>19200000</v>
      </c>
      <c r="J904" s="425" t="s">
        <v>669</v>
      </c>
      <c r="K904" s="425" t="s">
        <v>203</v>
      </c>
      <c r="L904" s="140" t="str">
        <f>IF(AND('331-CT'!$E$7=TH!H897,OR(J904="331",K904="331")),"x","")</f>
        <v/>
      </c>
    </row>
    <row r="905" spans="1:12">
      <c r="A905" s="78">
        <f t="shared" si="41"/>
        <v>2015</v>
      </c>
      <c r="B905" s="78">
        <f t="shared" si="42"/>
        <v>10</v>
      </c>
      <c r="C905" s="421">
        <v>42288</v>
      </c>
      <c r="D905" s="421" t="s">
        <v>509</v>
      </c>
      <c r="E905" s="421">
        <v>42288</v>
      </c>
      <c r="F905" s="422" t="s">
        <v>647</v>
      </c>
      <c r="G905" s="423" t="s">
        <v>650</v>
      </c>
      <c r="H905" s="424" t="s">
        <v>649</v>
      </c>
      <c r="I905" s="80">
        <v>18000000</v>
      </c>
      <c r="J905" s="425" t="s">
        <v>669</v>
      </c>
      <c r="K905" s="425" t="s">
        <v>203</v>
      </c>
      <c r="L905" s="140" t="str">
        <f>IF(AND('331-CT'!$E$7=TH!H898,OR(J905="331",K905="331")),"x","")</f>
        <v/>
      </c>
    </row>
    <row r="906" spans="1:12">
      <c r="A906" s="78">
        <f t="shared" ref="A906:A969" si="43">IF(C906&lt;&gt;"",YEAR(C906),"")</f>
        <v>2015</v>
      </c>
      <c r="B906" s="78">
        <f t="shared" ref="B906:B969" si="44">IF(C906&lt;&gt;"",MONTH(C906),"")</f>
        <v>10</v>
      </c>
      <c r="C906" s="421">
        <v>42288</v>
      </c>
      <c r="D906" s="421" t="s">
        <v>78</v>
      </c>
      <c r="E906" s="421">
        <v>42288</v>
      </c>
      <c r="F906" s="422" t="s">
        <v>751</v>
      </c>
      <c r="G906" s="423" t="s">
        <v>752</v>
      </c>
      <c r="H906" s="424" t="s">
        <v>663</v>
      </c>
      <c r="I906" s="80">
        <v>14553800</v>
      </c>
      <c r="J906" s="425" t="s">
        <v>242</v>
      </c>
      <c r="K906" s="425" t="s">
        <v>18</v>
      </c>
      <c r="L906" s="140" t="str">
        <f>IF(AND('331-CT'!$E$7=TH!H899,OR(J906="331",K906="331")),"x","")</f>
        <v/>
      </c>
    </row>
    <row r="907" spans="1:12">
      <c r="A907" s="78">
        <f t="shared" si="43"/>
        <v>2015</v>
      </c>
      <c r="B907" s="78">
        <f t="shared" si="44"/>
        <v>10</v>
      </c>
      <c r="C907" s="421">
        <v>42288</v>
      </c>
      <c r="D907" s="421" t="s">
        <v>78</v>
      </c>
      <c r="E907" s="421">
        <v>42288</v>
      </c>
      <c r="F907" s="422" t="s">
        <v>753</v>
      </c>
      <c r="G907" s="423" t="s">
        <v>752</v>
      </c>
      <c r="H907" s="424" t="s">
        <v>663</v>
      </c>
      <c r="I907" s="80">
        <v>1455380</v>
      </c>
      <c r="J907" s="425" t="s">
        <v>19</v>
      </c>
      <c r="K907" s="425" t="s">
        <v>18</v>
      </c>
      <c r="L907" s="140" t="str">
        <f>IF(AND('331-CT'!$E$7=TH!H900,OR(J907="331",K907="331")),"x","")</f>
        <v/>
      </c>
    </row>
    <row r="908" spans="1:12">
      <c r="A908" s="78">
        <f t="shared" si="43"/>
        <v>2015</v>
      </c>
      <c r="B908" s="78">
        <f t="shared" si="44"/>
        <v>10</v>
      </c>
      <c r="C908" s="421">
        <v>42288</v>
      </c>
      <c r="D908" s="421" t="s">
        <v>78</v>
      </c>
      <c r="E908" s="421">
        <v>42288</v>
      </c>
      <c r="F908" s="422" t="s">
        <v>754</v>
      </c>
      <c r="G908" s="423" t="s">
        <v>755</v>
      </c>
      <c r="H908" s="424" t="s">
        <v>663</v>
      </c>
      <c r="I908" s="80">
        <v>855763</v>
      </c>
      <c r="J908" s="425" t="s">
        <v>242</v>
      </c>
      <c r="K908" s="425" t="s">
        <v>18</v>
      </c>
      <c r="L908" s="140" t="str">
        <f>IF(AND('331-CT'!$E$7=TH!H901,OR(J908="331",K908="331")),"x","")</f>
        <v/>
      </c>
    </row>
    <row r="909" spans="1:12">
      <c r="A909" s="78">
        <f t="shared" si="43"/>
        <v>2015</v>
      </c>
      <c r="B909" s="78">
        <f t="shared" si="44"/>
        <v>10</v>
      </c>
      <c r="C909" s="421">
        <v>42288</v>
      </c>
      <c r="D909" s="421" t="s">
        <v>78</v>
      </c>
      <c r="E909" s="421">
        <v>42288</v>
      </c>
      <c r="F909" s="422" t="s">
        <v>756</v>
      </c>
      <c r="G909" s="426" t="s">
        <v>755</v>
      </c>
      <c r="H909" s="424" t="s">
        <v>663</v>
      </c>
      <c r="I909" s="80">
        <v>85576</v>
      </c>
      <c r="J909" s="425" t="s">
        <v>19</v>
      </c>
      <c r="K909" s="425" t="s">
        <v>18</v>
      </c>
      <c r="L909" s="140" t="str">
        <f>IF(AND('331-CT'!$E$7=TH!H902,OR(J909="331",K909="331")),"x","")</f>
        <v/>
      </c>
    </row>
    <row r="910" spans="1:12">
      <c r="A910" s="78">
        <f t="shared" si="43"/>
        <v>2015</v>
      </c>
      <c r="B910" s="78">
        <f t="shared" si="44"/>
        <v>10</v>
      </c>
      <c r="C910" s="421">
        <v>42289</v>
      </c>
      <c r="D910" s="421" t="s">
        <v>510</v>
      </c>
      <c r="E910" s="421">
        <v>42289</v>
      </c>
      <c r="F910" s="422" t="s">
        <v>655</v>
      </c>
      <c r="G910" s="426" t="s">
        <v>657</v>
      </c>
      <c r="H910" s="424" t="s">
        <v>658</v>
      </c>
      <c r="I910" s="80">
        <v>10000000</v>
      </c>
      <c r="J910" s="425" t="s">
        <v>669</v>
      </c>
      <c r="K910" s="425" t="s">
        <v>203</v>
      </c>
      <c r="L910" s="140" t="str">
        <f>IF(AND('331-CT'!$E$7=TH!H903,OR(J910="331",K910="331")),"x","")</f>
        <v/>
      </c>
    </row>
    <row r="911" spans="1:12">
      <c r="A911" s="78">
        <f t="shared" si="43"/>
        <v>2015</v>
      </c>
      <c r="B911" s="78">
        <f t="shared" si="44"/>
        <v>10</v>
      </c>
      <c r="C911" s="421">
        <v>42289</v>
      </c>
      <c r="D911" s="421" t="s">
        <v>510</v>
      </c>
      <c r="E911" s="421">
        <v>42289</v>
      </c>
      <c r="F911" s="422" t="s">
        <v>656</v>
      </c>
      <c r="G911" s="423" t="s">
        <v>657</v>
      </c>
      <c r="H911" s="424" t="s">
        <v>658</v>
      </c>
      <c r="I911" s="80">
        <v>1000000</v>
      </c>
      <c r="J911" s="425" t="s">
        <v>19</v>
      </c>
      <c r="K911" s="425" t="s">
        <v>203</v>
      </c>
      <c r="L911" s="140" t="str">
        <f>IF(AND('331-CT'!$E$7=TH!H917,OR(J911="331",K911="331")),"x","")</f>
        <v/>
      </c>
    </row>
    <row r="912" spans="1:12">
      <c r="A912" s="78">
        <f t="shared" si="43"/>
        <v>2015</v>
      </c>
      <c r="B912" s="78">
        <f t="shared" si="44"/>
        <v>10</v>
      </c>
      <c r="C912" s="421">
        <v>42291</v>
      </c>
      <c r="D912" s="421" t="s">
        <v>511</v>
      </c>
      <c r="E912" s="421">
        <v>42291</v>
      </c>
      <c r="F912" s="422" t="s">
        <v>659</v>
      </c>
      <c r="G912" s="423" t="s">
        <v>660</v>
      </c>
      <c r="H912" s="424" t="s">
        <v>658</v>
      </c>
      <c r="I912" s="80">
        <v>11999996</v>
      </c>
      <c r="J912" s="425" t="s">
        <v>669</v>
      </c>
      <c r="K912" s="425" t="s">
        <v>203</v>
      </c>
      <c r="L912" s="140" t="str">
        <f>IF(AND('331-CT'!$E$7=TH!H918,OR(J912="331",K912="331")),"x","")</f>
        <v/>
      </c>
    </row>
    <row r="913" spans="1:12">
      <c r="A913" s="78">
        <f t="shared" si="43"/>
        <v>2015</v>
      </c>
      <c r="B913" s="78">
        <f t="shared" si="44"/>
        <v>10</v>
      </c>
      <c r="C913" s="421">
        <v>42291</v>
      </c>
      <c r="D913" s="421" t="s">
        <v>511</v>
      </c>
      <c r="E913" s="421">
        <v>42291</v>
      </c>
      <c r="F913" s="422" t="s">
        <v>661</v>
      </c>
      <c r="G913" s="423" t="s">
        <v>660</v>
      </c>
      <c r="H913" s="424" t="s">
        <v>658</v>
      </c>
      <c r="I913" s="80">
        <v>1199999</v>
      </c>
      <c r="J913" s="425" t="s">
        <v>19</v>
      </c>
      <c r="K913" s="425" t="s">
        <v>203</v>
      </c>
      <c r="L913" s="140" t="str">
        <f>IF(AND('331-CT'!$E$7=TH!H919,OR(J913="331",K913="331")),"x","")</f>
        <v/>
      </c>
    </row>
    <row r="914" spans="1:12">
      <c r="A914" s="78">
        <f t="shared" si="43"/>
        <v>2015</v>
      </c>
      <c r="B914" s="78">
        <f t="shared" si="44"/>
        <v>10</v>
      </c>
      <c r="C914" s="427">
        <v>42291</v>
      </c>
      <c r="D914" s="427" t="s">
        <v>512</v>
      </c>
      <c r="E914" s="427">
        <v>42268</v>
      </c>
      <c r="F914" s="428" t="s">
        <v>664</v>
      </c>
      <c r="G914" s="429" t="s">
        <v>665</v>
      </c>
      <c r="H914" s="430" t="s">
        <v>188</v>
      </c>
      <c r="I914" s="139">
        <v>2900800</v>
      </c>
      <c r="J914" s="431" t="s">
        <v>242</v>
      </c>
      <c r="K914" s="431" t="s">
        <v>203</v>
      </c>
      <c r="L914" s="140" t="str">
        <f>IF(AND('331-CT'!$E$7=TH!H920,OR(J914="331",K914="331")),"x","")</f>
        <v/>
      </c>
    </row>
    <row r="915" spans="1:12">
      <c r="A915" s="78">
        <f t="shared" si="43"/>
        <v>2015</v>
      </c>
      <c r="B915" s="78">
        <f t="shared" si="44"/>
        <v>10</v>
      </c>
      <c r="C915" s="421">
        <v>42291</v>
      </c>
      <c r="D915" s="427" t="s">
        <v>512</v>
      </c>
      <c r="E915" s="421">
        <v>42268</v>
      </c>
      <c r="F915" s="422" t="s">
        <v>666</v>
      </c>
      <c r="G915" s="423" t="s">
        <v>665</v>
      </c>
      <c r="H915" s="424" t="s">
        <v>188</v>
      </c>
      <c r="I915" s="80">
        <v>145040</v>
      </c>
      <c r="J915" s="425" t="s">
        <v>19</v>
      </c>
      <c r="K915" s="425" t="s">
        <v>203</v>
      </c>
      <c r="L915" s="140" t="str">
        <f>IF(AND('331-CT'!$E$7=TH!H921,OR(J915="331",K915="331")),"x","")</f>
        <v/>
      </c>
    </row>
    <row r="916" spans="1:12">
      <c r="A916" s="78">
        <f t="shared" si="43"/>
        <v>2015</v>
      </c>
      <c r="B916" s="78">
        <f t="shared" si="44"/>
        <v>10</v>
      </c>
      <c r="C916" s="79">
        <v>42291</v>
      </c>
      <c r="D916" s="79" t="s">
        <v>513</v>
      </c>
      <c r="E916" s="79">
        <v>42291</v>
      </c>
      <c r="F916" s="82" t="s">
        <v>590</v>
      </c>
      <c r="G916" s="278"/>
      <c r="H916" s="424" t="s">
        <v>272</v>
      </c>
      <c r="I916" s="80">
        <v>150000000</v>
      </c>
      <c r="J916" s="81" t="s">
        <v>54</v>
      </c>
      <c r="K916" s="81" t="s">
        <v>203</v>
      </c>
      <c r="L916" s="140" t="str">
        <f>IF(AND('331-CT'!$E$7=TH!H922,OR(J916="331",K916="331")),"x","")</f>
        <v/>
      </c>
    </row>
    <row r="917" spans="1:12">
      <c r="A917" s="78">
        <f t="shared" si="43"/>
        <v>2015</v>
      </c>
      <c r="B917" s="78">
        <f t="shared" si="44"/>
        <v>10</v>
      </c>
      <c r="C917" s="79">
        <v>42291</v>
      </c>
      <c r="D917" s="79" t="s">
        <v>17</v>
      </c>
      <c r="E917" s="79">
        <v>42291</v>
      </c>
      <c r="F917" s="82" t="s">
        <v>301</v>
      </c>
      <c r="G917" s="278"/>
      <c r="H917" s="424" t="s">
        <v>306</v>
      </c>
      <c r="I917" s="80">
        <v>150000000</v>
      </c>
      <c r="J917" s="81" t="s">
        <v>18</v>
      </c>
      <c r="K917" s="81" t="s">
        <v>54</v>
      </c>
      <c r="L917" s="140" t="str">
        <f>IF(AND('331-CT'!$E$7=TH!H923,OR(J917="331",K917="331")),"x","")</f>
        <v/>
      </c>
    </row>
    <row r="918" spans="1:12">
      <c r="A918" s="78">
        <f t="shared" si="43"/>
        <v>2015</v>
      </c>
      <c r="B918" s="78">
        <f t="shared" si="44"/>
        <v>10</v>
      </c>
      <c r="C918" s="79">
        <v>42291</v>
      </c>
      <c r="D918" s="79" t="s">
        <v>17</v>
      </c>
      <c r="E918" s="79">
        <v>42291</v>
      </c>
      <c r="F918" s="82" t="s">
        <v>34</v>
      </c>
      <c r="G918" s="278"/>
      <c r="H918" s="424"/>
      <c r="I918" s="80">
        <v>106738</v>
      </c>
      <c r="J918" s="81" t="s">
        <v>242</v>
      </c>
      <c r="K918" s="81" t="s">
        <v>54</v>
      </c>
      <c r="L918" s="140" t="str">
        <f>IF(AND('331-CT'!$E$7=TH!H924,OR(J918="331",K918="331")),"x","")</f>
        <v/>
      </c>
    </row>
    <row r="919" spans="1:12">
      <c r="A919" s="78">
        <f t="shared" si="43"/>
        <v>2015</v>
      </c>
      <c r="B919" s="78">
        <f t="shared" si="44"/>
        <v>10</v>
      </c>
      <c r="C919" s="136">
        <v>42291</v>
      </c>
      <c r="D919" s="136" t="s">
        <v>17</v>
      </c>
      <c r="E919" s="136">
        <v>42291</v>
      </c>
      <c r="F919" s="137" t="s">
        <v>35</v>
      </c>
      <c r="G919" s="279"/>
      <c r="H919" s="430"/>
      <c r="I919" s="139">
        <v>10674</v>
      </c>
      <c r="J919" s="140" t="s">
        <v>19</v>
      </c>
      <c r="K919" s="140" t="s">
        <v>54</v>
      </c>
      <c r="L919" s="140" t="str">
        <f>IF(AND('331-CT'!$E$7=TH!H925,OR(J919="331",K919="331")),"x","")</f>
        <v/>
      </c>
    </row>
    <row r="920" spans="1:12">
      <c r="A920" s="78">
        <f t="shared" si="43"/>
        <v>2015</v>
      </c>
      <c r="B920" s="78">
        <f t="shared" si="44"/>
        <v>10</v>
      </c>
      <c r="C920" s="79">
        <v>42291</v>
      </c>
      <c r="D920" s="79" t="s">
        <v>514</v>
      </c>
      <c r="E920" s="79">
        <f>C920</f>
        <v>42291</v>
      </c>
      <c r="F920" s="82" t="s">
        <v>761</v>
      </c>
      <c r="G920" s="278" t="s">
        <v>767</v>
      </c>
      <c r="H920" s="128" t="s">
        <v>763</v>
      </c>
      <c r="I920" s="80">
        <v>15000000</v>
      </c>
      <c r="J920" s="81" t="s">
        <v>669</v>
      </c>
      <c r="K920" s="81" t="s">
        <v>203</v>
      </c>
      <c r="L920" s="140" t="str">
        <f>IF(AND('331-CT'!$E$7=TH!H926,OR(J920="331",K920="331")),"x","")</f>
        <v/>
      </c>
    </row>
    <row r="921" spans="1:12">
      <c r="A921" s="78">
        <f t="shared" si="43"/>
        <v>2015</v>
      </c>
      <c r="B921" s="78">
        <f t="shared" si="44"/>
        <v>10</v>
      </c>
      <c r="C921" s="79">
        <v>42291</v>
      </c>
      <c r="D921" s="79" t="s">
        <v>514</v>
      </c>
      <c r="E921" s="79">
        <f>C921</f>
        <v>42291</v>
      </c>
      <c r="F921" s="82" t="s">
        <v>764</v>
      </c>
      <c r="G921" s="278" t="s">
        <v>767</v>
      </c>
      <c r="H921" s="128" t="s">
        <v>763</v>
      </c>
      <c r="I921" s="80">
        <v>1500000</v>
      </c>
      <c r="J921" s="81" t="s">
        <v>19</v>
      </c>
      <c r="K921" s="81" t="s">
        <v>203</v>
      </c>
      <c r="L921" s="140" t="str">
        <f>IF(AND('331-CT'!$E$7=TH!H927,OR(J921="331",K921="331")),"x","")</f>
        <v/>
      </c>
    </row>
    <row r="922" spans="1:12">
      <c r="A922" s="78">
        <f t="shared" si="43"/>
        <v>2015</v>
      </c>
      <c r="B922" s="78">
        <f t="shared" si="44"/>
        <v>10</v>
      </c>
      <c r="C922" s="136">
        <v>42292</v>
      </c>
      <c r="D922" s="136" t="s">
        <v>20</v>
      </c>
      <c r="E922" s="136">
        <v>42292</v>
      </c>
      <c r="F922" s="137" t="s">
        <v>593</v>
      </c>
      <c r="G922" s="279"/>
      <c r="H922" s="430" t="s">
        <v>445</v>
      </c>
      <c r="I922" s="139">
        <v>1000000000</v>
      </c>
      <c r="J922" s="140" t="s">
        <v>203</v>
      </c>
      <c r="K922" s="140" t="s">
        <v>39</v>
      </c>
      <c r="L922" s="140" t="str">
        <f>IF(AND('331-CT'!$E$7=TH!H928,OR(J922="331",K922="331")),"x","")</f>
        <v/>
      </c>
    </row>
    <row r="923" spans="1:12">
      <c r="A923" s="78">
        <f t="shared" si="43"/>
        <v>2015</v>
      </c>
      <c r="B923" s="78">
        <f t="shared" si="44"/>
        <v>10</v>
      </c>
      <c r="C923" s="79">
        <v>42292</v>
      </c>
      <c r="D923" s="79" t="s">
        <v>17</v>
      </c>
      <c r="E923" s="79">
        <v>42292</v>
      </c>
      <c r="F923" s="82" t="s">
        <v>757</v>
      </c>
      <c r="G923" s="273"/>
      <c r="H923" s="128" t="s">
        <v>663</v>
      </c>
      <c r="I923" s="80">
        <v>16950519</v>
      </c>
      <c r="J923" s="81" t="s">
        <v>39</v>
      </c>
      <c r="K923" s="81" t="s">
        <v>54</v>
      </c>
      <c r="L923" s="140" t="str">
        <f>IF(AND('331-CT'!$E$7=TH!H929,OR(J923="331",K923="331")),"x","")</f>
        <v/>
      </c>
    </row>
    <row r="924" spans="1:12">
      <c r="A924" s="78">
        <f t="shared" si="43"/>
        <v>2015</v>
      </c>
      <c r="B924" s="78">
        <f t="shared" si="44"/>
        <v>10</v>
      </c>
      <c r="C924" s="79">
        <v>42292</v>
      </c>
      <c r="D924" s="79" t="s">
        <v>17</v>
      </c>
      <c r="E924" s="79">
        <v>42292</v>
      </c>
      <c r="F924" s="82" t="s">
        <v>34</v>
      </c>
      <c r="G924" s="273"/>
      <c r="H924" s="128"/>
      <c r="I924" s="80">
        <v>45000</v>
      </c>
      <c r="J924" s="81" t="s">
        <v>242</v>
      </c>
      <c r="K924" s="81" t="s">
        <v>54</v>
      </c>
      <c r="L924" s="140" t="str">
        <f>IF(AND('331-CT'!$E$7=TH!H904,OR(J924="331",K924="331")),"x","")</f>
        <v/>
      </c>
    </row>
    <row r="925" spans="1:12">
      <c r="A925" s="78">
        <f t="shared" si="43"/>
        <v>2015</v>
      </c>
      <c r="B925" s="78">
        <f t="shared" si="44"/>
        <v>10</v>
      </c>
      <c r="C925" s="79">
        <v>42292</v>
      </c>
      <c r="D925" s="79" t="s">
        <v>17</v>
      </c>
      <c r="E925" s="79">
        <v>42292</v>
      </c>
      <c r="F925" s="82" t="s">
        <v>35</v>
      </c>
      <c r="G925" s="273"/>
      <c r="H925" s="128"/>
      <c r="I925" s="80">
        <v>4500</v>
      </c>
      <c r="J925" s="81" t="s">
        <v>19</v>
      </c>
      <c r="K925" s="81" t="s">
        <v>54</v>
      </c>
      <c r="L925" s="140" t="str">
        <f>IF(AND('331-CT'!$E$7=TH!H930,OR(J925="331",K925="331")),"x","")</f>
        <v/>
      </c>
    </row>
    <row r="926" spans="1:12">
      <c r="A926" s="78">
        <f t="shared" si="43"/>
        <v>2015</v>
      </c>
      <c r="B926" s="78">
        <f t="shared" si="44"/>
        <v>10</v>
      </c>
      <c r="C926" s="79">
        <v>42293</v>
      </c>
      <c r="D926" s="79" t="s">
        <v>21</v>
      </c>
      <c r="E926" s="79">
        <v>42293</v>
      </c>
      <c r="F926" s="82" t="s">
        <v>758</v>
      </c>
      <c r="G926" s="273"/>
      <c r="H926" s="128" t="s">
        <v>663</v>
      </c>
      <c r="I926" s="80">
        <v>16950519</v>
      </c>
      <c r="J926" s="81" t="s">
        <v>54</v>
      </c>
      <c r="K926" s="81" t="s">
        <v>39</v>
      </c>
      <c r="L926" s="140" t="str">
        <f>IF(AND('331-CT'!$E$7=TH!H931,OR(J926="331",K926="331")),"x","")</f>
        <v/>
      </c>
    </row>
    <row r="927" spans="1:12">
      <c r="A927" s="78">
        <f t="shared" si="43"/>
        <v>2015</v>
      </c>
      <c r="B927" s="78">
        <f t="shared" si="44"/>
        <v>10</v>
      </c>
      <c r="C927" s="79">
        <v>42293</v>
      </c>
      <c r="D927" s="79" t="s">
        <v>17</v>
      </c>
      <c r="E927" s="79">
        <v>42293</v>
      </c>
      <c r="F927" s="82" t="s">
        <v>757</v>
      </c>
      <c r="G927" s="273"/>
      <c r="H927" s="128" t="s">
        <v>663</v>
      </c>
      <c r="I927" s="80">
        <v>16950519</v>
      </c>
      <c r="J927" s="81" t="s">
        <v>18</v>
      </c>
      <c r="K927" s="81" t="s">
        <v>54</v>
      </c>
      <c r="L927" s="140" t="str">
        <f>IF(AND('331-CT'!$E$7=TH!H932,OR(J927="331",K927="331")),"x","")</f>
        <v/>
      </c>
    </row>
    <row r="928" spans="1:12">
      <c r="A928" s="78">
        <f t="shared" si="43"/>
        <v>2015</v>
      </c>
      <c r="B928" s="78">
        <f t="shared" si="44"/>
        <v>10</v>
      </c>
      <c r="C928" s="79">
        <v>42293</v>
      </c>
      <c r="D928" s="79" t="s">
        <v>17</v>
      </c>
      <c r="E928" s="79">
        <v>42293</v>
      </c>
      <c r="F928" s="82" t="s">
        <v>34</v>
      </c>
      <c r="G928" s="273"/>
      <c r="H928" s="128"/>
      <c r="I928" s="80">
        <v>25000</v>
      </c>
      <c r="J928" s="81" t="s">
        <v>242</v>
      </c>
      <c r="K928" s="81" t="s">
        <v>54</v>
      </c>
      <c r="L928" s="140" t="str">
        <f>IF(AND('331-CT'!$E$7=TH!H933,OR(J928="331",K928="331")),"x","")</f>
        <v/>
      </c>
    </row>
    <row r="929" spans="1:12">
      <c r="A929" s="78">
        <f t="shared" si="43"/>
        <v>2015</v>
      </c>
      <c r="B929" s="78">
        <f t="shared" si="44"/>
        <v>10</v>
      </c>
      <c r="C929" s="79">
        <v>42293</v>
      </c>
      <c r="D929" s="79" t="s">
        <v>17</v>
      </c>
      <c r="E929" s="79">
        <v>42293</v>
      </c>
      <c r="F929" s="82" t="s">
        <v>35</v>
      </c>
      <c r="G929" s="273"/>
      <c r="H929" s="128"/>
      <c r="I929" s="80">
        <v>2500</v>
      </c>
      <c r="J929" s="81" t="s">
        <v>19</v>
      </c>
      <c r="K929" s="81" t="s">
        <v>54</v>
      </c>
      <c r="L929" s="140" t="str">
        <f>IF(AND('331-CT'!$E$7=TH!H934,OR(J929="331",K929="331")),"x","")</f>
        <v/>
      </c>
    </row>
    <row r="930" spans="1:12">
      <c r="A930" s="78">
        <f t="shared" si="43"/>
        <v>2015</v>
      </c>
      <c r="B930" s="78">
        <f t="shared" si="44"/>
        <v>10</v>
      </c>
      <c r="C930" s="79">
        <v>42297</v>
      </c>
      <c r="D930" s="79" t="s">
        <v>17</v>
      </c>
      <c r="E930" s="79">
        <v>42297</v>
      </c>
      <c r="F930" s="82" t="s">
        <v>119</v>
      </c>
      <c r="G930" s="273"/>
      <c r="H930" s="128" t="s">
        <v>314</v>
      </c>
      <c r="I930" s="80">
        <v>7919801</v>
      </c>
      <c r="J930" s="81" t="s">
        <v>240</v>
      </c>
      <c r="K930" s="81" t="s">
        <v>54</v>
      </c>
      <c r="L930" s="140" t="str">
        <f>IF(AND('331-CT'!$E$7=TH!H935,OR(J930="331",K930="331")),"x","")</f>
        <v/>
      </c>
    </row>
    <row r="931" spans="1:12">
      <c r="A931" s="78">
        <f t="shared" si="43"/>
        <v>2015</v>
      </c>
      <c r="B931" s="78">
        <f t="shared" si="44"/>
        <v>10</v>
      </c>
      <c r="C931" s="79">
        <v>42297</v>
      </c>
      <c r="D931" s="79" t="s">
        <v>17</v>
      </c>
      <c r="E931" s="79">
        <v>42297</v>
      </c>
      <c r="F931" s="82" t="s">
        <v>145</v>
      </c>
      <c r="G931" s="273"/>
      <c r="H931" s="128" t="s">
        <v>318</v>
      </c>
      <c r="I931" s="80">
        <v>7919801</v>
      </c>
      <c r="J931" s="81" t="s">
        <v>240</v>
      </c>
      <c r="K931" s="81" t="s">
        <v>54</v>
      </c>
      <c r="L931" s="140" t="str">
        <f>IF(AND('331-CT'!$E$7=TH!H936,OR(J931="331",K931="331")),"x","")</f>
        <v/>
      </c>
    </row>
    <row r="932" spans="1:12">
      <c r="A932" s="78">
        <f t="shared" si="43"/>
        <v>2015</v>
      </c>
      <c r="B932" s="78">
        <f t="shared" si="44"/>
        <v>10</v>
      </c>
      <c r="C932" s="79">
        <v>42297</v>
      </c>
      <c r="D932" s="79" t="s">
        <v>17</v>
      </c>
      <c r="E932" s="79">
        <v>42297</v>
      </c>
      <c r="F932" s="82" t="s">
        <v>303</v>
      </c>
      <c r="G932" s="273"/>
      <c r="H932" s="128" t="s">
        <v>321</v>
      </c>
      <c r="I932" s="80">
        <v>11087720</v>
      </c>
      <c r="J932" s="81" t="s">
        <v>240</v>
      </c>
      <c r="K932" s="81" t="s">
        <v>54</v>
      </c>
      <c r="L932" s="140" t="str">
        <f>IF(AND('331-CT'!$E$7=TH!H937,OR(J932="331",K932="331")),"x","")</f>
        <v/>
      </c>
    </row>
    <row r="933" spans="1:12">
      <c r="A933" s="78">
        <f t="shared" si="43"/>
        <v>2015</v>
      </c>
      <c r="B933" s="78">
        <f t="shared" si="44"/>
        <v>10</v>
      </c>
      <c r="C933" s="79">
        <v>42297</v>
      </c>
      <c r="D933" s="79" t="s">
        <v>515</v>
      </c>
      <c r="E933" s="79">
        <f>C933</f>
        <v>42297</v>
      </c>
      <c r="F933" s="82" t="s">
        <v>761</v>
      </c>
      <c r="G933" s="278" t="s">
        <v>768</v>
      </c>
      <c r="H933" s="128" t="s">
        <v>763</v>
      </c>
      <c r="I933" s="80">
        <v>15000000</v>
      </c>
      <c r="J933" s="81" t="s">
        <v>669</v>
      </c>
      <c r="K933" s="81" t="s">
        <v>203</v>
      </c>
      <c r="L933" s="140" t="str">
        <f>IF(AND('331-CT'!$E$7=TH!H938,OR(J933="331",K933="331")),"x","")</f>
        <v/>
      </c>
    </row>
    <row r="934" spans="1:12">
      <c r="A934" s="78">
        <f t="shared" si="43"/>
        <v>2015</v>
      </c>
      <c r="B934" s="78">
        <f t="shared" si="44"/>
        <v>10</v>
      </c>
      <c r="C934" s="79">
        <v>42297</v>
      </c>
      <c r="D934" s="79" t="s">
        <v>515</v>
      </c>
      <c r="E934" s="79">
        <f>C934</f>
        <v>42297</v>
      </c>
      <c r="F934" s="82" t="s">
        <v>764</v>
      </c>
      <c r="G934" s="278" t="s">
        <v>768</v>
      </c>
      <c r="H934" s="128" t="s">
        <v>763</v>
      </c>
      <c r="I934" s="80">
        <v>1500000</v>
      </c>
      <c r="J934" s="81" t="s">
        <v>19</v>
      </c>
      <c r="K934" s="81" t="s">
        <v>203</v>
      </c>
      <c r="L934" s="140" t="str">
        <f>IF(AND('331-CT'!$E$7=TH!H939,OR(J934="331",K934="331")),"x","")</f>
        <v/>
      </c>
    </row>
    <row r="935" spans="1:12">
      <c r="A935" s="78">
        <f t="shared" si="43"/>
        <v>2015</v>
      </c>
      <c r="B935" s="78">
        <f t="shared" si="44"/>
        <v>10</v>
      </c>
      <c r="C935" s="79">
        <v>42298</v>
      </c>
      <c r="D935" s="79" t="s">
        <v>516</v>
      </c>
      <c r="E935" s="79">
        <f>C935</f>
        <v>42298</v>
      </c>
      <c r="F935" s="82" t="s">
        <v>769</v>
      </c>
      <c r="G935" s="278" t="s">
        <v>770</v>
      </c>
      <c r="H935" s="128" t="s">
        <v>763</v>
      </c>
      <c r="I935" s="80">
        <v>13390000</v>
      </c>
      <c r="J935" s="81" t="s">
        <v>242</v>
      </c>
      <c r="K935" s="81" t="s">
        <v>203</v>
      </c>
      <c r="L935" s="140" t="str">
        <f>IF(AND('331-CT'!$E$7=TH!H940,OR(J935="331",K935="331")),"x","")</f>
        <v/>
      </c>
    </row>
    <row r="936" spans="1:12">
      <c r="A936" s="78">
        <f t="shared" si="43"/>
        <v>2015</v>
      </c>
      <c r="B936" s="78">
        <f t="shared" si="44"/>
        <v>10</v>
      </c>
      <c r="C936" s="79">
        <v>42298</v>
      </c>
      <c r="D936" s="79" t="s">
        <v>516</v>
      </c>
      <c r="E936" s="79">
        <f>C936</f>
        <v>42298</v>
      </c>
      <c r="F936" s="82" t="s">
        <v>771</v>
      </c>
      <c r="G936" s="278" t="s">
        <v>770</v>
      </c>
      <c r="H936" s="128" t="s">
        <v>763</v>
      </c>
      <c r="I936" s="80">
        <v>1339000</v>
      </c>
      <c r="J936" s="81" t="s">
        <v>19</v>
      </c>
      <c r="K936" s="81" t="s">
        <v>203</v>
      </c>
      <c r="L936" s="140" t="str">
        <f>IF(AND('331-CT'!$E$7=TH!H941,OR(J936="331",K936="331")),"x","")</f>
        <v/>
      </c>
    </row>
    <row r="937" spans="1:12">
      <c r="A937" s="78">
        <f t="shared" si="43"/>
        <v>2015</v>
      </c>
      <c r="B937" s="78">
        <f t="shared" si="44"/>
        <v>10</v>
      </c>
      <c r="C937" s="79">
        <v>42299</v>
      </c>
      <c r="D937" s="79" t="s">
        <v>517</v>
      </c>
      <c r="E937" s="79">
        <v>42299</v>
      </c>
      <c r="F937" s="82" t="s">
        <v>590</v>
      </c>
      <c r="G937" s="273"/>
      <c r="H937" s="128" t="s">
        <v>272</v>
      </c>
      <c r="I937" s="80">
        <v>140000000</v>
      </c>
      <c r="J937" s="81" t="s">
        <v>54</v>
      </c>
      <c r="K937" s="81" t="s">
        <v>203</v>
      </c>
      <c r="L937" s="140" t="str">
        <f>IF(AND('331-CT'!$E$7=TH!H942,OR(J937="331",K937="331")),"x","")</f>
        <v/>
      </c>
    </row>
    <row r="938" spans="1:12">
      <c r="A938" s="78">
        <f t="shared" si="43"/>
        <v>2015</v>
      </c>
      <c r="B938" s="78">
        <f t="shared" si="44"/>
        <v>10</v>
      </c>
      <c r="C938" s="79">
        <v>42299</v>
      </c>
      <c r="D938" s="79" t="s">
        <v>17</v>
      </c>
      <c r="E938" s="79">
        <v>42299</v>
      </c>
      <c r="F938" s="82" t="s">
        <v>141</v>
      </c>
      <c r="G938" s="273"/>
      <c r="H938" s="128" t="s">
        <v>315</v>
      </c>
      <c r="I938" s="80">
        <v>15852135</v>
      </c>
      <c r="J938" s="81" t="s">
        <v>240</v>
      </c>
      <c r="K938" s="81" t="s">
        <v>54</v>
      </c>
      <c r="L938" s="140" t="str">
        <f>IF(AND('331-CT'!$E$7=TH!H905,OR(J938="331",K938="331")),"x","")</f>
        <v/>
      </c>
    </row>
    <row r="939" spans="1:12">
      <c r="A939" s="78">
        <f t="shared" si="43"/>
        <v>2015</v>
      </c>
      <c r="B939" s="78">
        <f t="shared" si="44"/>
        <v>10</v>
      </c>
      <c r="C939" s="79">
        <v>42299</v>
      </c>
      <c r="D939" s="79" t="s">
        <v>17</v>
      </c>
      <c r="E939" s="79">
        <v>42299</v>
      </c>
      <c r="F939" s="82" t="s">
        <v>143</v>
      </c>
      <c r="G939" s="273"/>
      <c r="H939" s="128" t="s">
        <v>317</v>
      </c>
      <c r="I939" s="80">
        <v>12681709</v>
      </c>
      <c r="J939" s="81" t="s">
        <v>240</v>
      </c>
      <c r="K939" s="81" t="s">
        <v>54</v>
      </c>
      <c r="L939" s="140" t="str">
        <f>IF(AND('331-CT'!$E$7=TH!H906,OR(J939="331",K939="331")),"x","")</f>
        <v/>
      </c>
    </row>
    <row r="940" spans="1:12">
      <c r="A940" s="78">
        <f t="shared" si="43"/>
        <v>2015</v>
      </c>
      <c r="B940" s="78">
        <f t="shared" si="44"/>
        <v>10</v>
      </c>
      <c r="C940" s="79">
        <v>42299</v>
      </c>
      <c r="D940" s="79" t="s">
        <v>17</v>
      </c>
      <c r="E940" s="79">
        <v>42299</v>
      </c>
      <c r="F940" s="82" t="s">
        <v>144</v>
      </c>
      <c r="G940" s="273"/>
      <c r="H940" s="128" t="s">
        <v>316</v>
      </c>
      <c r="I940" s="80">
        <v>11889102</v>
      </c>
      <c r="J940" s="81" t="s">
        <v>240</v>
      </c>
      <c r="K940" s="81" t="s">
        <v>54</v>
      </c>
      <c r="L940" s="140" t="str">
        <f>IF(AND('331-CT'!$E$7=TH!H907,OR(J940="331",K940="331")),"x","")</f>
        <v/>
      </c>
    </row>
    <row r="941" spans="1:12">
      <c r="A941" s="78">
        <f t="shared" si="43"/>
        <v>2015</v>
      </c>
      <c r="B941" s="78">
        <f t="shared" si="44"/>
        <v>10</v>
      </c>
      <c r="C941" s="79">
        <v>42299</v>
      </c>
      <c r="D941" s="79" t="s">
        <v>17</v>
      </c>
      <c r="E941" s="79">
        <v>42299</v>
      </c>
      <c r="F941" s="82" t="s">
        <v>147</v>
      </c>
      <c r="G941" s="273"/>
      <c r="H941" s="128" t="s">
        <v>319</v>
      </c>
      <c r="I941" s="80">
        <v>11889102</v>
      </c>
      <c r="J941" s="81" t="s">
        <v>240</v>
      </c>
      <c r="K941" s="81" t="s">
        <v>54</v>
      </c>
      <c r="L941" s="140" t="str">
        <f>IF(AND('331-CT'!$E$7=TH!H943,OR(J941="331",K941="331")),"x","")</f>
        <v/>
      </c>
    </row>
    <row r="942" spans="1:12">
      <c r="A942" s="78">
        <f t="shared" si="43"/>
        <v>2015</v>
      </c>
      <c r="B942" s="78">
        <f t="shared" si="44"/>
        <v>10</v>
      </c>
      <c r="C942" s="79">
        <v>42299</v>
      </c>
      <c r="D942" s="79" t="s">
        <v>17</v>
      </c>
      <c r="E942" s="79">
        <v>42299</v>
      </c>
      <c r="F942" s="82" t="s">
        <v>273</v>
      </c>
      <c r="G942" s="273"/>
      <c r="H942" s="128" t="s">
        <v>320</v>
      </c>
      <c r="I942" s="80">
        <v>15852135</v>
      </c>
      <c r="J942" s="81" t="s">
        <v>240</v>
      </c>
      <c r="K942" s="81" t="s">
        <v>54</v>
      </c>
      <c r="L942" s="140" t="str">
        <f>IF(AND('331-CT'!$E$7=TH!H944,OR(J942="331",K942="331")),"x","")</f>
        <v/>
      </c>
    </row>
    <row r="943" spans="1:12">
      <c r="A943" s="78">
        <f t="shared" si="43"/>
        <v>2015</v>
      </c>
      <c r="B943" s="78">
        <f t="shared" si="44"/>
        <v>10</v>
      </c>
      <c r="C943" s="79">
        <v>42299</v>
      </c>
      <c r="D943" s="79" t="s">
        <v>17</v>
      </c>
      <c r="E943" s="79">
        <v>42299</v>
      </c>
      <c r="F943" s="82" t="s">
        <v>304</v>
      </c>
      <c r="G943" s="273"/>
      <c r="H943" s="128" t="s">
        <v>322</v>
      </c>
      <c r="I943" s="80">
        <v>11889102</v>
      </c>
      <c r="J943" s="81" t="s">
        <v>240</v>
      </c>
      <c r="K943" s="81" t="s">
        <v>54</v>
      </c>
      <c r="L943" s="140" t="str">
        <f>IF(AND('331-CT'!$E$7=TH!H945,OR(J943="331",K943="331")),"x","")</f>
        <v/>
      </c>
    </row>
    <row r="944" spans="1:12">
      <c r="A944" s="78">
        <f t="shared" si="43"/>
        <v>2015</v>
      </c>
      <c r="B944" s="78">
        <f t="shared" si="44"/>
        <v>10</v>
      </c>
      <c r="C944" s="79">
        <v>42299</v>
      </c>
      <c r="D944" s="79" t="s">
        <v>17</v>
      </c>
      <c r="E944" s="79">
        <v>42299</v>
      </c>
      <c r="F944" s="82" t="s">
        <v>479</v>
      </c>
      <c r="G944" s="273"/>
      <c r="H944" s="128" t="s">
        <v>326</v>
      </c>
      <c r="I944" s="80">
        <v>11889102</v>
      </c>
      <c r="J944" s="81" t="s">
        <v>240</v>
      </c>
      <c r="K944" s="81" t="s">
        <v>54</v>
      </c>
      <c r="L944" s="140" t="str">
        <f>IF(AND('331-CT'!$E$7=TH!H946,OR(J944="331",K944="331")),"x","")</f>
        <v/>
      </c>
    </row>
    <row r="945" spans="1:12">
      <c r="A945" s="78">
        <f t="shared" si="43"/>
        <v>2015</v>
      </c>
      <c r="B945" s="78">
        <f t="shared" si="44"/>
        <v>10</v>
      </c>
      <c r="C945" s="79">
        <v>42299</v>
      </c>
      <c r="D945" s="79" t="s">
        <v>17</v>
      </c>
      <c r="E945" s="79">
        <v>42299</v>
      </c>
      <c r="F945" s="82" t="s">
        <v>480</v>
      </c>
      <c r="G945" s="273"/>
      <c r="H945" s="128" t="s">
        <v>431</v>
      </c>
      <c r="I945" s="80">
        <v>11889102</v>
      </c>
      <c r="J945" s="81" t="s">
        <v>240</v>
      </c>
      <c r="K945" s="81" t="s">
        <v>54</v>
      </c>
      <c r="L945" s="140" t="str">
        <f>IF(AND('331-CT'!$E$7=TH!H947,OR(J945="331",K945="331")),"x","")</f>
        <v/>
      </c>
    </row>
    <row r="946" spans="1:12">
      <c r="A946" s="78">
        <f t="shared" si="43"/>
        <v>2015</v>
      </c>
      <c r="B946" s="78">
        <f t="shared" si="44"/>
        <v>10</v>
      </c>
      <c r="C946" s="79">
        <v>42299</v>
      </c>
      <c r="D946" s="79" t="s">
        <v>17</v>
      </c>
      <c r="E946" s="79">
        <v>42299</v>
      </c>
      <c r="F946" s="82" t="s">
        <v>594</v>
      </c>
      <c r="G946" s="273"/>
      <c r="H946" s="128" t="s">
        <v>436</v>
      </c>
      <c r="I946" s="80">
        <v>7926068</v>
      </c>
      <c r="J946" s="81" t="s">
        <v>240</v>
      </c>
      <c r="K946" s="81" t="s">
        <v>54</v>
      </c>
      <c r="L946" s="140" t="str">
        <f>IF(AND('331-CT'!$E$7=TH!H948,OR(J946="331",K946="331")),"x","")</f>
        <v/>
      </c>
    </row>
    <row r="947" spans="1:12">
      <c r="A947" s="78">
        <f t="shared" si="43"/>
        <v>2015</v>
      </c>
      <c r="B947" s="78">
        <f t="shared" si="44"/>
        <v>10</v>
      </c>
      <c r="C947" s="79">
        <v>42299</v>
      </c>
      <c r="D947" s="79" t="s">
        <v>17</v>
      </c>
      <c r="E947" s="79">
        <v>42299</v>
      </c>
      <c r="F947" s="82" t="s">
        <v>595</v>
      </c>
      <c r="G947" s="273"/>
      <c r="H947" s="128" t="s">
        <v>470</v>
      </c>
      <c r="I947" s="80">
        <v>7926068</v>
      </c>
      <c r="J947" s="81" t="s">
        <v>240</v>
      </c>
      <c r="K947" s="81" t="s">
        <v>54</v>
      </c>
      <c r="L947" s="140" t="str">
        <f>IF(AND('331-CT'!$E$7=TH!H949,OR(J947="331",K947="331")),"x","")</f>
        <v/>
      </c>
    </row>
    <row r="948" spans="1:12">
      <c r="A948" s="78">
        <f t="shared" si="43"/>
        <v>2015</v>
      </c>
      <c r="B948" s="78">
        <f t="shared" si="44"/>
        <v>10</v>
      </c>
      <c r="C948" s="79">
        <v>42299</v>
      </c>
      <c r="D948" s="79" t="s">
        <v>17</v>
      </c>
      <c r="E948" s="79">
        <v>42299</v>
      </c>
      <c r="F948" s="82" t="s">
        <v>432</v>
      </c>
      <c r="G948" s="273"/>
      <c r="H948" s="128" t="s">
        <v>324</v>
      </c>
      <c r="I948" s="80">
        <v>11889102</v>
      </c>
      <c r="J948" s="81" t="s">
        <v>240</v>
      </c>
      <c r="K948" s="81" t="s">
        <v>54</v>
      </c>
      <c r="L948" s="140" t="str">
        <f>IF(AND('331-CT'!$E$7=TH!H908,OR(J948="331",K948="331")),"x","")</f>
        <v/>
      </c>
    </row>
    <row r="949" spans="1:12">
      <c r="A949" s="78">
        <f t="shared" si="43"/>
        <v>2015</v>
      </c>
      <c r="B949" s="78">
        <f t="shared" si="44"/>
        <v>10</v>
      </c>
      <c r="C949" s="79">
        <v>42301</v>
      </c>
      <c r="D949" s="79" t="s">
        <v>21</v>
      </c>
      <c r="E949" s="79">
        <v>42301</v>
      </c>
      <c r="F949" s="82" t="s">
        <v>434</v>
      </c>
      <c r="G949" s="273"/>
      <c r="H949" s="128"/>
      <c r="I949" s="80">
        <v>400000</v>
      </c>
      <c r="J949" s="81" t="s">
        <v>54</v>
      </c>
      <c r="K949" s="81" t="s">
        <v>99</v>
      </c>
      <c r="L949" s="140" t="str">
        <f>IF(AND('331-CT'!$E$7=TH!H909,OR(J949="331",K949="331")),"x","")</f>
        <v/>
      </c>
    </row>
    <row r="950" spans="1:12">
      <c r="A950" s="78">
        <f t="shared" si="43"/>
        <v>2015</v>
      </c>
      <c r="B950" s="78">
        <f t="shared" si="44"/>
        <v>10</v>
      </c>
      <c r="C950" s="79">
        <v>42301</v>
      </c>
      <c r="D950" s="79" t="s">
        <v>21</v>
      </c>
      <c r="E950" s="79">
        <v>42301</v>
      </c>
      <c r="F950" s="82" t="s">
        <v>98</v>
      </c>
      <c r="G950" s="273"/>
      <c r="H950" s="128"/>
      <c r="I950" s="80">
        <v>9085</v>
      </c>
      <c r="J950" s="81" t="s">
        <v>54</v>
      </c>
      <c r="K950" s="81" t="s">
        <v>99</v>
      </c>
      <c r="L950" s="140" t="str">
        <f>IF(AND('331-CT'!$E$7=TH!H950,OR(J950="331",K950="331")),"x","")</f>
        <v/>
      </c>
    </row>
    <row r="951" spans="1:12">
      <c r="A951" s="78">
        <f t="shared" si="43"/>
        <v>2015</v>
      </c>
      <c r="B951" s="78">
        <f t="shared" si="44"/>
        <v>10</v>
      </c>
      <c r="C951" s="79">
        <v>42301</v>
      </c>
      <c r="D951" s="79" t="s">
        <v>518</v>
      </c>
      <c r="E951" s="79">
        <f>C951</f>
        <v>42301</v>
      </c>
      <c r="F951" s="82" t="s">
        <v>772</v>
      </c>
      <c r="G951" s="278" t="s">
        <v>773</v>
      </c>
      <c r="H951" s="128" t="s">
        <v>763</v>
      </c>
      <c r="I951" s="80">
        <v>18000000</v>
      </c>
      <c r="J951" s="81" t="s">
        <v>669</v>
      </c>
      <c r="K951" s="81" t="s">
        <v>203</v>
      </c>
      <c r="L951" s="140" t="str">
        <f>IF(AND('331-CT'!$E$7=TH!H951,OR(J951="331",K951="331")),"x","")</f>
        <v/>
      </c>
    </row>
    <row r="952" spans="1:12">
      <c r="A952" s="78">
        <f t="shared" si="43"/>
        <v>2015</v>
      </c>
      <c r="B952" s="78">
        <f t="shared" si="44"/>
        <v>10</v>
      </c>
      <c r="C952" s="79">
        <v>42301</v>
      </c>
      <c r="D952" s="79" t="s">
        <v>518</v>
      </c>
      <c r="E952" s="79">
        <f>C952</f>
        <v>42301</v>
      </c>
      <c r="F952" s="82" t="s">
        <v>774</v>
      </c>
      <c r="G952" s="278" t="s">
        <v>773</v>
      </c>
      <c r="H952" s="128" t="s">
        <v>763</v>
      </c>
      <c r="I952" s="80">
        <v>1800000</v>
      </c>
      <c r="J952" s="81" t="s">
        <v>19</v>
      </c>
      <c r="K952" s="81" t="s">
        <v>203</v>
      </c>
      <c r="L952" s="140" t="str">
        <f>IF(AND('331-CT'!$E$7=TH!H952,OR(J952="331",K952="331")),"x","")</f>
        <v/>
      </c>
    </row>
    <row r="953" spans="1:12">
      <c r="A953" s="78">
        <f t="shared" si="43"/>
        <v>2015</v>
      </c>
      <c r="B953" s="78">
        <f t="shared" si="44"/>
        <v>10</v>
      </c>
      <c r="C953" s="79">
        <v>42303</v>
      </c>
      <c r="D953" s="79" t="s">
        <v>519</v>
      </c>
      <c r="E953" s="79">
        <v>42303</v>
      </c>
      <c r="F953" s="82" t="s">
        <v>678</v>
      </c>
      <c r="G953" s="273" t="s">
        <v>680</v>
      </c>
      <c r="H953" s="128" t="s">
        <v>681</v>
      </c>
      <c r="I953" s="80">
        <v>16000000</v>
      </c>
      <c r="J953" s="81" t="s">
        <v>669</v>
      </c>
      <c r="K953" s="81" t="s">
        <v>203</v>
      </c>
      <c r="L953" s="140" t="str">
        <f>IF(AND('331-CT'!$E$7=TH!H953,OR(J953="331",K953="331")),"x","")</f>
        <v/>
      </c>
    </row>
    <row r="954" spans="1:12">
      <c r="A954" s="78">
        <f t="shared" si="43"/>
        <v>2015</v>
      </c>
      <c r="B954" s="78">
        <f t="shared" si="44"/>
        <v>10</v>
      </c>
      <c r="C954" s="79">
        <v>42303</v>
      </c>
      <c r="D954" s="79" t="s">
        <v>519</v>
      </c>
      <c r="E954" s="79">
        <v>42303</v>
      </c>
      <c r="F954" s="82" t="s">
        <v>679</v>
      </c>
      <c r="G954" s="273" t="s">
        <v>680</v>
      </c>
      <c r="H954" s="128" t="s">
        <v>681</v>
      </c>
      <c r="I954" s="80">
        <v>1600000</v>
      </c>
      <c r="J954" s="81" t="s">
        <v>19</v>
      </c>
      <c r="K954" s="81" t="s">
        <v>203</v>
      </c>
      <c r="L954" s="140" t="str">
        <f>IF(AND('331-CT'!$E$7=TH!H954,OR(J954="331",K954="331")),"x","")</f>
        <v/>
      </c>
    </row>
    <row r="955" spans="1:12">
      <c r="A955" s="78">
        <f t="shared" si="43"/>
        <v>2015</v>
      </c>
      <c r="B955" s="78">
        <f t="shared" si="44"/>
        <v>10</v>
      </c>
      <c r="C955" s="79">
        <v>42303</v>
      </c>
      <c r="D955" s="79" t="s">
        <v>520</v>
      </c>
      <c r="E955" s="79">
        <v>42303</v>
      </c>
      <c r="F955" s="82" t="s">
        <v>590</v>
      </c>
      <c r="G955" s="273"/>
      <c r="H955" s="128" t="s">
        <v>272</v>
      </c>
      <c r="I955" s="80">
        <v>20000000</v>
      </c>
      <c r="J955" s="81" t="s">
        <v>54</v>
      </c>
      <c r="K955" s="81" t="s">
        <v>203</v>
      </c>
      <c r="L955" s="140" t="str">
        <f>IF(AND('331-CT'!$E$7=TH!H955,OR(J955="331",K955="331")),"x","")</f>
        <v/>
      </c>
    </row>
    <row r="956" spans="1:12">
      <c r="A956" s="78">
        <f t="shared" si="43"/>
        <v>2015</v>
      </c>
      <c r="B956" s="78">
        <f t="shared" si="44"/>
        <v>10</v>
      </c>
      <c r="C956" s="79">
        <v>42303</v>
      </c>
      <c r="D956" s="79" t="s">
        <v>521</v>
      </c>
      <c r="E956" s="79">
        <f>C956</f>
        <v>42303</v>
      </c>
      <c r="F956" s="82" t="s">
        <v>761</v>
      </c>
      <c r="G956" s="278" t="s">
        <v>775</v>
      </c>
      <c r="H956" s="128" t="s">
        <v>763</v>
      </c>
      <c r="I956" s="80">
        <v>15000000</v>
      </c>
      <c r="J956" s="81" t="s">
        <v>669</v>
      </c>
      <c r="K956" s="81" t="s">
        <v>203</v>
      </c>
      <c r="L956" s="140" t="str">
        <f>IF(AND('331-CT'!$E$7=TH!H956,OR(J956="331",K956="331")),"x","")</f>
        <v/>
      </c>
    </row>
    <row r="957" spans="1:12">
      <c r="A957" s="78">
        <f t="shared" si="43"/>
        <v>2015</v>
      </c>
      <c r="B957" s="78">
        <f t="shared" si="44"/>
        <v>10</v>
      </c>
      <c r="C957" s="79">
        <v>42303</v>
      </c>
      <c r="D957" s="79" t="s">
        <v>521</v>
      </c>
      <c r="E957" s="79">
        <f>C957</f>
        <v>42303</v>
      </c>
      <c r="F957" s="82" t="s">
        <v>764</v>
      </c>
      <c r="G957" s="278" t="s">
        <v>775</v>
      </c>
      <c r="H957" s="128" t="s">
        <v>763</v>
      </c>
      <c r="I957" s="80">
        <v>1500000</v>
      </c>
      <c r="J957" s="81" t="s">
        <v>19</v>
      </c>
      <c r="K957" s="81" t="s">
        <v>203</v>
      </c>
      <c r="L957" s="140" t="str">
        <f>IF(AND('331-CT'!$E$7=TH!H957,OR(J957="331",K957="331")),"x","")</f>
        <v/>
      </c>
    </row>
    <row r="958" spans="1:12">
      <c r="A958" s="78">
        <f t="shared" si="43"/>
        <v>2015</v>
      </c>
      <c r="B958" s="78">
        <f t="shared" si="44"/>
        <v>10</v>
      </c>
      <c r="C958" s="79">
        <v>42304</v>
      </c>
      <c r="D958" s="79" t="s">
        <v>17</v>
      </c>
      <c r="E958" s="79">
        <v>42304</v>
      </c>
      <c r="F958" s="82" t="s">
        <v>759</v>
      </c>
      <c r="G958" s="273"/>
      <c r="H958" s="128" t="s">
        <v>646</v>
      </c>
      <c r="I958" s="80">
        <v>20382000</v>
      </c>
      <c r="J958" s="81" t="s">
        <v>18</v>
      </c>
      <c r="K958" s="81" t="s">
        <v>54</v>
      </c>
      <c r="L958" s="140" t="str">
        <f>IF(AND('331-CT'!$E$7=TH!H958,OR(J958="331",K958="331")),"x","")</f>
        <v/>
      </c>
    </row>
    <row r="959" spans="1:12">
      <c r="A959" s="78">
        <f t="shared" si="43"/>
        <v>2015</v>
      </c>
      <c r="B959" s="78">
        <f t="shared" si="44"/>
        <v>10</v>
      </c>
      <c r="C959" s="79">
        <v>42304</v>
      </c>
      <c r="D959" s="79" t="s">
        <v>17</v>
      </c>
      <c r="E959" s="79">
        <v>42304</v>
      </c>
      <c r="F959" s="82" t="s">
        <v>34</v>
      </c>
      <c r="G959" s="273"/>
      <c r="H959" s="128"/>
      <c r="I959" s="80">
        <v>45000</v>
      </c>
      <c r="J959" s="81" t="s">
        <v>242</v>
      </c>
      <c r="K959" s="81" t="s">
        <v>54</v>
      </c>
      <c r="L959" s="140" t="str">
        <f>IF(AND('331-CT'!$E$7=TH!H959,OR(J959="331",K959="331")),"x","")</f>
        <v/>
      </c>
    </row>
    <row r="960" spans="1:12">
      <c r="A960" s="78">
        <f t="shared" si="43"/>
        <v>2015</v>
      </c>
      <c r="B960" s="78">
        <f t="shared" si="44"/>
        <v>10</v>
      </c>
      <c r="C960" s="79">
        <v>42304</v>
      </c>
      <c r="D960" s="79" t="s">
        <v>17</v>
      </c>
      <c r="E960" s="79">
        <v>42304</v>
      </c>
      <c r="F960" s="82" t="s">
        <v>35</v>
      </c>
      <c r="G960" s="273"/>
      <c r="H960" s="128"/>
      <c r="I960" s="80">
        <v>4500</v>
      </c>
      <c r="J960" s="81" t="s">
        <v>19</v>
      </c>
      <c r="K960" s="81" t="s">
        <v>54</v>
      </c>
      <c r="L960" s="140" t="str">
        <f>IF(AND('331-CT'!$E$7=TH!H960,OR(J960="331",K960="331")),"x","")</f>
        <v/>
      </c>
    </row>
    <row r="961" spans="1:12">
      <c r="A961" s="78">
        <f t="shared" si="43"/>
        <v>2015</v>
      </c>
      <c r="B961" s="78">
        <f t="shared" si="44"/>
        <v>10</v>
      </c>
      <c r="C961" s="79">
        <v>42304</v>
      </c>
      <c r="D961" s="79" t="s">
        <v>78</v>
      </c>
      <c r="E961" s="79">
        <v>42304</v>
      </c>
      <c r="F961" s="82" t="s">
        <v>776</v>
      </c>
      <c r="G961" s="278" t="s">
        <v>777</v>
      </c>
      <c r="H961" s="128" t="s">
        <v>778</v>
      </c>
      <c r="I961" s="80">
        <v>9272640</v>
      </c>
      <c r="J961" s="81" t="s">
        <v>242</v>
      </c>
      <c r="K961" s="81" t="s">
        <v>18</v>
      </c>
      <c r="L961" s="140" t="str">
        <f>IF(AND('331-CT'!$E$7=TH!H961,OR(J961="331",K961="331")),"x","")</f>
        <v/>
      </c>
    </row>
    <row r="962" spans="1:12">
      <c r="A962" s="78">
        <f t="shared" si="43"/>
        <v>2015</v>
      </c>
      <c r="B962" s="78">
        <f t="shared" si="44"/>
        <v>10</v>
      </c>
      <c r="C962" s="79">
        <v>42304</v>
      </c>
      <c r="D962" s="79" t="s">
        <v>78</v>
      </c>
      <c r="E962" s="79">
        <v>42304</v>
      </c>
      <c r="F962" s="82" t="s">
        <v>779</v>
      </c>
      <c r="G962" s="278" t="s">
        <v>777</v>
      </c>
      <c r="H962" s="128" t="s">
        <v>778</v>
      </c>
      <c r="I962" s="80">
        <v>927264</v>
      </c>
      <c r="J962" s="81" t="s">
        <v>19</v>
      </c>
      <c r="K962" s="81" t="s">
        <v>18</v>
      </c>
      <c r="L962" s="140" t="str">
        <f>IF(AND('331-CT'!$E$7=TH!H962,OR(J962="331",K962="331")),"x","")</f>
        <v/>
      </c>
    </row>
    <row r="963" spans="1:12">
      <c r="A963" s="78">
        <f t="shared" si="43"/>
        <v>2015</v>
      </c>
      <c r="B963" s="78">
        <f t="shared" si="44"/>
        <v>10</v>
      </c>
      <c r="C963" s="79">
        <v>42305</v>
      </c>
      <c r="D963" s="79" t="s">
        <v>522</v>
      </c>
      <c r="E963" s="79">
        <v>42303</v>
      </c>
      <c r="F963" s="82" t="s">
        <v>590</v>
      </c>
      <c r="G963" s="273"/>
      <c r="H963" s="128" t="s">
        <v>272</v>
      </c>
      <c r="I963" s="80">
        <v>400000000</v>
      </c>
      <c r="J963" s="81" t="s">
        <v>54</v>
      </c>
      <c r="K963" s="81" t="s">
        <v>203</v>
      </c>
      <c r="L963" s="140" t="str">
        <f>IF(AND('331-CT'!$E$7=TH!H963,OR(J963="331",K963="331")),"x","")</f>
        <v/>
      </c>
    </row>
    <row r="964" spans="1:12">
      <c r="A964" s="78">
        <f t="shared" si="43"/>
        <v>2015</v>
      </c>
      <c r="B964" s="78">
        <f t="shared" si="44"/>
        <v>10</v>
      </c>
      <c r="C964" s="79">
        <v>42305</v>
      </c>
      <c r="D964" s="79" t="s">
        <v>17</v>
      </c>
      <c r="E964" s="79">
        <v>42305</v>
      </c>
      <c r="F964" s="82" t="s">
        <v>301</v>
      </c>
      <c r="G964" s="273"/>
      <c r="H964" s="128" t="s">
        <v>306</v>
      </c>
      <c r="I964" s="80">
        <v>400000000</v>
      </c>
      <c r="J964" s="81" t="s">
        <v>18</v>
      </c>
      <c r="K964" s="81" t="s">
        <v>54</v>
      </c>
      <c r="L964" s="140" t="str">
        <f>IF(AND('331-CT'!$E$7=TH!H964,OR(J964="331",K964="331")),"x","")</f>
        <v/>
      </c>
    </row>
    <row r="965" spans="1:12">
      <c r="A965" s="78">
        <f t="shared" si="43"/>
        <v>2015</v>
      </c>
      <c r="B965" s="78">
        <f t="shared" si="44"/>
        <v>10</v>
      </c>
      <c r="C965" s="79">
        <v>42305</v>
      </c>
      <c r="D965" s="79" t="s">
        <v>17</v>
      </c>
      <c r="E965" s="79">
        <v>42305</v>
      </c>
      <c r="F965" s="82" t="s">
        <v>34</v>
      </c>
      <c r="G965" s="273"/>
      <c r="H965" s="128"/>
      <c r="I965" s="80">
        <v>317438</v>
      </c>
      <c r="J965" s="81" t="s">
        <v>242</v>
      </c>
      <c r="K965" s="81" t="s">
        <v>54</v>
      </c>
      <c r="L965" s="140" t="str">
        <f>IF(AND('331-CT'!$E$7=TH!H965,OR(J965="331",K965="331")),"x","")</f>
        <v/>
      </c>
    </row>
    <row r="966" spans="1:12">
      <c r="A966" s="78">
        <f t="shared" si="43"/>
        <v>2015</v>
      </c>
      <c r="B966" s="78">
        <f t="shared" si="44"/>
        <v>10</v>
      </c>
      <c r="C966" s="79">
        <v>42305</v>
      </c>
      <c r="D966" s="79" t="s">
        <v>17</v>
      </c>
      <c r="E966" s="79">
        <v>42305</v>
      </c>
      <c r="F966" s="82" t="s">
        <v>35</v>
      </c>
      <c r="G966" s="273"/>
      <c r="H966" s="128"/>
      <c r="I966" s="80">
        <v>31744</v>
      </c>
      <c r="J966" s="81" t="s">
        <v>19</v>
      </c>
      <c r="K966" s="81" t="s">
        <v>54</v>
      </c>
      <c r="L966" s="140" t="str">
        <f>IF(AND('331-CT'!$E$7=TH!H966,OR(J966="331",K966="331")),"x","")</f>
        <v/>
      </c>
    </row>
    <row r="967" spans="1:12">
      <c r="A967" s="78">
        <f t="shared" si="43"/>
        <v>2015</v>
      </c>
      <c r="B967" s="78">
        <f t="shared" si="44"/>
        <v>10</v>
      </c>
      <c r="C967" s="79">
        <v>42306</v>
      </c>
      <c r="D967" s="79" t="s">
        <v>523</v>
      </c>
      <c r="E967" s="79">
        <f>C967</f>
        <v>42306</v>
      </c>
      <c r="F967" s="82" t="s">
        <v>780</v>
      </c>
      <c r="G967" s="278" t="s">
        <v>781</v>
      </c>
      <c r="H967" s="128" t="s">
        <v>763</v>
      </c>
      <c r="I967" s="80">
        <v>17100000</v>
      </c>
      <c r="J967" s="81" t="s">
        <v>669</v>
      </c>
      <c r="K967" s="81" t="s">
        <v>203</v>
      </c>
      <c r="L967" s="140" t="str">
        <f>IF(AND('331-CT'!$E$7=TH!H967,OR(J967="331",K967="331")),"x","")</f>
        <v/>
      </c>
    </row>
    <row r="968" spans="1:12">
      <c r="A968" s="78">
        <f t="shared" si="43"/>
        <v>2015</v>
      </c>
      <c r="B968" s="78">
        <f t="shared" si="44"/>
        <v>10</v>
      </c>
      <c r="C968" s="79">
        <v>42306</v>
      </c>
      <c r="D968" s="79" t="s">
        <v>523</v>
      </c>
      <c r="E968" s="79">
        <f>C968</f>
        <v>42306</v>
      </c>
      <c r="F968" s="82" t="s">
        <v>782</v>
      </c>
      <c r="G968" s="278" t="s">
        <v>781</v>
      </c>
      <c r="H968" s="128" t="s">
        <v>763</v>
      </c>
      <c r="I968" s="80">
        <v>1710000</v>
      </c>
      <c r="J968" s="81" t="s">
        <v>19</v>
      </c>
      <c r="K968" s="81" t="s">
        <v>203</v>
      </c>
      <c r="L968" s="140" t="str">
        <f>IF(AND('331-CT'!$E$7=TH!H968,OR(J968="331",K968="331")),"x","")</f>
        <v/>
      </c>
    </row>
    <row r="969" spans="1:12">
      <c r="A969" s="78">
        <f t="shared" si="43"/>
        <v>2015</v>
      </c>
      <c r="B969" s="78">
        <f t="shared" si="44"/>
        <v>10</v>
      </c>
      <c r="C969" s="79">
        <v>42307</v>
      </c>
      <c r="D969" s="79" t="s">
        <v>524</v>
      </c>
      <c r="E969" s="79">
        <v>42307</v>
      </c>
      <c r="F969" s="82" t="s">
        <v>640</v>
      </c>
      <c r="G969" s="273" t="s">
        <v>750</v>
      </c>
      <c r="H969" s="128" t="s">
        <v>643</v>
      </c>
      <c r="I969" s="80">
        <v>1650000</v>
      </c>
      <c r="J969" s="81" t="s">
        <v>669</v>
      </c>
      <c r="K969" s="81" t="s">
        <v>203</v>
      </c>
      <c r="L969" s="140" t="str">
        <f>IF(AND('331-CT'!$E$7=TH!H969,OR(J969="331",K969="331")),"x","")</f>
        <v/>
      </c>
    </row>
    <row r="970" spans="1:12">
      <c r="A970" s="78">
        <f t="shared" ref="A970:A1033" si="45">IF(C970&lt;&gt;"",YEAR(C970),"")</f>
        <v>2015</v>
      </c>
      <c r="B970" s="78">
        <f t="shared" ref="B970:B1033" si="46">IF(C970&lt;&gt;"",MONTH(C970),"")</f>
        <v>10</v>
      </c>
      <c r="C970" s="79">
        <v>42307</v>
      </c>
      <c r="D970" s="79" t="s">
        <v>524</v>
      </c>
      <c r="E970" s="79">
        <v>42307</v>
      </c>
      <c r="F970" s="82" t="s">
        <v>641</v>
      </c>
      <c r="G970" s="273" t="s">
        <v>750</v>
      </c>
      <c r="H970" s="128" t="s">
        <v>643</v>
      </c>
      <c r="I970" s="80">
        <v>165000</v>
      </c>
      <c r="J970" s="81" t="s">
        <v>19</v>
      </c>
      <c r="K970" s="81" t="s">
        <v>203</v>
      </c>
      <c r="L970" s="140" t="str">
        <f>IF(AND('331-CT'!$E$7=TH!H970,OR(J970="331",K970="331")),"x","")</f>
        <v/>
      </c>
    </row>
    <row r="971" spans="1:12">
      <c r="A971" s="78">
        <f t="shared" si="45"/>
        <v>2015</v>
      </c>
      <c r="B971" s="78">
        <f t="shared" si="46"/>
        <v>10</v>
      </c>
      <c r="C971" s="79">
        <v>42308</v>
      </c>
      <c r="D971" s="79" t="s">
        <v>525</v>
      </c>
      <c r="E971" s="79">
        <f>C971</f>
        <v>42308</v>
      </c>
      <c r="F971" s="82" t="s">
        <v>761</v>
      </c>
      <c r="G971" s="278" t="s">
        <v>783</v>
      </c>
      <c r="H971" s="128" t="s">
        <v>763</v>
      </c>
      <c r="I971" s="80">
        <v>15000000</v>
      </c>
      <c r="J971" s="81" t="s">
        <v>669</v>
      </c>
      <c r="K971" s="81" t="s">
        <v>203</v>
      </c>
      <c r="L971" s="140" t="str">
        <f>IF(AND('331-CT'!$E$7=TH!H971,OR(J971="331",K971="331")),"x","")</f>
        <v/>
      </c>
    </row>
    <row r="972" spans="1:12">
      <c r="A972" s="78">
        <f t="shared" si="45"/>
        <v>2015</v>
      </c>
      <c r="B972" s="78">
        <f t="shared" si="46"/>
        <v>10</v>
      </c>
      <c r="C972" s="79">
        <v>42308</v>
      </c>
      <c r="D972" s="79" t="s">
        <v>525</v>
      </c>
      <c r="E972" s="79">
        <f>C972</f>
        <v>42308</v>
      </c>
      <c r="F972" s="82" t="s">
        <v>764</v>
      </c>
      <c r="G972" s="278" t="s">
        <v>783</v>
      </c>
      <c r="H972" s="128" t="s">
        <v>763</v>
      </c>
      <c r="I972" s="80">
        <v>1500000</v>
      </c>
      <c r="J972" s="81" t="s">
        <v>19</v>
      </c>
      <c r="K972" s="81" t="s">
        <v>203</v>
      </c>
      <c r="L972" s="140" t="str">
        <f>IF(AND('331-CT'!$E$7=TH!H972,OR(J972="331",K972="331")),"x","")</f>
        <v/>
      </c>
    </row>
    <row r="973" spans="1:12">
      <c r="A973" s="78" t="str">
        <f t="shared" si="45"/>
        <v/>
      </c>
      <c r="B973" s="78" t="str">
        <f t="shared" si="46"/>
        <v/>
      </c>
      <c r="C973" s="79"/>
      <c r="D973" s="79"/>
      <c r="E973" s="79"/>
      <c r="F973" s="82"/>
      <c r="G973" s="273"/>
      <c r="H973" s="128"/>
      <c r="I973" s="80"/>
      <c r="J973" s="81"/>
      <c r="K973" s="81"/>
      <c r="L973" s="140" t="str">
        <f>IF(AND('331-CT'!$E$7=TH!H973,OR(J973="331",K973="331")),"x","")</f>
        <v/>
      </c>
    </row>
    <row r="974" spans="1:12">
      <c r="A974" s="78" t="str">
        <f t="shared" si="45"/>
        <v/>
      </c>
      <c r="B974" s="78" t="str">
        <f t="shared" si="46"/>
        <v/>
      </c>
      <c r="C974" s="79"/>
      <c r="D974" s="79"/>
      <c r="E974" s="79"/>
      <c r="F974" s="82"/>
      <c r="G974" s="273"/>
      <c r="H974" s="128"/>
      <c r="I974" s="80"/>
      <c r="J974" s="81"/>
      <c r="K974" s="81"/>
      <c r="L974" s="140" t="str">
        <f>IF(AND('331-CT'!$E$7=TH!H974,OR(J974="331",K974="331")),"x","")</f>
        <v/>
      </c>
    </row>
    <row r="975" spans="1:12">
      <c r="A975" s="78" t="str">
        <f t="shared" si="45"/>
        <v/>
      </c>
      <c r="B975" s="78" t="str">
        <f t="shared" si="46"/>
        <v/>
      </c>
      <c r="C975" s="79"/>
      <c r="D975" s="79"/>
      <c r="E975" s="79"/>
      <c r="F975" s="82"/>
      <c r="G975" s="273"/>
      <c r="H975" s="128"/>
      <c r="I975" s="80"/>
      <c r="J975" s="81"/>
      <c r="K975" s="81"/>
      <c r="L975" s="140" t="str">
        <f>IF(AND('331-CT'!$E$7=TH!H975,OR(J975="331",K975="331")),"x","")</f>
        <v/>
      </c>
    </row>
    <row r="976" spans="1:12">
      <c r="A976" s="78" t="str">
        <f t="shared" si="45"/>
        <v/>
      </c>
      <c r="B976" s="78" t="str">
        <f t="shared" si="46"/>
        <v/>
      </c>
      <c r="C976" s="79"/>
      <c r="D976" s="79"/>
      <c r="E976" s="79"/>
      <c r="F976" s="82"/>
      <c r="G976" s="273"/>
      <c r="H976" s="128"/>
      <c r="I976" s="80"/>
      <c r="J976" s="81"/>
      <c r="K976" s="81"/>
      <c r="L976" s="140" t="str">
        <f>IF(AND('331-CT'!$E$7=TH!H976,OR(J976="331",K976="331")),"x","")</f>
        <v/>
      </c>
    </row>
    <row r="977" spans="1:12">
      <c r="A977" s="78" t="str">
        <f t="shared" si="45"/>
        <v/>
      </c>
      <c r="B977" s="78" t="str">
        <f t="shared" si="46"/>
        <v/>
      </c>
      <c r="C977" s="79"/>
      <c r="D977" s="79"/>
      <c r="E977" s="79"/>
      <c r="F977" s="82"/>
      <c r="G977" s="273"/>
      <c r="H977" s="128"/>
      <c r="I977" s="80"/>
      <c r="J977" s="81"/>
      <c r="K977" s="81"/>
      <c r="L977" s="140" t="str">
        <f>IF(AND('331-CT'!$E$7=TH!H977,OR(J977="331",K977="331")),"x","")</f>
        <v/>
      </c>
    </row>
    <row r="978" spans="1:12">
      <c r="A978" s="78" t="str">
        <f t="shared" si="45"/>
        <v/>
      </c>
      <c r="B978" s="78" t="str">
        <f t="shared" si="46"/>
        <v/>
      </c>
      <c r="C978" s="79"/>
      <c r="D978" s="79"/>
      <c r="E978" s="79"/>
      <c r="F978" s="82"/>
      <c r="G978" s="273"/>
      <c r="H978" s="128"/>
      <c r="I978" s="80"/>
      <c r="J978" s="81"/>
      <c r="K978" s="81"/>
      <c r="L978" s="140" t="str">
        <f>IF(AND('331-CT'!$E$7=TH!H978,OR(J978="331",K978="331")),"x","")</f>
        <v/>
      </c>
    </row>
    <row r="979" spans="1:12">
      <c r="A979" s="78" t="str">
        <f t="shared" si="45"/>
        <v/>
      </c>
      <c r="B979" s="78" t="str">
        <f t="shared" si="46"/>
        <v/>
      </c>
      <c r="C979" s="79"/>
      <c r="D979" s="79"/>
      <c r="E979" s="79"/>
      <c r="F979" s="82"/>
      <c r="G979" s="273"/>
      <c r="H979" s="128"/>
      <c r="I979" s="80"/>
      <c r="J979" s="81"/>
      <c r="K979" s="81"/>
      <c r="L979" s="140" t="str">
        <f>IF(AND('331-CT'!$E$7=TH!H979,OR(J979="331",K979="331")),"x","")</f>
        <v/>
      </c>
    </row>
    <row r="980" spans="1:12">
      <c r="A980" s="78" t="str">
        <f t="shared" si="45"/>
        <v/>
      </c>
      <c r="B980" s="78" t="str">
        <f t="shared" si="46"/>
        <v/>
      </c>
      <c r="C980" s="79"/>
      <c r="D980" s="79"/>
      <c r="E980" s="79"/>
      <c r="F980" s="82"/>
      <c r="G980" s="273"/>
      <c r="H980" s="128"/>
      <c r="I980" s="80"/>
      <c r="J980" s="81"/>
      <c r="K980" s="81"/>
      <c r="L980" s="140" t="str">
        <f>IF(AND('331-CT'!$E$7=TH!H980,OR(J980="331",K980="331")),"x","")</f>
        <v/>
      </c>
    </row>
    <row r="981" spans="1:12">
      <c r="A981" s="78" t="str">
        <f t="shared" si="45"/>
        <v/>
      </c>
      <c r="B981" s="78" t="str">
        <f t="shared" si="46"/>
        <v/>
      </c>
      <c r="C981" s="79"/>
      <c r="D981" s="79"/>
      <c r="E981" s="79"/>
      <c r="F981" s="82"/>
      <c r="G981" s="273"/>
      <c r="H981" s="128"/>
      <c r="I981" s="80"/>
      <c r="J981" s="81"/>
      <c r="K981" s="81"/>
      <c r="L981" s="140" t="str">
        <f>IF(AND('331-CT'!$E$7=TH!H981,OR(J981="331",K981="331")),"x","")</f>
        <v/>
      </c>
    </row>
    <row r="982" spans="1:12">
      <c r="A982" s="78" t="str">
        <f t="shared" si="45"/>
        <v/>
      </c>
      <c r="B982" s="78" t="str">
        <f t="shared" si="46"/>
        <v/>
      </c>
      <c r="C982" s="79"/>
      <c r="D982" s="79"/>
      <c r="E982" s="79"/>
      <c r="F982" s="82"/>
      <c r="G982" s="273"/>
      <c r="H982" s="128"/>
      <c r="I982" s="80"/>
      <c r="J982" s="81"/>
      <c r="K982" s="81"/>
      <c r="L982" s="140" t="str">
        <f>IF(AND('331-CT'!$E$7=TH!H982,OR(J982="331",K982="331")),"x","")</f>
        <v/>
      </c>
    </row>
    <row r="983" spans="1:12">
      <c r="A983" s="78" t="str">
        <f t="shared" si="45"/>
        <v/>
      </c>
      <c r="B983" s="78" t="str">
        <f t="shared" si="46"/>
        <v/>
      </c>
      <c r="C983" s="79"/>
      <c r="D983" s="79"/>
      <c r="E983" s="79"/>
      <c r="F983" s="82"/>
      <c r="G983" s="273"/>
      <c r="H983" s="128"/>
      <c r="I983" s="80"/>
      <c r="J983" s="81"/>
      <c r="K983" s="81"/>
      <c r="L983" s="140" t="str">
        <f>IF(AND('331-CT'!$E$7=TH!H983,OR(J983="331",K983="331")),"x","")</f>
        <v/>
      </c>
    </row>
    <row r="984" spans="1:12">
      <c r="A984" s="78" t="str">
        <f t="shared" si="45"/>
        <v/>
      </c>
      <c r="B984" s="78" t="str">
        <f t="shared" si="46"/>
        <v/>
      </c>
      <c r="C984" s="79"/>
      <c r="D984" s="79"/>
      <c r="E984" s="79"/>
      <c r="F984" s="82"/>
      <c r="G984" s="273"/>
      <c r="H984" s="128"/>
      <c r="I984" s="80"/>
      <c r="J984" s="81"/>
      <c r="K984" s="81"/>
      <c r="L984" s="140" t="str">
        <f>IF(AND('331-CT'!$E$7=TH!H984,OR(J984="331",K984="331")),"x","")</f>
        <v/>
      </c>
    </row>
    <row r="985" spans="1:12">
      <c r="A985" s="78" t="str">
        <f t="shared" si="45"/>
        <v/>
      </c>
      <c r="B985" s="78" t="str">
        <f t="shared" si="46"/>
        <v/>
      </c>
      <c r="C985" s="79"/>
      <c r="D985" s="79"/>
      <c r="E985" s="79"/>
      <c r="F985" s="82"/>
      <c r="G985" s="273"/>
      <c r="H985" s="128"/>
      <c r="I985" s="80"/>
      <c r="J985" s="81"/>
      <c r="K985" s="81"/>
      <c r="L985" s="140" t="str">
        <f>IF(AND('331-CT'!$E$7=TH!H985,OR(J985="331",K985="331")),"x","")</f>
        <v/>
      </c>
    </row>
    <row r="986" spans="1:12">
      <c r="A986" s="78" t="str">
        <f t="shared" si="45"/>
        <v/>
      </c>
      <c r="B986" s="78" t="str">
        <f t="shared" si="46"/>
        <v/>
      </c>
      <c r="C986" s="79"/>
      <c r="D986" s="79"/>
      <c r="E986" s="79"/>
      <c r="F986" s="82"/>
      <c r="G986" s="273"/>
      <c r="H986" s="128"/>
      <c r="I986" s="80"/>
      <c r="J986" s="81"/>
      <c r="K986" s="81"/>
      <c r="L986" s="140" t="str">
        <f>IF(AND('331-CT'!$E$7=TH!H986,OR(J986="331",K986="331")),"x","")</f>
        <v/>
      </c>
    </row>
    <row r="987" spans="1:12">
      <c r="A987" s="78" t="str">
        <f t="shared" si="45"/>
        <v/>
      </c>
      <c r="B987" s="78" t="str">
        <f t="shared" si="46"/>
        <v/>
      </c>
      <c r="C987" s="79"/>
      <c r="D987" s="79"/>
      <c r="E987" s="79"/>
      <c r="F987" s="82"/>
      <c r="G987" s="273"/>
      <c r="H987" s="128"/>
      <c r="I987" s="80"/>
      <c r="J987" s="81"/>
      <c r="K987" s="81"/>
      <c r="L987" s="140" t="str">
        <f>IF(AND('331-CT'!$E$7=TH!H987,OR(J987="331",K987="331")),"x","")</f>
        <v/>
      </c>
    </row>
    <row r="988" spans="1:12">
      <c r="A988" s="78" t="str">
        <f t="shared" si="45"/>
        <v/>
      </c>
      <c r="B988" s="78" t="str">
        <f t="shared" si="46"/>
        <v/>
      </c>
      <c r="C988" s="79"/>
      <c r="D988" s="79"/>
      <c r="E988" s="79"/>
      <c r="F988" s="82"/>
      <c r="G988" s="273"/>
      <c r="H988" s="128"/>
      <c r="I988" s="80"/>
      <c r="J988" s="81"/>
      <c r="K988" s="81"/>
      <c r="L988" s="140" t="str">
        <f>IF(AND('331-CT'!$E$7=TH!H988,OR(J988="331",K988="331")),"x","")</f>
        <v/>
      </c>
    </row>
    <row r="989" spans="1:12">
      <c r="A989" s="78" t="str">
        <f t="shared" si="45"/>
        <v/>
      </c>
      <c r="B989" s="78" t="str">
        <f t="shared" si="46"/>
        <v/>
      </c>
      <c r="C989" s="79"/>
      <c r="D989" s="79"/>
      <c r="E989" s="79"/>
      <c r="F989" s="82"/>
      <c r="G989" s="273"/>
      <c r="H989" s="128"/>
      <c r="I989" s="80"/>
      <c r="J989" s="81"/>
      <c r="K989" s="81"/>
      <c r="L989" s="140" t="str">
        <f>IF(AND('331-CT'!$E$7=TH!H989,OR(J989="331",K989="331")),"x","")</f>
        <v/>
      </c>
    </row>
    <row r="990" spans="1:12">
      <c r="A990" s="78" t="str">
        <f t="shared" si="45"/>
        <v/>
      </c>
      <c r="B990" s="78" t="str">
        <f t="shared" si="46"/>
        <v/>
      </c>
      <c r="C990" s="79"/>
      <c r="D990" s="79"/>
      <c r="E990" s="79"/>
      <c r="F990" s="82"/>
      <c r="G990" s="273"/>
      <c r="H990" s="128"/>
      <c r="I990" s="80"/>
      <c r="J990" s="81"/>
      <c r="K990" s="81"/>
      <c r="L990" s="140" t="str">
        <f>IF(AND('331-CT'!$E$7=TH!H990,OR(J990="331",K990="331")),"x","")</f>
        <v/>
      </c>
    </row>
    <row r="991" spans="1:12">
      <c r="A991" s="78" t="str">
        <f t="shared" si="45"/>
        <v/>
      </c>
      <c r="B991" s="78" t="str">
        <f t="shared" si="46"/>
        <v/>
      </c>
      <c r="C991" s="79"/>
      <c r="D991" s="79"/>
      <c r="E991" s="79"/>
      <c r="F991" s="82"/>
      <c r="G991" s="273"/>
      <c r="H991" s="128"/>
      <c r="I991" s="80"/>
      <c r="J991" s="81"/>
      <c r="K991" s="81"/>
      <c r="L991" s="140" t="str">
        <f>IF(AND('331-CT'!$E$7=TH!H991,OR(J991="331",K991="331")),"x","")</f>
        <v/>
      </c>
    </row>
    <row r="992" spans="1:12">
      <c r="A992" s="78" t="str">
        <f t="shared" si="45"/>
        <v/>
      </c>
      <c r="B992" s="78" t="str">
        <f t="shared" si="46"/>
        <v/>
      </c>
      <c r="C992" s="79"/>
      <c r="D992" s="79"/>
      <c r="E992" s="79"/>
      <c r="F992" s="82"/>
      <c r="G992" s="273"/>
      <c r="H992" s="128"/>
      <c r="I992" s="80"/>
      <c r="J992" s="81"/>
      <c r="K992" s="81"/>
      <c r="L992" s="140" t="str">
        <f>IF(AND('331-CT'!$E$7=TH!H992,OR(J992="331",K992="331")),"x","")</f>
        <v/>
      </c>
    </row>
    <row r="993" spans="1:12">
      <c r="A993" s="78" t="str">
        <f t="shared" si="45"/>
        <v/>
      </c>
      <c r="B993" s="78" t="str">
        <f t="shared" si="46"/>
        <v/>
      </c>
      <c r="C993" s="79"/>
      <c r="D993" s="79"/>
      <c r="E993" s="79"/>
      <c r="F993" s="82"/>
      <c r="G993" s="273"/>
      <c r="H993" s="128"/>
      <c r="I993" s="80"/>
      <c r="J993" s="81"/>
      <c r="K993" s="81"/>
      <c r="L993" s="140" t="str">
        <f>IF(AND('331-CT'!$E$7=TH!H993,OR(J993="331",K993="331")),"x","")</f>
        <v/>
      </c>
    </row>
    <row r="994" spans="1:12">
      <c r="A994" s="78" t="str">
        <f t="shared" si="45"/>
        <v/>
      </c>
      <c r="B994" s="78" t="str">
        <f t="shared" si="46"/>
        <v/>
      </c>
      <c r="C994" s="79"/>
      <c r="D994" s="79"/>
      <c r="E994" s="79"/>
      <c r="F994" s="82"/>
      <c r="G994" s="273"/>
      <c r="H994" s="128"/>
      <c r="I994" s="80"/>
      <c r="J994" s="81"/>
      <c r="K994" s="81"/>
      <c r="L994" s="140" t="str">
        <f>IF(AND('331-CT'!$E$7=TH!H994,OR(J994="331",K994="331")),"x","")</f>
        <v/>
      </c>
    </row>
    <row r="995" spans="1:12">
      <c r="A995" s="78" t="str">
        <f t="shared" si="45"/>
        <v/>
      </c>
      <c r="B995" s="78" t="str">
        <f t="shared" si="46"/>
        <v/>
      </c>
      <c r="C995" s="79"/>
      <c r="D995" s="79"/>
      <c r="E995" s="79"/>
      <c r="F995" s="82"/>
      <c r="G995" s="273"/>
      <c r="H995" s="128"/>
      <c r="I995" s="80"/>
      <c r="J995" s="81"/>
      <c r="K995" s="81"/>
      <c r="L995" s="140" t="str">
        <f>IF(AND('331-CT'!$E$7=TH!H995,OR(J995="331",K995="331")),"x","")</f>
        <v/>
      </c>
    </row>
    <row r="996" spans="1:12">
      <c r="A996" s="78" t="str">
        <f t="shared" si="45"/>
        <v/>
      </c>
      <c r="B996" s="78" t="str">
        <f t="shared" si="46"/>
        <v/>
      </c>
      <c r="C996" s="79"/>
      <c r="D996" s="79"/>
      <c r="E996" s="79"/>
      <c r="F996" s="82"/>
      <c r="G996" s="273"/>
      <c r="H996" s="128"/>
      <c r="I996" s="80"/>
      <c r="J996" s="81"/>
      <c r="K996" s="81"/>
      <c r="L996" s="140" t="str">
        <f>IF(AND('331-CT'!$E$7=TH!H996,OR(J996="331",K996="331")),"x","")</f>
        <v/>
      </c>
    </row>
    <row r="997" spans="1:12">
      <c r="A997" s="78" t="str">
        <f t="shared" si="45"/>
        <v/>
      </c>
      <c r="B997" s="78" t="str">
        <f t="shared" si="46"/>
        <v/>
      </c>
      <c r="C997" s="79"/>
      <c r="D997" s="79"/>
      <c r="E997" s="79"/>
      <c r="F997" s="82"/>
      <c r="G997" s="273"/>
      <c r="H997" s="128"/>
      <c r="I997" s="80"/>
      <c r="J997" s="81"/>
      <c r="K997" s="81"/>
      <c r="L997" s="140" t="str">
        <f>IF(AND('331-CT'!$E$7=TH!H997,OR(J997="331",K997="331")),"x","")</f>
        <v/>
      </c>
    </row>
    <row r="998" spans="1:12">
      <c r="A998" s="78" t="str">
        <f t="shared" si="45"/>
        <v/>
      </c>
      <c r="B998" s="78" t="str">
        <f t="shared" si="46"/>
        <v/>
      </c>
      <c r="C998" s="79"/>
      <c r="D998" s="79"/>
      <c r="E998" s="79"/>
      <c r="F998" s="82"/>
      <c r="G998" s="273"/>
      <c r="H998" s="128"/>
      <c r="I998" s="80"/>
      <c r="J998" s="81"/>
      <c r="K998" s="81"/>
      <c r="L998" s="140" t="str">
        <f>IF(AND('331-CT'!$E$7=TH!H998,OR(J998="331",K998="331")),"x","")</f>
        <v/>
      </c>
    </row>
    <row r="999" spans="1:12">
      <c r="A999" s="78" t="str">
        <f t="shared" si="45"/>
        <v/>
      </c>
      <c r="B999" s="78" t="str">
        <f t="shared" si="46"/>
        <v/>
      </c>
      <c r="C999" s="79"/>
      <c r="D999" s="79"/>
      <c r="E999" s="79"/>
      <c r="F999" s="82"/>
      <c r="G999" s="273"/>
      <c r="H999" s="128"/>
      <c r="I999" s="80"/>
      <c r="J999" s="81"/>
      <c r="K999" s="81"/>
      <c r="L999" s="140" t="str">
        <f>IF(AND('331-CT'!$E$7=TH!H999,OR(J999="331",K999="331")),"x","")</f>
        <v/>
      </c>
    </row>
    <row r="1000" spans="1:12">
      <c r="A1000" s="78" t="str">
        <f t="shared" si="45"/>
        <v/>
      </c>
      <c r="B1000" s="78" t="str">
        <f t="shared" si="46"/>
        <v/>
      </c>
      <c r="C1000" s="79"/>
      <c r="D1000" s="79"/>
      <c r="E1000" s="79"/>
      <c r="F1000" s="82"/>
      <c r="G1000" s="273"/>
      <c r="H1000" s="128"/>
      <c r="I1000" s="80"/>
      <c r="J1000" s="81"/>
      <c r="K1000" s="81"/>
      <c r="L1000" s="140" t="str">
        <f>IF(AND('331-CT'!$E$7=TH!H1000,OR(J1000="331",K1000="331")),"x","")</f>
        <v/>
      </c>
    </row>
    <row r="1001" spans="1:12">
      <c r="A1001" s="78" t="str">
        <f t="shared" si="45"/>
        <v/>
      </c>
      <c r="B1001" s="78" t="str">
        <f t="shared" si="46"/>
        <v/>
      </c>
      <c r="C1001" s="79"/>
      <c r="D1001" s="79"/>
      <c r="E1001" s="79"/>
      <c r="F1001" s="82"/>
      <c r="G1001" s="273"/>
      <c r="H1001" s="128"/>
      <c r="I1001" s="80"/>
      <c r="J1001" s="81"/>
      <c r="K1001" s="81"/>
      <c r="L1001" s="140" t="str">
        <f>IF(AND('331-CT'!$E$7=TH!H1001,OR(J1001="331",K1001="331")),"x","")</f>
        <v/>
      </c>
    </row>
    <row r="1002" spans="1:12">
      <c r="A1002" s="78" t="str">
        <f t="shared" si="45"/>
        <v/>
      </c>
      <c r="B1002" s="78" t="str">
        <f t="shared" si="46"/>
        <v/>
      </c>
      <c r="C1002" s="79"/>
      <c r="D1002" s="79"/>
      <c r="E1002" s="79"/>
      <c r="F1002" s="82"/>
      <c r="G1002" s="273"/>
      <c r="H1002" s="128"/>
      <c r="I1002" s="80"/>
      <c r="J1002" s="81"/>
      <c r="K1002" s="81"/>
      <c r="L1002" s="140" t="str">
        <f>IF(AND('331-CT'!$E$7=TH!H1002,OR(J1002="331",K1002="331")),"x","")</f>
        <v/>
      </c>
    </row>
    <row r="1003" spans="1:12">
      <c r="A1003" s="78" t="str">
        <f t="shared" si="45"/>
        <v/>
      </c>
      <c r="B1003" s="78" t="str">
        <f t="shared" si="46"/>
        <v/>
      </c>
      <c r="C1003" s="79"/>
      <c r="D1003" s="79"/>
      <c r="E1003" s="79"/>
      <c r="F1003" s="82"/>
      <c r="G1003" s="273"/>
      <c r="H1003" s="128"/>
      <c r="I1003" s="80"/>
      <c r="J1003" s="81"/>
      <c r="K1003" s="81"/>
      <c r="L1003" s="140" t="str">
        <f>IF(AND('331-CT'!$E$7=TH!H1003,OR(J1003="331",K1003="331")),"x","")</f>
        <v/>
      </c>
    </row>
    <row r="1004" spans="1:12">
      <c r="A1004" s="78" t="str">
        <f t="shared" si="45"/>
        <v/>
      </c>
      <c r="B1004" s="78" t="str">
        <f t="shared" si="46"/>
        <v/>
      </c>
      <c r="C1004" s="79"/>
      <c r="D1004" s="79"/>
      <c r="E1004" s="79"/>
      <c r="F1004" s="82"/>
      <c r="G1004" s="273"/>
      <c r="H1004" s="128"/>
      <c r="I1004" s="80"/>
      <c r="J1004" s="81"/>
      <c r="K1004" s="81"/>
      <c r="L1004" s="140" t="str">
        <f>IF(AND('331-CT'!$E$7=TH!H1004,OR(J1004="331",K1004="331")),"x","")</f>
        <v/>
      </c>
    </row>
    <row r="1005" spans="1:12">
      <c r="A1005" s="78" t="str">
        <f t="shared" si="45"/>
        <v/>
      </c>
      <c r="B1005" s="78" t="str">
        <f t="shared" si="46"/>
        <v/>
      </c>
      <c r="C1005" s="79"/>
      <c r="D1005" s="79"/>
      <c r="E1005" s="79"/>
      <c r="F1005" s="82"/>
      <c r="G1005" s="273"/>
      <c r="H1005" s="128"/>
      <c r="I1005" s="80"/>
      <c r="J1005" s="81"/>
      <c r="K1005" s="81"/>
      <c r="L1005" s="140" t="str">
        <f>IF(AND('331-CT'!$E$7=TH!H1005,OR(J1005="331",K1005="331")),"x","")</f>
        <v/>
      </c>
    </row>
    <row r="1006" spans="1:12">
      <c r="A1006" s="78" t="str">
        <f t="shared" si="45"/>
        <v/>
      </c>
      <c r="B1006" s="78" t="str">
        <f t="shared" si="46"/>
        <v/>
      </c>
      <c r="C1006" s="79"/>
      <c r="D1006" s="79"/>
      <c r="E1006" s="79"/>
      <c r="F1006" s="82"/>
      <c r="G1006" s="273"/>
      <c r="H1006" s="128"/>
      <c r="I1006" s="80"/>
      <c r="J1006" s="81"/>
      <c r="K1006" s="81"/>
      <c r="L1006" s="140" t="str">
        <f>IF(AND('331-CT'!$E$7=TH!H1006,OR(J1006="331",K1006="331")),"x","")</f>
        <v/>
      </c>
    </row>
    <row r="1007" spans="1:12">
      <c r="A1007" s="78" t="str">
        <f t="shared" si="45"/>
        <v/>
      </c>
      <c r="B1007" s="78" t="str">
        <f t="shared" si="46"/>
        <v/>
      </c>
      <c r="C1007" s="79"/>
      <c r="D1007" s="79"/>
      <c r="E1007" s="79"/>
      <c r="F1007" s="82"/>
      <c r="G1007" s="273"/>
      <c r="H1007" s="128"/>
      <c r="I1007" s="80"/>
      <c r="J1007" s="81"/>
      <c r="K1007" s="81"/>
      <c r="L1007" s="140" t="str">
        <f>IF(AND('331-CT'!$E$7=TH!H1007,OR(J1007="331",K1007="331")),"x","")</f>
        <v/>
      </c>
    </row>
    <row r="1008" spans="1:12">
      <c r="A1008" s="78" t="str">
        <f t="shared" si="45"/>
        <v/>
      </c>
      <c r="B1008" s="78" t="str">
        <f t="shared" si="46"/>
        <v/>
      </c>
      <c r="C1008" s="79"/>
      <c r="D1008" s="79"/>
      <c r="E1008" s="79"/>
      <c r="F1008" s="82"/>
      <c r="G1008" s="273"/>
      <c r="H1008" s="128"/>
      <c r="I1008" s="80"/>
      <c r="J1008" s="81"/>
      <c r="K1008" s="81"/>
      <c r="L1008" s="140" t="str">
        <f>IF(AND('331-CT'!$E$7=TH!H1008,OR(J1008="331",K1008="331")),"x","")</f>
        <v/>
      </c>
    </row>
    <row r="1009" spans="1:12">
      <c r="A1009" s="78" t="str">
        <f t="shared" si="45"/>
        <v/>
      </c>
      <c r="B1009" s="78" t="str">
        <f t="shared" si="46"/>
        <v/>
      </c>
      <c r="C1009" s="79"/>
      <c r="D1009" s="79"/>
      <c r="E1009" s="79"/>
      <c r="F1009" s="82"/>
      <c r="G1009" s="273"/>
      <c r="H1009" s="128"/>
      <c r="I1009" s="80"/>
      <c r="J1009" s="81"/>
      <c r="K1009" s="81"/>
      <c r="L1009" s="140" t="str">
        <f>IF(AND('331-CT'!$E$7=TH!H1009,OR(J1009="331",K1009="331")),"x","")</f>
        <v/>
      </c>
    </row>
    <row r="1010" spans="1:12">
      <c r="A1010" s="78" t="str">
        <f t="shared" si="45"/>
        <v/>
      </c>
      <c r="B1010" s="78" t="str">
        <f t="shared" si="46"/>
        <v/>
      </c>
      <c r="C1010" s="79"/>
      <c r="D1010" s="79"/>
      <c r="E1010" s="79"/>
      <c r="F1010" s="82"/>
      <c r="G1010" s="273"/>
      <c r="H1010" s="128"/>
      <c r="I1010" s="80"/>
      <c r="J1010" s="81"/>
      <c r="K1010" s="81"/>
      <c r="L1010" s="140" t="str">
        <f>IF(AND('331-CT'!$E$7=TH!H1010,OR(J1010="331",K1010="331")),"x","")</f>
        <v/>
      </c>
    </row>
    <row r="1011" spans="1:12">
      <c r="A1011" s="78" t="str">
        <f t="shared" si="45"/>
        <v/>
      </c>
      <c r="B1011" s="78" t="str">
        <f t="shared" si="46"/>
        <v/>
      </c>
      <c r="C1011" s="79"/>
      <c r="D1011" s="79"/>
      <c r="E1011" s="79"/>
      <c r="F1011" s="82"/>
      <c r="G1011" s="273"/>
      <c r="H1011" s="128"/>
      <c r="I1011" s="80"/>
      <c r="J1011" s="81"/>
      <c r="K1011" s="81"/>
      <c r="L1011" s="140" t="str">
        <f>IF(AND('331-CT'!$E$7=TH!H1011,OR(J1011="331",K1011="331")),"x","")</f>
        <v/>
      </c>
    </row>
    <row r="1012" spans="1:12">
      <c r="A1012" s="78" t="str">
        <f t="shared" si="45"/>
        <v/>
      </c>
      <c r="B1012" s="78" t="str">
        <f t="shared" si="46"/>
        <v/>
      </c>
      <c r="C1012" s="79"/>
      <c r="D1012" s="79"/>
      <c r="E1012" s="79"/>
      <c r="F1012" s="82"/>
      <c r="G1012" s="273"/>
      <c r="H1012" s="128"/>
      <c r="I1012" s="80"/>
      <c r="J1012" s="81"/>
      <c r="K1012" s="81"/>
      <c r="L1012" s="140" t="str">
        <f>IF(AND('331-CT'!$E$7=TH!H1012,OR(J1012="331",K1012="331")),"x","")</f>
        <v/>
      </c>
    </row>
    <row r="1013" spans="1:12">
      <c r="A1013" s="78" t="str">
        <f t="shared" si="45"/>
        <v/>
      </c>
      <c r="B1013" s="78" t="str">
        <f t="shared" si="46"/>
        <v/>
      </c>
      <c r="C1013" s="79"/>
      <c r="D1013" s="79"/>
      <c r="E1013" s="79"/>
      <c r="F1013" s="82"/>
      <c r="G1013" s="273"/>
      <c r="H1013" s="128"/>
      <c r="I1013" s="80"/>
      <c r="J1013" s="81"/>
      <c r="K1013" s="81"/>
      <c r="L1013" s="140" t="str">
        <f>IF(AND('331-CT'!$E$7=TH!H1013,OR(J1013="331",K1013="331")),"x","")</f>
        <v/>
      </c>
    </row>
    <row r="1014" spans="1:12">
      <c r="A1014" s="78" t="str">
        <f t="shared" si="45"/>
        <v/>
      </c>
      <c r="B1014" s="78" t="str">
        <f t="shared" si="46"/>
        <v/>
      </c>
      <c r="C1014" s="79"/>
      <c r="D1014" s="79"/>
      <c r="E1014" s="79"/>
      <c r="F1014" s="82"/>
      <c r="G1014" s="273"/>
      <c r="H1014" s="128"/>
      <c r="I1014" s="80"/>
      <c r="J1014" s="81"/>
      <c r="K1014" s="81"/>
      <c r="L1014" s="140" t="str">
        <f>IF(AND('331-CT'!$E$7=TH!H1014,OR(J1014="331",K1014="331")),"x","")</f>
        <v/>
      </c>
    </row>
    <row r="1015" spans="1:12">
      <c r="A1015" s="78" t="str">
        <f t="shared" si="45"/>
        <v/>
      </c>
      <c r="B1015" s="78" t="str">
        <f t="shared" si="46"/>
        <v/>
      </c>
      <c r="C1015" s="79"/>
      <c r="D1015" s="79"/>
      <c r="E1015" s="79"/>
      <c r="F1015" s="82"/>
      <c r="G1015" s="273"/>
      <c r="H1015" s="128"/>
      <c r="I1015" s="80"/>
      <c r="J1015" s="81"/>
      <c r="K1015" s="81"/>
      <c r="L1015" s="140" t="str">
        <f>IF(AND('331-CT'!$E$7=TH!H1015,OR(J1015="331",K1015="331")),"x","")</f>
        <v/>
      </c>
    </row>
    <row r="1016" spans="1:12">
      <c r="A1016" s="78" t="str">
        <f t="shared" si="45"/>
        <v/>
      </c>
      <c r="B1016" s="78" t="str">
        <f t="shared" si="46"/>
        <v/>
      </c>
      <c r="C1016" s="79"/>
      <c r="D1016" s="79"/>
      <c r="E1016" s="79"/>
      <c r="F1016" s="82"/>
      <c r="G1016" s="273"/>
      <c r="H1016" s="128"/>
      <c r="I1016" s="80"/>
      <c r="J1016" s="81"/>
      <c r="K1016" s="81"/>
      <c r="L1016" s="140" t="str">
        <f>IF(AND('331-CT'!$E$7=TH!H1016,OR(J1016="331",K1016="331")),"x","")</f>
        <v/>
      </c>
    </row>
    <row r="1017" spans="1:12">
      <c r="A1017" s="78" t="str">
        <f t="shared" si="45"/>
        <v/>
      </c>
      <c r="B1017" s="78" t="str">
        <f t="shared" si="46"/>
        <v/>
      </c>
      <c r="C1017" s="79"/>
      <c r="D1017" s="79"/>
      <c r="E1017" s="79"/>
      <c r="F1017" s="82"/>
      <c r="G1017" s="273"/>
      <c r="H1017" s="128"/>
      <c r="I1017" s="80"/>
      <c r="J1017" s="81"/>
      <c r="K1017" s="81"/>
      <c r="L1017" s="140" t="str">
        <f>IF(AND('331-CT'!$E$7=TH!H1017,OR(J1017="331",K1017="331")),"x","")</f>
        <v/>
      </c>
    </row>
    <row r="1018" spans="1:12">
      <c r="A1018" s="78" t="str">
        <f t="shared" si="45"/>
        <v/>
      </c>
      <c r="B1018" s="78" t="str">
        <f t="shared" si="46"/>
        <v/>
      </c>
      <c r="C1018" s="79"/>
      <c r="D1018" s="79"/>
      <c r="E1018" s="79"/>
      <c r="F1018" s="82"/>
      <c r="G1018" s="273"/>
      <c r="H1018" s="128"/>
      <c r="I1018" s="80"/>
      <c r="J1018" s="81"/>
      <c r="K1018" s="81"/>
      <c r="L1018" s="140" t="str">
        <f>IF(AND('331-CT'!$E$7=TH!H1018,OR(J1018="331",K1018="331")),"x","")</f>
        <v/>
      </c>
    </row>
    <row r="1019" spans="1:12">
      <c r="A1019" s="78" t="str">
        <f t="shared" si="45"/>
        <v/>
      </c>
      <c r="B1019" s="78" t="str">
        <f t="shared" si="46"/>
        <v/>
      </c>
      <c r="C1019" s="79"/>
      <c r="D1019" s="79"/>
      <c r="E1019" s="79"/>
      <c r="F1019" s="82"/>
      <c r="G1019" s="273"/>
      <c r="H1019" s="128"/>
      <c r="I1019" s="80"/>
      <c r="J1019" s="81"/>
      <c r="K1019" s="81"/>
      <c r="L1019" s="140" t="str">
        <f>IF(AND('331-CT'!$E$7=TH!H1019,OR(J1019="331",K1019="331")),"x","")</f>
        <v/>
      </c>
    </row>
    <row r="1020" spans="1:12">
      <c r="A1020" s="78" t="str">
        <f t="shared" si="45"/>
        <v/>
      </c>
      <c r="B1020" s="78" t="str">
        <f t="shared" si="46"/>
        <v/>
      </c>
      <c r="C1020" s="79"/>
      <c r="D1020" s="79"/>
      <c r="E1020" s="79"/>
      <c r="F1020" s="82"/>
      <c r="G1020" s="273"/>
      <c r="H1020" s="128"/>
      <c r="I1020" s="80"/>
      <c r="J1020" s="81"/>
      <c r="K1020" s="81"/>
      <c r="L1020" s="140" t="str">
        <f>IF(AND('331-CT'!$E$7=TH!H1020,OR(J1020="331",K1020="331")),"x","")</f>
        <v/>
      </c>
    </row>
    <row r="1021" spans="1:12">
      <c r="A1021" s="78" t="str">
        <f t="shared" si="45"/>
        <v/>
      </c>
      <c r="B1021" s="78" t="str">
        <f t="shared" si="46"/>
        <v/>
      </c>
      <c r="C1021" s="79"/>
      <c r="D1021" s="79"/>
      <c r="E1021" s="79"/>
      <c r="F1021" s="82"/>
      <c r="G1021" s="273"/>
      <c r="H1021" s="128"/>
      <c r="I1021" s="80"/>
      <c r="J1021" s="81"/>
      <c r="K1021" s="81"/>
      <c r="L1021" s="140" t="str">
        <f>IF(AND('331-CT'!$E$7=TH!H1021,OR(J1021="331",K1021="331")),"x","")</f>
        <v/>
      </c>
    </row>
    <row r="1022" spans="1:12">
      <c r="A1022" s="78" t="str">
        <f t="shared" si="45"/>
        <v/>
      </c>
      <c r="B1022" s="78" t="str">
        <f t="shared" si="46"/>
        <v/>
      </c>
      <c r="C1022" s="79"/>
      <c r="D1022" s="79"/>
      <c r="E1022" s="79"/>
      <c r="F1022" s="82"/>
      <c r="G1022" s="273"/>
      <c r="H1022" s="128"/>
      <c r="I1022" s="80"/>
      <c r="J1022" s="81"/>
      <c r="K1022" s="81"/>
      <c r="L1022" s="140" t="str">
        <f>IF(AND('331-CT'!$E$7=TH!H1022,OR(J1022="331",K1022="331")),"x","")</f>
        <v/>
      </c>
    </row>
    <row r="1023" spans="1:12">
      <c r="A1023" s="78" t="str">
        <f t="shared" si="45"/>
        <v/>
      </c>
      <c r="B1023" s="78" t="str">
        <f t="shared" si="46"/>
        <v/>
      </c>
      <c r="C1023" s="79"/>
      <c r="D1023" s="79"/>
      <c r="E1023" s="79"/>
      <c r="F1023" s="82"/>
      <c r="G1023" s="273"/>
      <c r="H1023" s="128"/>
      <c r="I1023" s="80"/>
      <c r="J1023" s="81"/>
      <c r="K1023" s="81"/>
      <c r="L1023" s="140" t="str">
        <f>IF(AND('331-CT'!$E$7=TH!H1023,OR(J1023="331",K1023="331")),"x","")</f>
        <v/>
      </c>
    </row>
    <row r="1024" spans="1:12">
      <c r="A1024" s="78" t="str">
        <f t="shared" si="45"/>
        <v/>
      </c>
      <c r="B1024" s="78" t="str">
        <f t="shared" si="46"/>
        <v/>
      </c>
      <c r="C1024" s="79"/>
      <c r="D1024" s="79"/>
      <c r="E1024" s="79"/>
      <c r="F1024" s="82"/>
      <c r="G1024" s="273"/>
      <c r="H1024" s="128"/>
      <c r="I1024" s="80"/>
      <c r="J1024" s="81"/>
      <c r="K1024" s="81"/>
      <c r="L1024" s="140" t="str">
        <f>IF(AND('331-CT'!$E$7=TH!H1024,OR(J1024="331",K1024="331")),"x","")</f>
        <v/>
      </c>
    </row>
    <row r="1025" spans="1:12">
      <c r="A1025" s="78" t="str">
        <f t="shared" si="45"/>
        <v/>
      </c>
      <c r="B1025" s="78" t="str">
        <f t="shared" si="46"/>
        <v/>
      </c>
      <c r="C1025" s="79"/>
      <c r="D1025" s="79"/>
      <c r="E1025" s="79"/>
      <c r="F1025" s="82"/>
      <c r="G1025" s="273"/>
      <c r="H1025" s="128"/>
      <c r="I1025" s="80"/>
      <c r="J1025" s="81"/>
      <c r="K1025" s="81"/>
      <c r="L1025" s="140" t="str">
        <f>IF(AND('331-CT'!$E$7=TH!H1025,OR(J1025="331",K1025="331")),"x","")</f>
        <v/>
      </c>
    </row>
    <row r="1026" spans="1:12">
      <c r="A1026" s="78" t="str">
        <f t="shared" si="45"/>
        <v/>
      </c>
      <c r="B1026" s="78" t="str">
        <f t="shared" si="46"/>
        <v/>
      </c>
      <c r="C1026" s="79"/>
      <c r="D1026" s="79"/>
      <c r="E1026" s="79"/>
      <c r="F1026" s="82"/>
      <c r="G1026" s="273"/>
      <c r="H1026" s="128"/>
      <c r="I1026" s="80"/>
      <c r="J1026" s="81"/>
      <c r="K1026" s="81"/>
      <c r="L1026" s="140" t="str">
        <f>IF(AND('331-CT'!$E$7=TH!H1026,OR(J1026="331",K1026="331")),"x","")</f>
        <v/>
      </c>
    </row>
    <row r="1027" spans="1:12">
      <c r="A1027" s="78" t="str">
        <f t="shared" si="45"/>
        <v/>
      </c>
      <c r="B1027" s="78" t="str">
        <f t="shared" si="46"/>
        <v/>
      </c>
      <c r="C1027" s="79"/>
      <c r="D1027" s="79"/>
      <c r="E1027" s="79"/>
      <c r="F1027" s="82"/>
      <c r="G1027" s="273"/>
      <c r="H1027" s="128"/>
      <c r="I1027" s="80"/>
      <c r="J1027" s="81"/>
      <c r="K1027" s="81"/>
      <c r="L1027" s="140" t="str">
        <f>IF(AND('331-CT'!$E$7=TH!H1027,OR(J1027="331",K1027="331")),"x","")</f>
        <v/>
      </c>
    </row>
    <row r="1028" spans="1:12">
      <c r="A1028" s="78" t="str">
        <f t="shared" si="45"/>
        <v/>
      </c>
      <c r="B1028" s="78" t="str">
        <f t="shared" si="46"/>
        <v/>
      </c>
      <c r="C1028" s="79"/>
      <c r="D1028" s="79"/>
      <c r="E1028" s="79"/>
      <c r="F1028" s="82"/>
      <c r="G1028" s="273"/>
      <c r="H1028" s="128"/>
      <c r="I1028" s="80"/>
      <c r="J1028" s="81"/>
      <c r="K1028" s="81"/>
      <c r="L1028" s="140" t="str">
        <f>IF(AND('331-CT'!$E$7=TH!H1028,OR(J1028="331",K1028="331")),"x","")</f>
        <v/>
      </c>
    </row>
    <row r="1029" spans="1:12">
      <c r="A1029" s="78" t="str">
        <f t="shared" si="45"/>
        <v/>
      </c>
      <c r="B1029" s="78" t="str">
        <f t="shared" si="46"/>
        <v/>
      </c>
      <c r="C1029" s="79"/>
      <c r="D1029" s="79"/>
      <c r="E1029" s="79"/>
      <c r="F1029" s="82"/>
      <c r="G1029" s="273"/>
      <c r="H1029" s="128"/>
      <c r="I1029" s="80"/>
      <c r="J1029" s="81"/>
      <c r="K1029" s="81"/>
      <c r="L1029" s="140" t="str">
        <f>IF(AND('331-CT'!$E$7=TH!H1029,OR(J1029="331",K1029="331")),"x","")</f>
        <v/>
      </c>
    </row>
    <row r="1030" spans="1:12">
      <c r="A1030" s="78" t="str">
        <f t="shared" si="45"/>
        <v/>
      </c>
      <c r="B1030" s="78" t="str">
        <f t="shared" si="46"/>
        <v/>
      </c>
      <c r="C1030" s="79"/>
      <c r="D1030" s="79"/>
      <c r="E1030" s="79"/>
      <c r="F1030" s="82"/>
      <c r="G1030" s="273"/>
      <c r="H1030" s="128"/>
      <c r="I1030" s="80"/>
      <c r="J1030" s="81"/>
      <c r="K1030" s="81"/>
      <c r="L1030" s="140" t="str">
        <f>IF(AND('331-CT'!$E$7=TH!H1030,OR(J1030="331",K1030="331")),"x","")</f>
        <v/>
      </c>
    </row>
    <row r="1031" spans="1:12">
      <c r="A1031" s="78" t="str">
        <f t="shared" si="45"/>
        <v/>
      </c>
      <c r="B1031" s="78" t="str">
        <f t="shared" si="46"/>
        <v/>
      </c>
      <c r="C1031" s="79"/>
      <c r="D1031" s="79"/>
      <c r="E1031" s="79"/>
      <c r="F1031" s="82"/>
      <c r="G1031" s="273"/>
      <c r="H1031" s="128"/>
      <c r="I1031" s="80"/>
      <c r="J1031" s="81"/>
      <c r="K1031" s="81"/>
      <c r="L1031" s="140" t="str">
        <f>IF(AND('331-CT'!$E$7=TH!H1031,OR(J1031="331",K1031="331")),"x","")</f>
        <v/>
      </c>
    </row>
    <row r="1032" spans="1:12">
      <c r="A1032" s="78" t="str">
        <f t="shared" si="45"/>
        <v/>
      </c>
      <c r="B1032" s="78" t="str">
        <f t="shared" si="46"/>
        <v/>
      </c>
      <c r="C1032" s="79"/>
      <c r="D1032" s="79"/>
      <c r="E1032" s="79"/>
      <c r="F1032" s="82"/>
      <c r="G1032" s="273"/>
      <c r="H1032" s="128"/>
      <c r="I1032" s="80"/>
      <c r="J1032" s="81"/>
      <c r="K1032" s="81"/>
      <c r="L1032" s="140" t="str">
        <f>IF(AND('331-CT'!$E$7=TH!H1032,OR(J1032="331",K1032="331")),"x","")</f>
        <v/>
      </c>
    </row>
    <row r="1033" spans="1:12">
      <c r="A1033" s="78" t="str">
        <f t="shared" si="45"/>
        <v/>
      </c>
      <c r="B1033" s="78" t="str">
        <f t="shared" si="46"/>
        <v/>
      </c>
      <c r="C1033" s="79"/>
      <c r="D1033" s="79"/>
      <c r="E1033" s="79"/>
      <c r="F1033" s="82"/>
      <c r="G1033" s="273"/>
      <c r="H1033" s="128"/>
      <c r="I1033" s="80"/>
      <c r="J1033" s="81"/>
      <c r="K1033" s="81"/>
      <c r="L1033" s="140" t="str">
        <f>IF(AND('331-CT'!$E$7=TH!H1033,OR(J1033="331",K1033="331")),"x","")</f>
        <v/>
      </c>
    </row>
    <row r="1034" spans="1:12">
      <c r="A1034" s="78" t="str">
        <f t="shared" ref="A1034" si="47">IF(C1034&lt;&gt;"",YEAR(C1034),"")</f>
        <v/>
      </c>
      <c r="B1034" s="78" t="str">
        <f t="shared" ref="B1034" si="48">IF(C1034&lt;&gt;"",MONTH(C1034),"")</f>
        <v/>
      </c>
      <c r="C1034" s="79"/>
      <c r="D1034" s="79"/>
      <c r="E1034" s="79"/>
      <c r="F1034" s="82"/>
      <c r="G1034" s="273"/>
      <c r="H1034" s="128"/>
      <c r="I1034" s="80"/>
      <c r="J1034" s="81"/>
      <c r="K1034" s="81"/>
      <c r="L1034" s="140" t="str">
        <f>IF(AND('331-CT'!$E$7=TH!H1034,OR(J1034="331",K1034="331")),"x","")</f>
        <v/>
      </c>
    </row>
    <row r="1035" spans="1:12">
      <c r="A1035" s="78" t="str">
        <f t="shared" ref="A1035:A1053" si="49">IF(C1035&lt;&gt;"",YEAR(C1035),"")</f>
        <v/>
      </c>
      <c r="B1035" s="78" t="str">
        <f t="shared" ref="B1035:B1053" si="50">IF(C1035&lt;&gt;"",MONTH(C1035),"")</f>
        <v/>
      </c>
      <c r="C1035" s="79"/>
      <c r="D1035" s="79"/>
      <c r="E1035" s="79"/>
      <c r="F1035" s="82"/>
      <c r="G1035" s="273"/>
      <c r="H1035" s="128"/>
      <c r="I1035" s="80"/>
      <c r="J1035" s="81"/>
      <c r="K1035" s="81"/>
      <c r="L1035" s="140" t="str">
        <f>IF(AND('331-CT'!$E$7=TH!H1035,OR(J1035="331",K1035="331")),"x","")</f>
        <v/>
      </c>
    </row>
    <row r="1036" spans="1:12">
      <c r="A1036" s="78" t="str">
        <f t="shared" si="49"/>
        <v/>
      </c>
      <c r="B1036" s="78" t="str">
        <f t="shared" si="50"/>
        <v/>
      </c>
      <c r="C1036" s="79"/>
      <c r="D1036" s="79"/>
      <c r="E1036" s="79"/>
      <c r="F1036" s="82"/>
      <c r="G1036" s="273"/>
      <c r="H1036" s="128"/>
      <c r="I1036" s="80"/>
      <c r="J1036" s="81"/>
      <c r="K1036" s="81"/>
      <c r="L1036" s="140" t="str">
        <f>IF(AND('331-CT'!$E$7=TH!H1036,OR(J1036="331",K1036="331")),"x","")</f>
        <v/>
      </c>
    </row>
    <row r="1037" spans="1:12">
      <c r="A1037" s="78" t="str">
        <f t="shared" si="49"/>
        <v/>
      </c>
      <c r="B1037" s="78" t="str">
        <f t="shared" si="50"/>
        <v/>
      </c>
      <c r="C1037" s="79"/>
      <c r="D1037" s="79"/>
      <c r="E1037" s="79"/>
      <c r="F1037" s="82"/>
      <c r="G1037" s="273"/>
      <c r="H1037" s="128"/>
      <c r="I1037" s="80"/>
      <c r="J1037" s="81"/>
      <c r="K1037" s="81"/>
      <c r="L1037" s="140" t="str">
        <f>IF(AND('331-CT'!$E$7=TH!H1037,OR(J1037="331",K1037="331")),"x","")</f>
        <v/>
      </c>
    </row>
    <row r="1038" spans="1:12">
      <c r="A1038" s="78" t="str">
        <f t="shared" si="49"/>
        <v/>
      </c>
      <c r="B1038" s="78" t="str">
        <f t="shared" si="50"/>
        <v/>
      </c>
      <c r="C1038" s="79"/>
      <c r="D1038" s="79"/>
      <c r="E1038" s="79"/>
      <c r="F1038" s="82"/>
      <c r="G1038" s="273"/>
      <c r="H1038" s="128"/>
      <c r="I1038" s="80"/>
      <c r="J1038" s="81"/>
      <c r="K1038" s="81"/>
      <c r="L1038" s="140" t="str">
        <f>IF(AND('331-CT'!$E$7=TH!H1038,OR(J1038="331",K1038="331")),"x","")</f>
        <v/>
      </c>
    </row>
    <row r="1039" spans="1:12">
      <c r="A1039" s="78" t="str">
        <f t="shared" si="49"/>
        <v/>
      </c>
      <c r="B1039" s="78" t="str">
        <f t="shared" si="50"/>
        <v/>
      </c>
      <c r="C1039" s="79"/>
      <c r="D1039" s="79"/>
      <c r="E1039" s="79"/>
      <c r="F1039" s="82"/>
      <c r="G1039" s="273"/>
      <c r="H1039" s="128"/>
      <c r="I1039" s="80"/>
      <c r="J1039" s="81"/>
      <c r="K1039" s="81"/>
      <c r="L1039" s="140" t="str">
        <f>IF(AND('331-CT'!$E$7=TH!H1039,OR(J1039="331",K1039="331")),"x","")</f>
        <v/>
      </c>
    </row>
    <row r="1040" spans="1:12">
      <c r="A1040" s="78" t="str">
        <f t="shared" si="49"/>
        <v/>
      </c>
      <c r="B1040" s="78" t="str">
        <f t="shared" si="50"/>
        <v/>
      </c>
      <c r="C1040" s="79"/>
      <c r="D1040" s="79"/>
      <c r="E1040" s="79"/>
      <c r="F1040" s="82"/>
      <c r="G1040" s="273"/>
      <c r="H1040" s="128"/>
      <c r="I1040" s="80"/>
      <c r="J1040" s="81"/>
      <c r="K1040" s="81"/>
      <c r="L1040" s="140" t="str">
        <f>IF(AND('331-CT'!$E$7=TH!H1040,OR(J1040="331",K1040="331")),"x","")</f>
        <v/>
      </c>
    </row>
    <row r="1041" spans="1:12">
      <c r="A1041" s="78" t="str">
        <f t="shared" si="49"/>
        <v/>
      </c>
      <c r="B1041" s="78" t="str">
        <f t="shared" si="50"/>
        <v/>
      </c>
      <c r="C1041" s="79"/>
      <c r="D1041" s="79"/>
      <c r="E1041" s="79"/>
      <c r="F1041" s="82"/>
      <c r="G1041" s="273"/>
      <c r="H1041" s="128"/>
      <c r="I1041" s="80"/>
      <c r="J1041" s="81"/>
      <c r="K1041" s="81"/>
      <c r="L1041" s="140" t="str">
        <f>IF(AND('331-CT'!$E$7=TH!H1041,OR(J1041="331",K1041="331")),"x","")</f>
        <v/>
      </c>
    </row>
    <row r="1042" spans="1:12">
      <c r="A1042" s="78" t="str">
        <f t="shared" si="49"/>
        <v/>
      </c>
      <c r="B1042" s="78" t="str">
        <f t="shared" si="50"/>
        <v/>
      </c>
      <c r="C1042" s="79"/>
      <c r="D1042" s="79"/>
      <c r="E1042" s="79"/>
      <c r="F1042" s="82"/>
      <c r="G1042" s="273"/>
      <c r="H1042" s="128"/>
      <c r="I1042" s="80"/>
      <c r="J1042" s="81"/>
      <c r="K1042" s="81"/>
      <c r="L1042" s="140" t="str">
        <f>IF(AND('331-CT'!$E$7=TH!H1042,OR(J1042="331",K1042="331")),"x","")</f>
        <v/>
      </c>
    </row>
    <row r="1043" spans="1:12">
      <c r="A1043" s="78" t="str">
        <f t="shared" si="49"/>
        <v/>
      </c>
      <c r="B1043" s="78" t="str">
        <f t="shared" si="50"/>
        <v/>
      </c>
      <c r="C1043" s="79"/>
      <c r="D1043" s="79"/>
      <c r="E1043" s="79"/>
      <c r="F1043" s="82"/>
      <c r="G1043" s="273"/>
      <c r="H1043" s="128"/>
      <c r="I1043" s="80"/>
      <c r="J1043" s="81"/>
      <c r="K1043" s="81"/>
      <c r="L1043" s="140" t="str">
        <f>IF(AND('331-CT'!$E$7=TH!H1043,OR(J1043="331",K1043="331")),"x","")</f>
        <v/>
      </c>
    </row>
    <row r="1044" spans="1:12">
      <c r="A1044" s="78" t="str">
        <f t="shared" si="49"/>
        <v/>
      </c>
      <c r="B1044" s="78" t="str">
        <f t="shared" si="50"/>
        <v/>
      </c>
      <c r="C1044" s="79"/>
      <c r="D1044" s="79"/>
      <c r="E1044" s="79"/>
      <c r="F1044" s="82"/>
      <c r="G1044" s="273"/>
      <c r="H1044" s="128"/>
      <c r="I1044" s="80"/>
      <c r="J1044" s="81"/>
      <c r="K1044" s="81"/>
      <c r="L1044" s="140" t="str">
        <f>IF(AND('331-CT'!$E$7=TH!H1044,OR(J1044="331",K1044="331")),"x","")</f>
        <v/>
      </c>
    </row>
    <row r="1045" spans="1:12">
      <c r="A1045" s="78" t="str">
        <f t="shared" si="49"/>
        <v/>
      </c>
      <c r="B1045" s="78" t="str">
        <f t="shared" si="50"/>
        <v/>
      </c>
      <c r="C1045" s="79"/>
      <c r="D1045" s="79"/>
      <c r="E1045" s="79"/>
      <c r="F1045" s="82"/>
      <c r="G1045" s="273"/>
      <c r="H1045" s="128"/>
      <c r="I1045" s="80"/>
      <c r="J1045" s="81"/>
      <c r="K1045" s="81"/>
      <c r="L1045" s="140" t="str">
        <f>IF(AND('331-CT'!$E$7=TH!H1045,OR(J1045="331",K1045="331")),"x","")</f>
        <v/>
      </c>
    </row>
    <row r="1046" spans="1:12">
      <c r="A1046" s="78" t="str">
        <f t="shared" si="49"/>
        <v/>
      </c>
      <c r="B1046" s="78" t="str">
        <f t="shared" si="50"/>
        <v/>
      </c>
      <c r="C1046" s="79"/>
      <c r="D1046" s="79"/>
      <c r="E1046" s="79"/>
      <c r="F1046" s="82"/>
      <c r="G1046" s="273"/>
      <c r="H1046" s="128"/>
      <c r="I1046" s="80"/>
      <c r="J1046" s="81"/>
      <c r="K1046" s="81"/>
      <c r="L1046" s="140" t="str">
        <f>IF(AND('331-CT'!$E$7=TH!H1046,OR(J1046="331",K1046="331")),"x","")</f>
        <v/>
      </c>
    </row>
    <row r="1047" spans="1:12">
      <c r="A1047" s="78" t="str">
        <f t="shared" si="49"/>
        <v/>
      </c>
      <c r="B1047" s="78" t="str">
        <f t="shared" si="50"/>
        <v/>
      </c>
      <c r="C1047" s="79"/>
      <c r="D1047" s="79"/>
      <c r="E1047" s="79"/>
      <c r="F1047" s="82"/>
      <c r="G1047" s="273"/>
      <c r="H1047" s="128"/>
      <c r="I1047" s="80"/>
      <c r="J1047" s="81"/>
      <c r="K1047" s="81"/>
      <c r="L1047" s="140" t="str">
        <f>IF(AND('331-CT'!$E$7=TH!H1047,OR(J1047="331",K1047="331")),"x","")</f>
        <v/>
      </c>
    </row>
    <row r="1048" spans="1:12">
      <c r="A1048" s="78" t="str">
        <f t="shared" si="49"/>
        <v/>
      </c>
      <c r="B1048" s="78" t="str">
        <f t="shared" si="50"/>
        <v/>
      </c>
      <c r="C1048" s="79"/>
      <c r="D1048" s="79"/>
      <c r="E1048" s="79"/>
      <c r="F1048" s="82"/>
      <c r="G1048" s="273"/>
      <c r="H1048" s="128"/>
      <c r="I1048" s="80"/>
      <c r="J1048" s="81"/>
      <c r="K1048" s="81"/>
      <c r="L1048" s="140" t="str">
        <f>IF(AND('331-CT'!$E$7=TH!H1048,OR(J1048="331",K1048="331")),"x","")</f>
        <v/>
      </c>
    </row>
    <row r="1049" spans="1:12">
      <c r="A1049" s="78" t="str">
        <f t="shared" si="49"/>
        <v/>
      </c>
      <c r="B1049" s="78" t="str">
        <f t="shared" si="50"/>
        <v/>
      </c>
      <c r="C1049" s="79"/>
      <c r="D1049" s="79"/>
      <c r="E1049" s="79"/>
      <c r="F1049" s="82"/>
      <c r="G1049" s="273"/>
      <c r="H1049" s="128"/>
      <c r="I1049" s="80"/>
      <c r="J1049" s="81"/>
      <c r="K1049" s="81"/>
      <c r="L1049" s="140" t="str">
        <f>IF(AND('331-CT'!$E$7=TH!H1049,OR(J1049="331",K1049="331")),"x","")</f>
        <v/>
      </c>
    </row>
    <row r="1050" spans="1:12">
      <c r="A1050" s="78" t="str">
        <f t="shared" si="49"/>
        <v/>
      </c>
      <c r="B1050" s="78" t="str">
        <f t="shared" si="50"/>
        <v/>
      </c>
      <c r="C1050" s="79"/>
      <c r="D1050" s="79"/>
      <c r="E1050" s="79"/>
      <c r="F1050" s="82"/>
      <c r="G1050" s="273"/>
      <c r="H1050" s="128"/>
      <c r="I1050" s="80"/>
      <c r="J1050" s="81"/>
      <c r="K1050" s="81"/>
      <c r="L1050" s="140" t="str">
        <f>IF(AND('331-CT'!$E$7=TH!H1050,OR(J1050="331",K1050="331")),"x","")</f>
        <v/>
      </c>
    </row>
    <row r="1051" spans="1:12">
      <c r="A1051" s="78" t="str">
        <f t="shared" si="49"/>
        <v/>
      </c>
      <c r="B1051" s="78" t="str">
        <f t="shared" si="50"/>
        <v/>
      </c>
      <c r="C1051" s="79"/>
      <c r="D1051" s="79"/>
      <c r="E1051" s="79"/>
      <c r="F1051" s="82"/>
      <c r="G1051" s="273"/>
      <c r="H1051" s="128"/>
      <c r="I1051" s="80"/>
      <c r="J1051" s="81"/>
      <c r="K1051" s="81"/>
      <c r="L1051" s="140" t="str">
        <f>IF(AND('331-CT'!$E$7=TH!H1051,OR(J1051="331",K1051="331")),"x","")</f>
        <v/>
      </c>
    </row>
    <row r="1052" spans="1:12">
      <c r="A1052" s="78" t="str">
        <f t="shared" si="49"/>
        <v/>
      </c>
      <c r="B1052" s="78" t="str">
        <f t="shared" si="50"/>
        <v/>
      </c>
      <c r="C1052" s="79"/>
      <c r="D1052" s="79"/>
      <c r="E1052" s="79"/>
      <c r="F1052" s="82"/>
      <c r="G1052" s="273"/>
      <c r="H1052" s="128"/>
      <c r="I1052" s="80"/>
      <c r="J1052" s="81"/>
      <c r="K1052" s="81"/>
      <c r="L1052" s="140" t="str">
        <f>IF(AND('331-CT'!$E$7=TH!H1052,OR(J1052="331",K1052="331")),"x","")</f>
        <v/>
      </c>
    </row>
    <row r="1053" spans="1:12">
      <c r="A1053" s="78" t="str">
        <f t="shared" si="49"/>
        <v/>
      </c>
      <c r="B1053" s="78" t="str">
        <f t="shared" si="50"/>
        <v/>
      </c>
      <c r="C1053" s="79"/>
      <c r="D1053" s="79"/>
      <c r="E1053" s="79"/>
      <c r="F1053" s="82"/>
      <c r="G1053" s="273"/>
      <c r="H1053" s="128"/>
      <c r="I1053" s="80"/>
      <c r="J1053" s="81"/>
      <c r="K1053" s="81"/>
      <c r="L1053" s="140" t="str">
        <f>IF(AND('331-CT'!$E$7=TH!H1053,OR(J1053="331",K1053="331")),"x","")</f>
        <v/>
      </c>
    </row>
  </sheetData>
  <autoFilter ref="A9:M1053">
    <filterColumn colId="0"/>
    <filterColumn colId="1"/>
    <filterColumn colId="9"/>
    <filterColumn colId="10"/>
  </autoFilter>
  <sortState ref="A843:M949">
    <sortCondition ref="C843:C949"/>
  </sortState>
  <mergeCells count="12">
    <mergeCell ref="C4:K4"/>
    <mergeCell ref="C5:K5"/>
    <mergeCell ref="C7:C8"/>
    <mergeCell ref="D7:E7"/>
    <mergeCell ref="F7:F8"/>
    <mergeCell ref="I7:I8"/>
    <mergeCell ref="J7:K7"/>
    <mergeCell ref="G7:G8"/>
    <mergeCell ref="B7:B8"/>
    <mergeCell ref="A7:A8"/>
    <mergeCell ref="H7:H8"/>
    <mergeCell ref="L7:L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1"/>
  <sheetViews>
    <sheetView showZeros="0" topLeftCell="A13" workbookViewId="0">
      <selection activeCell="I34" sqref="I34"/>
    </sheetView>
  </sheetViews>
  <sheetFormatPr defaultColWidth="8" defaultRowHeight="17.25" customHeight="1"/>
  <cols>
    <col min="1" max="1" width="5.5703125" style="13" customWidth="1"/>
    <col min="2" max="2" width="48.42578125" style="13" customWidth="1"/>
    <col min="3" max="3" width="9.42578125" style="13" customWidth="1"/>
    <col min="4" max="4" width="9.28515625" style="13" customWidth="1"/>
    <col min="5" max="5" width="15.28515625" style="13" bestFit="1" customWidth="1"/>
    <col min="6" max="6" width="15.5703125" style="13" customWidth="1"/>
    <col min="7" max="7" width="13.28515625" style="13" customWidth="1"/>
    <col min="8" max="8" width="13.5703125" style="13" customWidth="1"/>
    <col min="9" max="9" width="17.140625" style="21" customWidth="1"/>
    <col min="10" max="10" width="13.140625" style="13" customWidth="1"/>
    <col min="11" max="16384" width="8" style="13"/>
  </cols>
  <sheetData>
    <row r="1" spans="1:10" ht="31.5" customHeight="1">
      <c r="A1" s="350" t="s">
        <v>439</v>
      </c>
      <c r="B1" s="350"/>
      <c r="C1" s="350"/>
      <c r="D1" s="350"/>
      <c r="E1" s="350"/>
    </row>
    <row r="2" spans="1:10" s="14" customFormat="1" ht="17.25" customHeight="1">
      <c r="A2" s="351" t="s">
        <v>79</v>
      </c>
      <c r="B2" s="353" t="s">
        <v>80</v>
      </c>
      <c r="C2" s="347" t="s">
        <v>81</v>
      </c>
      <c r="D2" s="348"/>
      <c r="E2" s="347" t="s">
        <v>82</v>
      </c>
      <c r="F2" s="348"/>
      <c r="G2" s="347" t="s">
        <v>102</v>
      </c>
      <c r="H2" s="348"/>
      <c r="I2" s="349"/>
    </row>
    <row r="3" spans="1:10" s="14" customFormat="1" ht="17.25" customHeight="1">
      <c r="A3" s="352"/>
      <c r="B3" s="354"/>
      <c r="C3" s="211" t="s">
        <v>103</v>
      </c>
      <c r="D3" s="211" t="s">
        <v>104</v>
      </c>
      <c r="E3" s="211" t="s">
        <v>103</v>
      </c>
      <c r="F3" s="211" t="s">
        <v>104</v>
      </c>
      <c r="G3" s="211" t="s">
        <v>103</v>
      </c>
      <c r="H3" s="211" t="s">
        <v>104</v>
      </c>
      <c r="I3" s="349"/>
    </row>
    <row r="4" spans="1:10" s="14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229320666</v>
      </c>
      <c r="F4" s="8">
        <f t="array" ref="F4">SUM(IF("331"&amp;B4=KHC&amp;KH,TH))</f>
        <v>199400666</v>
      </c>
      <c r="G4" s="221">
        <f>ROUND(MAX(C4+E4-D4-F4,0),2)</f>
        <v>29920000</v>
      </c>
      <c r="H4" s="221">
        <f>ROUND(MAX(D4+F4-C4-E4,0),2)</f>
        <v>0</v>
      </c>
      <c r="I4" s="23"/>
    </row>
    <row r="5" spans="1:10" s="14" customFormat="1" ht="17.25" customHeight="1">
      <c r="A5" s="6">
        <f t="shared" ref="A5:A34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21">
        <f>ROUND(MAX(C5+E5-D5-F5,0),2)</f>
        <v>128400000</v>
      </c>
      <c r="H5" s="221">
        <f>ROUND(MAX(D5+F5-C5-E5,0),2)</f>
        <v>0</v>
      </c>
      <c r="I5" s="23">
        <f>'TH - TT'!G73+'TH - TT'!G77</f>
        <v>188900000</v>
      </c>
      <c r="J5" s="329">
        <f>E5-I5</f>
        <v>0</v>
      </c>
    </row>
    <row r="6" spans="1:10" s="15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21">
        <f t="shared" ref="G6" si="1">ROUND(MAX(C6+E6-D6-F6,0),2)</f>
        <v>0</v>
      </c>
      <c r="H6" s="221">
        <f t="shared" ref="H6" si="2">ROUND(MAX(D6+F6-C6-E6,0),2)</f>
        <v>0</v>
      </c>
      <c r="I6" s="23"/>
      <c r="J6" s="329"/>
    </row>
    <row r="7" spans="1:10" s="15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21">
        <f t="shared" ref="G7:G30" si="3">ROUND(MAX(C7+E7-D7-F7,0),2)</f>
        <v>0</v>
      </c>
      <c r="H7" s="221">
        <f t="shared" ref="H7:H30" si="4">ROUND(MAX(D7+F7-C7-E7,0),2)</f>
        <v>0</v>
      </c>
      <c r="I7" s="23"/>
      <c r="J7" s="329"/>
    </row>
    <row r="8" spans="1:10" s="15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21">
        <f t="shared" si="3"/>
        <v>0</v>
      </c>
      <c r="H8" s="221">
        <f t="shared" si="4"/>
        <v>0</v>
      </c>
      <c r="I8" s="23"/>
      <c r="J8" s="329"/>
    </row>
    <row r="9" spans="1:10" s="15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21">
        <f t="shared" si="3"/>
        <v>0</v>
      </c>
      <c r="H9" s="221">
        <f t="shared" si="4"/>
        <v>0</v>
      </c>
      <c r="I9" s="23"/>
      <c r="J9" s="329"/>
    </row>
    <row r="10" spans="1:10" s="15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21">
        <f t="shared" si="3"/>
        <v>0</v>
      </c>
      <c r="H10" s="221">
        <f t="shared" si="4"/>
        <v>0</v>
      </c>
      <c r="I10" s="23"/>
      <c r="J10" s="329"/>
    </row>
    <row r="11" spans="1:10" s="15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21">
        <f>ROUND(MAX(C11+E11-D11-F11,0),2)</f>
        <v>0</v>
      </c>
      <c r="H11" s="221">
        <f>ROUND(MAX(D11+F11-C11-E11,0),2)</f>
        <v>0</v>
      </c>
      <c r="I11" s="23"/>
      <c r="J11" s="329"/>
    </row>
    <row r="12" spans="1:10" s="15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21">
        <f>ROUND(MAX(C12+E12-D12-F12,0),2)</f>
        <v>0</v>
      </c>
      <c r="H12" s="221">
        <f>ROUND(MAX(D12+F12-C12-E12,0),2)</f>
        <v>0</v>
      </c>
      <c r="I12" s="23"/>
      <c r="J12" s="329"/>
    </row>
    <row r="13" spans="1:10" s="15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21">
        <f>ROUND(MAX(C13+E13-D13-F13,0),2)</f>
        <v>0</v>
      </c>
      <c r="H13" s="221">
        <f>ROUND(MAX(D13+F13-C13-E13,0),2)</f>
        <v>0</v>
      </c>
      <c r="I13" s="23"/>
      <c r="J13" s="329"/>
    </row>
    <row r="14" spans="1:10" s="15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21">
        <f t="shared" ref="G14" si="5">ROUND(MAX(C14+E14-D14-F14,0),2)</f>
        <v>0</v>
      </c>
      <c r="H14" s="221">
        <f t="shared" ref="H14" si="6">ROUND(MAX(D14+F14-C14-E14,0),2)</f>
        <v>0</v>
      </c>
      <c r="I14" s="23"/>
      <c r="J14" s="329"/>
    </row>
    <row r="15" spans="1:10" s="15" customFormat="1" ht="17.25" customHeight="1">
      <c r="A15" s="6">
        <f t="shared" si="0"/>
        <v>12</v>
      </c>
      <c r="B15" s="131" t="s">
        <v>455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21">
        <f>ROUND(MAX(C15+E15-D15-F15,0),2)</f>
        <v>0</v>
      </c>
      <c r="H15" s="221">
        <f>ROUND(MAX(D15+F15-C15-E15,0),2)</f>
        <v>0</v>
      </c>
      <c r="I15" s="23"/>
      <c r="J15" s="329"/>
    </row>
    <row r="16" spans="1:10" s="15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8650000000</v>
      </c>
      <c r="F16" s="8">
        <f t="array" ref="F16">SUM(IF("331"&amp;B16=KHC&amp;KH,TH))</f>
        <v>8500000000</v>
      </c>
      <c r="G16" s="221">
        <f t="shared" si="3"/>
        <v>150000000</v>
      </c>
      <c r="H16" s="221">
        <f t="shared" si="4"/>
        <v>0</v>
      </c>
      <c r="I16" s="22">
        <f>'TH - TT'!G104</f>
        <v>8650000000</v>
      </c>
      <c r="J16" s="329">
        <f t="shared" ref="J16:J31" si="7">E16-I16</f>
        <v>0</v>
      </c>
    </row>
    <row r="17" spans="1:10" s="15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2603610000</v>
      </c>
      <c r="F17" s="8">
        <f t="array" ref="F17">SUM(IF("331"&amp;B17=KHC&amp;KH,TH))</f>
        <v>2200000000</v>
      </c>
      <c r="G17" s="221">
        <f>ROUND(MAX(C17+E17-D17-F17,0),2)</f>
        <v>403610000</v>
      </c>
      <c r="H17" s="221">
        <f>ROUND(MAX(D17+F17-C17-E17,0),2)</f>
        <v>0</v>
      </c>
      <c r="I17" s="22">
        <f>'TH - TT'!G124</f>
        <v>2603610000</v>
      </c>
      <c r="J17" s="329">
        <f t="shared" si="7"/>
        <v>0</v>
      </c>
    </row>
    <row r="18" spans="1:10" s="15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756310200</v>
      </c>
      <c r="F18" s="8">
        <f t="array" ref="F18">SUM(IF("331"&amp;B18=KHC&amp;KH,TH))</f>
        <v>871216820</v>
      </c>
      <c r="G18" s="221">
        <f>ROUND(MAX(C18+E18-D18-F18,0),2)</f>
        <v>0</v>
      </c>
      <c r="H18" s="221">
        <f>ROUND(MAX(D18+F18-C18-E18,0),2)</f>
        <v>114906620</v>
      </c>
      <c r="I18" s="22">
        <f>'TH - TT'!G149+'TH - TT'!G155</f>
        <v>756310200</v>
      </c>
      <c r="J18" s="329">
        <f t="shared" si="7"/>
        <v>0</v>
      </c>
    </row>
    <row r="19" spans="1:10" s="15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1050000000</v>
      </c>
      <c r="F19" s="8">
        <f t="array" ref="F19">SUM(IF("331"&amp;B19=KHC&amp;KH,TH))</f>
        <v>1161784000</v>
      </c>
      <c r="G19" s="221">
        <f>ROUND(MAX(C19+E19-D19-F19,0),2)</f>
        <v>0</v>
      </c>
      <c r="H19" s="221">
        <f>ROUND(MAX(D19+F19-C19-E19,0),2)</f>
        <v>111784000</v>
      </c>
      <c r="I19" s="22">
        <f>'TH - TT'!G178</f>
        <v>1050000000</v>
      </c>
      <c r="J19" s="329">
        <f t="shared" si="7"/>
        <v>0</v>
      </c>
    </row>
    <row r="20" spans="1:10" s="15" customFormat="1" ht="17.25" customHeight="1">
      <c r="A20" s="6">
        <f t="shared" si="0"/>
        <v>17</v>
      </c>
      <c r="B20" s="131" t="s">
        <v>495</v>
      </c>
      <c r="C20" s="10"/>
      <c r="D20" s="10"/>
      <c r="E20" s="8">
        <f t="array" ref="E20">SUM(IF("331"&amp;B20=KHN&amp;KH,TH))</f>
        <v>200000000</v>
      </c>
      <c r="F20" s="8">
        <f t="array" ref="F20">SUM(IF("331"&amp;B20=KHC&amp;KH,TH))</f>
        <v>599632000</v>
      </c>
      <c r="G20" s="221">
        <f t="shared" ref="G20" si="8">ROUND(MAX(C20+E20-D20-F20,0),2)</f>
        <v>0</v>
      </c>
      <c r="H20" s="221">
        <f t="shared" ref="H20" si="9">ROUND(MAX(D20+F20-C20-E20,0),2)</f>
        <v>399632000</v>
      </c>
      <c r="I20" s="22">
        <f>'TH - TT'!G220</f>
        <v>200000000</v>
      </c>
      <c r="J20" s="329">
        <f t="shared" si="7"/>
        <v>0</v>
      </c>
    </row>
    <row r="21" spans="1:10" s="15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1050000000</v>
      </c>
      <c r="F21" s="8">
        <f t="array" ref="F21">SUM(IF("331"&amp;B21=KHC&amp;KH,TH))</f>
        <v>0</v>
      </c>
      <c r="G21" s="221">
        <f>ROUND(MAX(C21+E21-D21-F21,0),2)</f>
        <v>1050000000</v>
      </c>
      <c r="H21" s="221">
        <f>ROUND(MAX(D21+F21-C21-E21,0),2)</f>
        <v>0</v>
      </c>
      <c r="I21" s="22">
        <f>'TH - TT'!G169</f>
        <v>1050000000</v>
      </c>
      <c r="J21" s="329">
        <f t="shared" si="7"/>
        <v>0</v>
      </c>
    </row>
    <row r="22" spans="1:10" s="15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21">
        <f t="shared" si="3"/>
        <v>60000000</v>
      </c>
      <c r="H22" s="221">
        <f t="shared" si="4"/>
        <v>0</v>
      </c>
      <c r="I22" s="22">
        <f>'TH - TT'!G69</f>
        <v>60000000</v>
      </c>
      <c r="J22" s="329">
        <f t="shared" si="7"/>
        <v>0</v>
      </c>
    </row>
    <row r="23" spans="1:10" s="15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0</v>
      </c>
      <c r="G23" s="221">
        <f t="shared" si="3"/>
        <v>150000000</v>
      </c>
      <c r="H23" s="221">
        <f t="shared" si="4"/>
        <v>0</v>
      </c>
      <c r="I23" s="22">
        <f>'TH - TT'!G110</f>
        <v>150000000</v>
      </c>
      <c r="J23" s="329">
        <f t="shared" si="7"/>
        <v>0</v>
      </c>
    </row>
    <row r="24" spans="1:10" s="15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21">
        <f t="shared" si="3"/>
        <v>1000000000</v>
      </c>
      <c r="H24" s="221">
        <f t="shared" si="4"/>
        <v>0</v>
      </c>
      <c r="I24" s="22">
        <f>'TH - TT'!G135</f>
        <v>3200000000</v>
      </c>
      <c r="J24" s="329">
        <f t="shared" si="7"/>
        <v>0</v>
      </c>
    </row>
    <row r="25" spans="1:10" s="15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0</v>
      </c>
      <c r="G25" s="221">
        <f t="shared" si="3"/>
        <v>360000000</v>
      </c>
      <c r="H25" s="221">
        <f t="shared" si="4"/>
        <v>0</v>
      </c>
      <c r="I25" s="22">
        <f>'TH - TT'!G139</f>
        <v>360000000</v>
      </c>
      <c r="J25" s="329">
        <f t="shared" si="7"/>
        <v>0</v>
      </c>
    </row>
    <row r="26" spans="1:10" s="15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335195000</v>
      </c>
      <c r="F26" s="8">
        <f t="array" ref="F26">SUM(IF("331"&amp;B26=KHC&amp;KH,TH))</f>
        <v>0</v>
      </c>
      <c r="G26" s="221">
        <f t="shared" si="3"/>
        <v>335195000</v>
      </c>
      <c r="H26" s="221">
        <f t="shared" si="4"/>
        <v>0</v>
      </c>
      <c r="I26" s="22">
        <f>'TH - TT'!G144</f>
        <v>335195000</v>
      </c>
      <c r="J26" s="329">
        <f t="shared" si="7"/>
        <v>0</v>
      </c>
    </row>
    <row r="27" spans="1:10" s="15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221">
        <f t="shared" si="3"/>
        <v>100000000</v>
      </c>
      <c r="H27" s="221">
        <f t="shared" si="4"/>
        <v>0</v>
      </c>
      <c r="I27" s="22">
        <f>'TH - TT'!G159</f>
        <v>100000000</v>
      </c>
      <c r="J27" s="329">
        <f t="shared" si="7"/>
        <v>0</v>
      </c>
    </row>
    <row r="28" spans="1:10" s="15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21">
        <f t="shared" si="3"/>
        <v>1600000000</v>
      </c>
      <c r="H28" s="221">
        <f t="shared" si="4"/>
        <v>0</v>
      </c>
      <c r="I28" s="22">
        <f>'TH - TT'!G188</f>
        <v>1600000000</v>
      </c>
      <c r="J28" s="329">
        <f t="shared" si="7"/>
        <v>0</v>
      </c>
    </row>
    <row r="29" spans="1:10" s="15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221">
        <f t="shared" si="3"/>
        <v>0</v>
      </c>
      <c r="H29" s="221">
        <f t="shared" si="4"/>
        <v>0</v>
      </c>
      <c r="I29" s="22">
        <f>'TH - TT'!G193</f>
        <v>399000000</v>
      </c>
      <c r="J29" s="329">
        <f t="shared" si="7"/>
        <v>0</v>
      </c>
    </row>
    <row r="30" spans="1:10" s="15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221">
        <f t="shared" si="3"/>
        <v>1750000000</v>
      </c>
      <c r="H30" s="221">
        <f t="shared" si="4"/>
        <v>0</v>
      </c>
      <c r="I30" s="22">
        <f>'TH - TT'!G207</f>
        <v>1750000000</v>
      </c>
      <c r="J30" s="329">
        <f t="shared" si="7"/>
        <v>0</v>
      </c>
    </row>
    <row r="31" spans="1:10" s="15" customFormat="1" ht="17.25" customHeight="1">
      <c r="A31" s="6">
        <f t="shared" si="0"/>
        <v>28</v>
      </c>
      <c r="B31" s="9" t="s">
        <v>408</v>
      </c>
      <c r="C31" s="10"/>
      <c r="D31" s="10"/>
      <c r="E31" s="8">
        <f t="array" ref="E31">SUM(IF("331"&amp;B31=KHN&amp;KH,TH))</f>
        <v>270000000</v>
      </c>
      <c r="F31" s="8">
        <f t="array" ref="F31">SUM(IF("331"&amp;B31=KHC&amp;KH,TH))</f>
        <v>0</v>
      </c>
      <c r="G31" s="221">
        <f t="shared" ref="G31" si="10">ROUND(MAX(C31+E31-D31-F31,0),2)</f>
        <v>270000000</v>
      </c>
      <c r="H31" s="221">
        <f t="shared" ref="H31" si="11">ROUND(MAX(D31+F31-C31-E31,0),2)</f>
        <v>0</v>
      </c>
      <c r="I31" s="22">
        <f>'TH - TT'!G216</f>
        <v>270000000</v>
      </c>
      <c r="J31" s="329">
        <f t="shared" si="7"/>
        <v>0</v>
      </c>
    </row>
    <row r="32" spans="1:10" s="15" customFormat="1" ht="17.25" customHeight="1">
      <c r="A32" s="6">
        <f t="shared" si="0"/>
        <v>29</v>
      </c>
      <c r="B32" s="9" t="s">
        <v>616</v>
      </c>
      <c r="C32" s="10"/>
      <c r="D32" s="10"/>
      <c r="E32" s="8">
        <f t="array" ref="E32">SUM(IF("331"&amp;B32=KHN&amp;KH,TH))</f>
        <v>0</v>
      </c>
      <c r="F32" s="8">
        <f t="array" ref="F32">SUM(IF("331"&amp;B32=KHC&amp;KH,TH))</f>
        <v>75000000</v>
      </c>
      <c r="G32" s="221">
        <f t="shared" ref="G32" si="12">ROUND(MAX(C32+E32-D32-F32,0),2)</f>
        <v>0</v>
      </c>
      <c r="H32" s="221">
        <f t="shared" ref="H32" si="13">ROUND(MAX(D32+F32-C32-E32,0),2)</f>
        <v>75000000</v>
      </c>
      <c r="I32" s="22"/>
      <c r="J32" s="329"/>
    </row>
    <row r="33" spans="1:10" s="15" customFormat="1" ht="17.25" customHeight="1">
      <c r="A33" s="6">
        <f t="shared" si="0"/>
        <v>30</v>
      </c>
      <c r="B33" s="9" t="s">
        <v>646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21">
        <f t="shared" ref="G33" si="14">ROUND(MAX(C33+E33-D33-F33,0),2)</f>
        <v>0</v>
      </c>
      <c r="H33" s="221">
        <f t="shared" ref="H33" si="15">ROUND(MAX(D33+F33-C33-E33,0),2)</f>
        <v>0</v>
      </c>
      <c r="I33" s="22"/>
      <c r="J33" s="329"/>
    </row>
    <row r="34" spans="1:10" s="16" customFormat="1" ht="17.25" customHeight="1">
      <c r="A34" s="6">
        <f t="shared" si="0"/>
        <v>31</v>
      </c>
      <c r="B34" s="128" t="s">
        <v>663</v>
      </c>
      <c r="C34" s="10"/>
      <c r="D34" s="10"/>
      <c r="E34" s="8">
        <f t="array" ref="E34">SUM(IF("331"&amp;B34=KHN&amp;KH,TH))</f>
        <v>16950519</v>
      </c>
      <c r="F34" s="8">
        <f t="array" ref="F34">SUM(IF("331"&amp;B34=KHC&amp;KH,TH))</f>
        <v>16950519</v>
      </c>
      <c r="G34" s="221">
        <f t="shared" ref="G34" si="16">ROUND(MAX(C34+E34-D34-F34,0),2)</f>
        <v>0</v>
      </c>
      <c r="H34" s="221">
        <f t="shared" ref="H34" si="17">ROUND(MAX(D34+F34-C34-E34,0),2)</f>
        <v>0</v>
      </c>
      <c r="I34" s="24"/>
      <c r="J34" s="329"/>
    </row>
    <row r="35" spans="1:10" s="16" customFormat="1" ht="17.25" customHeight="1">
      <c r="A35" s="6"/>
      <c r="B35" s="128"/>
      <c r="C35" s="10"/>
      <c r="D35" s="10"/>
      <c r="E35" s="8">
        <f t="array" ref="E35">SUM(IF("331"&amp;B35=KHN&amp;KH,TH))</f>
        <v>0</v>
      </c>
      <c r="F35" s="8">
        <f t="array" ref="F35">SUM(IF("331"&amp;B35=KHC&amp;KH,TH))</f>
        <v>0</v>
      </c>
      <c r="G35" s="221">
        <f t="shared" ref="G35" si="18">ROUND(MAX(C35+E35-D35-F35,0),2)</f>
        <v>0</v>
      </c>
      <c r="H35" s="221">
        <f t="shared" ref="H35" si="19">ROUND(MAX(D35+F35-C35-E35,0),2)</f>
        <v>0</v>
      </c>
      <c r="I35" s="24"/>
      <c r="J35" s="329"/>
    </row>
    <row r="36" spans="1:10" s="16" customFormat="1" ht="17.25" customHeight="1">
      <c r="A36" s="6"/>
      <c r="B36" s="128"/>
      <c r="C36" s="10"/>
      <c r="D36" s="10"/>
      <c r="E36" s="8"/>
      <c r="F36" s="8"/>
      <c r="G36" s="221"/>
      <c r="H36" s="221"/>
      <c r="I36" s="24"/>
      <c r="J36" s="329"/>
    </row>
    <row r="37" spans="1:10" s="20" customFormat="1" ht="17.25" customHeight="1">
      <c r="A37" s="17"/>
      <c r="B37" s="18" t="s">
        <v>94</v>
      </c>
      <c r="C37" s="19">
        <f t="shared" ref="C37:H37" si="20">SUM(C4:C34)</f>
        <v>0</v>
      </c>
      <c r="D37" s="19">
        <f t="shared" si="20"/>
        <v>0</v>
      </c>
      <c r="E37" s="19">
        <f t="shared" si="20"/>
        <v>25281697509</v>
      </c>
      <c r="F37" s="19">
        <f t="shared" si="20"/>
        <v>18595895129</v>
      </c>
      <c r="G37" s="19">
        <f t="shared" si="20"/>
        <v>7387125000</v>
      </c>
      <c r="H37" s="19">
        <f t="shared" si="20"/>
        <v>701322620</v>
      </c>
      <c r="I37" s="25"/>
      <c r="J37" s="25"/>
    </row>
    <row r="39" spans="1:10" ht="17.25" customHeight="1">
      <c r="E39" s="21">
        <f>CDPS!E20</f>
        <v>25281697509</v>
      </c>
      <c r="F39" s="21">
        <f>CDPS!F20</f>
        <v>18606095033</v>
      </c>
    </row>
    <row r="41" spans="1:10" ht="17.25" customHeight="1">
      <c r="E41" s="149">
        <f>E37-E39</f>
        <v>0</v>
      </c>
      <c r="F41" s="149">
        <f>F37-F39</f>
        <v>-10199904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J77"/>
  <sheetViews>
    <sheetView topLeftCell="D4" workbookViewId="0">
      <pane ySplit="10" topLeftCell="A14" activePane="bottomLeft" state="frozen"/>
      <selection activeCell="A4" sqref="A4"/>
      <selection pane="bottomLeft" activeCell="H15" sqref="H15:H16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6"/>
      <c r="C1" s="26"/>
      <c r="G1" s="2"/>
      <c r="H1" s="355" t="s">
        <v>186</v>
      </c>
      <c r="I1" s="355"/>
      <c r="J1" s="355"/>
    </row>
    <row r="2" spans="1:10" s="3" customFormat="1" ht="14.25" customHeight="1">
      <c r="A2" s="1" t="s">
        <v>30</v>
      </c>
      <c r="B2" s="26"/>
      <c r="C2" s="26"/>
      <c r="G2" s="27"/>
      <c r="H2" s="356" t="s">
        <v>187</v>
      </c>
      <c r="I2" s="356"/>
      <c r="J2" s="356"/>
    </row>
    <row r="3" spans="1:10" s="3" customFormat="1" ht="14.25" customHeight="1">
      <c r="A3" s="4"/>
      <c r="B3" s="26"/>
      <c r="C3" s="26"/>
      <c r="G3" s="27"/>
      <c r="H3" s="356"/>
      <c r="I3" s="356"/>
      <c r="J3" s="356"/>
    </row>
    <row r="4" spans="1:10" s="5" customFormat="1" ht="28.5" customHeight="1">
      <c r="A4" s="364" t="s">
        <v>64</v>
      </c>
      <c r="B4" s="364"/>
      <c r="C4" s="364"/>
      <c r="D4" s="364"/>
      <c r="E4" s="364"/>
      <c r="F4" s="364"/>
      <c r="G4" s="364"/>
      <c r="H4" s="364"/>
      <c r="I4" s="364"/>
      <c r="J4" s="364"/>
    </row>
    <row r="5" spans="1:10" s="28" customFormat="1" ht="14.25" customHeight="1">
      <c r="E5" s="29" t="s">
        <v>65</v>
      </c>
    </row>
    <row r="6" spans="1:10" s="28" customFormat="1" ht="14.25" customHeight="1">
      <c r="E6" s="29" t="s">
        <v>66</v>
      </c>
    </row>
    <row r="7" spans="1:10" s="28" customFormat="1" ht="14.25" customHeight="1">
      <c r="D7" s="30" t="s">
        <v>185</v>
      </c>
      <c r="E7" s="357" t="s">
        <v>86</v>
      </c>
      <c r="F7" s="357"/>
      <c r="G7" s="357"/>
      <c r="H7" s="357"/>
    </row>
    <row r="8" spans="1:10" s="28" customFormat="1" ht="14.25" customHeight="1">
      <c r="E8" s="29" t="s">
        <v>67</v>
      </c>
    </row>
    <row r="9" spans="1:10" s="28" customFormat="1" ht="6.75" customHeight="1">
      <c r="B9" s="29"/>
      <c r="C9" s="359"/>
      <c r="D9" s="359"/>
      <c r="E9" s="359"/>
      <c r="F9" s="359"/>
      <c r="G9" s="359"/>
      <c r="H9" s="359"/>
      <c r="I9" s="359"/>
      <c r="J9" s="359"/>
    </row>
    <row r="10" spans="1:10" s="28" customFormat="1" ht="14.25" customHeight="1">
      <c r="A10" s="361" t="s">
        <v>50</v>
      </c>
      <c r="B10" s="360" t="s">
        <v>10</v>
      </c>
      <c r="C10" s="360"/>
      <c r="D10" s="361" t="s">
        <v>0</v>
      </c>
      <c r="E10" s="361" t="s">
        <v>31</v>
      </c>
      <c r="F10" s="361" t="s">
        <v>68</v>
      </c>
      <c r="G10" s="362" t="s">
        <v>51</v>
      </c>
      <c r="H10" s="363"/>
      <c r="I10" s="362" t="s">
        <v>69</v>
      </c>
      <c r="J10" s="363"/>
    </row>
    <row r="11" spans="1:10" s="28" customFormat="1" ht="24.75" customHeight="1">
      <c r="A11" s="361"/>
      <c r="B11" s="44" t="s">
        <v>32</v>
      </c>
      <c r="C11" s="44" t="s">
        <v>70</v>
      </c>
      <c r="D11" s="361"/>
      <c r="E11" s="361"/>
      <c r="F11" s="361"/>
      <c r="G11" s="44" t="s">
        <v>52</v>
      </c>
      <c r="H11" s="44" t="s">
        <v>53</v>
      </c>
      <c r="I11" s="44" t="s">
        <v>52</v>
      </c>
      <c r="J11" s="44" t="s">
        <v>53</v>
      </c>
    </row>
    <row r="12" spans="1:10" s="28" customFormat="1" ht="11.25" customHeight="1">
      <c r="A12" s="31" t="s">
        <v>11</v>
      </c>
      <c r="B12" s="32" t="s">
        <v>12</v>
      </c>
      <c r="C12" s="31" t="s">
        <v>13</v>
      </c>
      <c r="D12" s="31" t="s">
        <v>14</v>
      </c>
      <c r="E12" s="31" t="s">
        <v>15</v>
      </c>
      <c r="F12" s="31">
        <v>1</v>
      </c>
      <c r="G12" s="31">
        <v>2</v>
      </c>
      <c r="H12" s="31">
        <v>3</v>
      </c>
      <c r="I12" s="31">
        <v>4</v>
      </c>
      <c r="J12" s="31">
        <v>5</v>
      </c>
    </row>
    <row r="13" spans="1:10" s="28" customFormat="1" ht="18" customHeight="1">
      <c r="A13" s="31"/>
      <c r="B13" s="31"/>
      <c r="C13" s="31"/>
      <c r="D13" s="33" t="s">
        <v>16</v>
      </c>
      <c r="E13" s="31"/>
      <c r="F13" s="34"/>
      <c r="G13" s="34"/>
      <c r="H13" s="34"/>
      <c r="I13" s="134">
        <v>0</v>
      </c>
      <c r="J13" s="134">
        <v>0</v>
      </c>
    </row>
    <row r="14" spans="1:10" s="28" customFormat="1" ht="18" customHeight="1">
      <c r="A14" s="12">
        <f t="shared" ref="A14:A20" ca="1" si="0">IF(C14&lt;&gt;"",C14,"")</f>
        <v>41641</v>
      </c>
      <c r="B14" s="12" t="str">
        <f ca="1">IF(ROWS($1:1)&gt;COUNT(Dong),"",OFFSET(TH!D$1,SMALL(Dong,ROWS($1:1)),))</f>
        <v>GBN</v>
      </c>
      <c r="C14" s="12">
        <f ca="1">IF(ROWS($1:1)&gt;COUNT(Dong),"",OFFSET(TH!E$1,SMALL(Dong,ROWS($1:1)),))</f>
        <v>41641</v>
      </c>
      <c r="D14" s="132" t="str">
        <f ca="1">IF(ROWS($1:1)&gt;COUNT(Dong),"",OFFSET(TH!F$1,SMALL(Dong,ROWS($1:1)),))</f>
        <v>Tạm ứng tiền XD CSHT - Công  Nghệ Môi Trường CMD</v>
      </c>
      <c r="E14" s="133" t="str">
        <f ca="1">IF(ROWS($1:1)&gt;COUNT(Dong),"",IF(OFFSET(TH!J$1,SMALL(Dong,ROWS($1:1)),)="331",OFFSET(TH!K$1,SMALL(Dong,ROWS($1:1)),),OFFSET(TH!J$1,SMALL(Dong,ROWS($1:1)),)))</f>
        <v>1121</v>
      </c>
      <c r="F14" s="133"/>
      <c r="G14" s="259">
        <f ca="1">IF(ROWS($1:1)&gt;COUNT(Dong),"",IF(OFFSET(TH!J$1,SMALL(Dong,ROWS($1:1)),)="331",OFFSET(TH!I$1,SMALL(Dong,ROWS($1:1)),),0))</f>
        <v>27500000</v>
      </c>
      <c r="H14" s="259">
        <f ca="1">IF(ROWS($1:1)&gt;COUNT(Dong),"",IF(OFFSET(TH!K$1,SMALL(Dong,ROWS($1:1)),)="331",OFFSET(TH!I$1,SMALL(Dong,ROWS($1:1)),),0))</f>
        <v>0</v>
      </c>
      <c r="I14" s="35">
        <f t="shared" ref="I14:I20" ca="1" si="1">IF(D14&lt;&gt;"",MAX(I13+G14-H14-J13,0),0)</f>
        <v>27500000</v>
      </c>
      <c r="J14" s="35">
        <f t="shared" ref="J14:J20" ca="1" si="2">IF(D14&lt;&gt;"",MAX(J13+H14-I13-G14,0),0)</f>
        <v>0</v>
      </c>
    </row>
    <row r="15" spans="1:10" s="28" customFormat="1" ht="18" customHeight="1">
      <c r="A15" s="12">
        <f t="shared" ca="1" si="0"/>
        <v>41743</v>
      </c>
      <c r="B15" s="12" t="str">
        <f ca="1">IF(ROWS($1:2)&gt;COUNT(Dong),"",OFFSET(TH!D$1,SMALL(Dong,ROWS($1:2)),))</f>
        <v>CTGS</v>
      </c>
      <c r="C15" s="12">
        <f ca="1">IF(ROWS($1:2)&gt;COUNT(Dong),"",OFFSET(TH!E$1,SMALL(Dong,ROWS($1:2)),))</f>
        <v>41743</v>
      </c>
      <c r="D15" s="132" t="str">
        <f ca="1">IF(ROWS($1:2)&gt;COUNT(Dong),"",OFFSET(TH!F$1,SMALL(Dong,ROWS($1:2)),))</f>
        <v>Lập báo cáo dự án - Trà Vinh</v>
      </c>
      <c r="E15" s="133" t="str">
        <f ca="1">IF(ROWS($1:2)&gt;COUNT(Dong),"",IF(OFFSET(TH!J$1,SMALL(Dong,ROWS($1:2)),)="331",OFFSET(TH!K$1,SMALL(Dong,ROWS($1:2)),),OFFSET(TH!J$1,SMALL(Dong,ROWS($1:2)),)))</f>
        <v>2412</v>
      </c>
      <c r="F15" s="133"/>
      <c r="G15" s="259">
        <f ca="1">IF(ROWS($1:2)&gt;COUNT(Dong),"",IF(OFFSET(TH!J$1,SMALL(Dong,ROWS($1:2)),)="331",OFFSET(TH!I$1,SMALL(Dong,ROWS($1:2)),),0))</f>
        <v>0</v>
      </c>
      <c r="H15" s="259">
        <f ca="1">IF(ROWS($1:2)&gt;COUNT(Dong),"",IF(OFFSET(TH!K$1,SMALL(Dong,ROWS($1:2)),)="331",OFFSET(TH!I$1,SMALL(Dong,ROWS($1:2)),),0))</f>
        <v>55000000</v>
      </c>
      <c r="I15" s="35">
        <f t="shared" ca="1" si="1"/>
        <v>0</v>
      </c>
      <c r="J15" s="35">
        <f t="shared" ca="1" si="2"/>
        <v>27500000</v>
      </c>
    </row>
    <row r="16" spans="1:10" s="28" customFormat="1" ht="18" customHeight="1">
      <c r="A16" s="12">
        <f t="shared" ca="1" si="0"/>
        <v>41743</v>
      </c>
      <c r="B16" s="12" t="str">
        <f ca="1">IF(ROWS($1:3)&gt;COUNT(Dong),"",OFFSET(TH!D$1,SMALL(Dong,ROWS($1:3)),))</f>
        <v>CTGS</v>
      </c>
      <c r="C16" s="12">
        <f ca="1">IF(ROWS($1:3)&gt;COUNT(Dong),"",OFFSET(TH!E$1,SMALL(Dong,ROWS($1:3)),))</f>
        <v>41743</v>
      </c>
      <c r="D16" s="132" t="str">
        <f ca="1">IF(ROWS($1:3)&gt;COUNT(Dong),"",OFFSET(TH!F$1,SMALL(Dong,ROWS($1:3)),))</f>
        <v>VAT Lập báo cáo dự án - Trà Vinh</v>
      </c>
      <c r="E16" s="133" t="str">
        <f ca="1">IF(ROWS($1:3)&gt;COUNT(Dong),"",IF(OFFSET(TH!J$1,SMALL(Dong,ROWS($1:3)),)="331",OFFSET(TH!K$1,SMALL(Dong,ROWS($1:3)),),OFFSET(TH!J$1,SMALL(Dong,ROWS($1:3)),)))</f>
        <v>1331</v>
      </c>
      <c r="F16" s="133"/>
      <c r="G16" s="259">
        <f ca="1">IF(ROWS($1:3)&gt;COUNT(Dong),"",IF(OFFSET(TH!J$1,SMALL(Dong,ROWS($1:3)),)="331",OFFSET(TH!I$1,SMALL(Dong,ROWS($1:3)),),0))</f>
        <v>0</v>
      </c>
      <c r="H16" s="259">
        <f ca="1">IF(ROWS($1:3)&gt;COUNT(Dong),"",IF(OFFSET(TH!K$1,SMALL(Dong,ROWS($1:3)),)="331",OFFSET(TH!I$1,SMALL(Dong,ROWS($1:3)),),0))</f>
        <v>5500000</v>
      </c>
      <c r="I16" s="35">
        <f t="shared" ca="1" si="1"/>
        <v>0</v>
      </c>
      <c r="J16" s="35">
        <f t="shared" ca="1" si="2"/>
        <v>33000000</v>
      </c>
    </row>
    <row r="17" spans="1:10" s="28" customFormat="1" ht="18" customHeight="1">
      <c r="A17" s="12">
        <f t="shared" ca="1" si="0"/>
        <v>41779</v>
      </c>
      <c r="B17" s="12" t="str">
        <f ca="1">IF(ROWS($1:4)&gt;COUNT(Dong),"",OFFSET(TH!D$1,SMALL(Dong,ROWS($1:4)),))</f>
        <v>GBN</v>
      </c>
      <c r="C17" s="12">
        <f ca="1">IF(ROWS($1:4)&gt;COUNT(Dong),"",OFFSET(TH!E$1,SMALL(Dong,ROWS($1:4)),))</f>
        <v>41779</v>
      </c>
      <c r="D17" s="132" t="str">
        <f ca="1">IF(ROWS($1:4)&gt;COUNT(Dong),"",OFFSET(TH!F$1,SMALL(Dong,ROWS($1:4)),))</f>
        <v>Tạm ứng tiền XD CSHT - Công  Nghệ Môi Trường CMD</v>
      </c>
      <c r="E17" s="133" t="str">
        <f ca="1">IF(ROWS($1:4)&gt;COUNT(Dong),"",IF(OFFSET(TH!J$1,SMALL(Dong,ROWS($1:4)),)="331",OFFSET(TH!K$1,SMALL(Dong,ROWS($1:4)),),OFFSET(TH!J$1,SMALL(Dong,ROWS($1:4)),)))</f>
        <v>1121</v>
      </c>
      <c r="F17" s="133"/>
      <c r="G17" s="259">
        <f ca="1">IF(ROWS($1:4)&gt;COUNT(Dong),"",IF(OFFSET(TH!J$1,SMALL(Dong,ROWS($1:4)),)="331",OFFSET(TH!I$1,SMALL(Dong,ROWS($1:4)),),0))</f>
        <v>33000000</v>
      </c>
      <c r="H17" s="259">
        <f ca="1">IF(ROWS($1:4)&gt;COUNT(Dong),"",IF(OFFSET(TH!K$1,SMALL(Dong,ROWS($1:4)),)="331",OFFSET(TH!I$1,SMALL(Dong,ROWS($1:4)),),0))</f>
        <v>0</v>
      </c>
      <c r="I17" s="35">
        <f t="shared" ca="1" si="1"/>
        <v>0</v>
      </c>
      <c r="J17" s="35">
        <f t="shared" ca="1" si="2"/>
        <v>0</v>
      </c>
    </row>
    <row r="18" spans="1:10" s="28" customFormat="1" ht="18" customHeight="1">
      <c r="A18" s="12">
        <f t="shared" ca="1" si="0"/>
        <v>42236</v>
      </c>
      <c r="B18" s="12" t="str">
        <f ca="1">IF(ROWS($1:5)&gt;COUNT(Dong),"",OFFSET(TH!D$1,SMALL(Dong,ROWS($1:5)),))</f>
        <v>GBN</v>
      </c>
      <c r="C18" s="12">
        <f ca="1">IF(ROWS($1:5)&gt;COUNT(Dong),"",OFFSET(TH!E$1,SMALL(Dong,ROWS($1:5)),))</f>
        <v>42236</v>
      </c>
      <c r="D18" s="132" t="str">
        <f ca="1">IF(ROWS($1:5)&gt;COUNT(Dong),"",OFFSET(TH!F$1,SMALL(Dong,ROWS($1:5)),))</f>
        <v>Thanh toán tiền công trình</v>
      </c>
      <c r="E18" s="133" t="str">
        <f ca="1">IF(ROWS($1:5)&gt;COUNT(Dong),"",IF(OFFSET(TH!J$1,SMALL(Dong,ROWS($1:5)),)="331",OFFSET(TH!K$1,SMALL(Dong,ROWS($1:5)),),OFFSET(TH!J$1,SMALL(Dong,ROWS($1:5)),)))</f>
        <v>1121</v>
      </c>
      <c r="F18" s="133"/>
      <c r="G18" s="259">
        <f ca="1">IF(ROWS($1:5)&gt;COUNT(Dong),"",IF(OFFSET(TH!J$1,SMALL(Dong,ROWS($1:5)),)="331",OFFSET(TH!I$1,SMALL(Dong,ROWS($1:5)),),0))</f>
        <v>128400000</v>
      </c>
      <c r="H18" s="259">
        <f ca="1">IF(ROWS($1:5)&gt;COUNT(Dong),"",IF(OFFSET(TH!K$1,SMALL(Dong,ROWS($1:5)),)="331",OFFSET(TH!I$1,SMALL(Dong,ROWS($1:5)),),0))</f>
        <v>0</v>
      </c>
      <c r="I18" s="35">
        <f t="shared" ca="1" si="1"/>
        <v>128400000</v>
      </c>
      <c r="J18" s="35">
        <f t="shared" ca="1" si="2"/>
        <v>0</v>
      </c>
    </row>
    <row r="19" spans="1:10" s="28" customFormat="1" ht="18" customHeight="1">
      <c r="A19" s="12" t="str">
        <f t="shared" ca="1" si="0"/>
        <v/>
      </c>
      <c r="B19" s="12" t="str">
        <f ca="1">IF(ROWS($1:6)&gt;COUNT(Dong),"",OFFSET(TH!D$1,SMALL(Dong,ROWS($1:6)),))</f>
        <v/>
      </c>
      <c r="C19" s="12" t="str">
        <f ca="1">IF(ROWS($1:6)&gt;COUNT(Dong),"",OFFSET(TH!E$1,SMALL(Dong,ROWS($1:6)),))</f>
        <v/>
      </c>
      <c r="D19" s="132" t="str">
        <f ca="1">IF(ROWS($1:6)&gt;COUNT(Dong),"",OFFSET(TH!F$1,SMALL(Dong,ROWS($1:6)),))</f>
        <v/>
      </c>
      <c r="E19" s="133" t="str">
        <f ca="1">IF(ROWS($1:6)&gt;COUNT(Dong),"",IF(OFFSET(TH!J$1,SMALL(Dong,ROWS($1:6)),)="331",OFFSET(TH!K$1,SMALL(Dong,ROWS($1:6)),),OFFSET(TH!J$1,SMALL(Dong,ROWS($1:6)),)))</f>
        <v/>
      </c>
      <c r="F19" s="133"/>
      <c r="G19" s="259" t="str">
        <f ca="1">IF(ROWS($1:6)&gt;COUNT(Dong),"",IF(OFFSET(TH!J$1,SMALL(Dong,ROWS($1:6)),)="331",OFFSET(TH!I$1,SMALL(Dong,ROWS($1:6)),),0))</f>
        <v/>
      </c>
      <c r="H19" s="259" t="str">
        <f ca="1">IF(ROWS($1:6)&gt;COUNT(Dong),"",IF(OFFSET(TH!K$1,SMALL(Dong,ROWS($1:6)),)="331",OFFSET(TH!I$1,SMALL(Dong,ROWS($1:6)),),0))</f>
        <v/>
      </c>
      <c r="I19" s="35">
        <f t="shared" ca="1" si="1"/>
        <v>0</v>
      </c>
      <c r="J19" s="35">
        <f t="shared" ca="1" si="2"/>
        <v>0</v>
      </c>
    </row>
    <row r="20" spans="1:10" s="28" customFormat="1" ht="18" customHeight="1">
      <c r="A20" s="12" t="str">
        <f t="shared" ca="1" si="0"/>
        <v/>
      </c>
      <c r="B20" s="12" t="str">
        <f ca="1">IF(ROWS($1:7)&gt;COUNT(Dong),"",OFFSET(TH!D$1,SMALL(Dong,ROWS($1:7)),))</f>
        <v/>
      </c>
      <c r="C20" s="12" t="str">
        <f ca="1">IF(ROWS($1:7)&gt;COUNT(Dong),"",OFFSET(TH!E$1,SMALL(Dong,ROWS($1:7)),))</f>
        <v/>
      </c>
      <c r="D20" s="132" t="str">
        <f ca="1">IF(ROWS($1:7)&gt;COUNT(Dong),"",OFFSET(TH!F$1,SMALL(Dong,ROWS($1:7)),))</f>
        <v/>
      </c>
      <c r="E20" s="133" t="str">
        <f ca="1">IF(ROWS($1:7)&gt;COUNT(Dong),"",IF(OFFSET(TH!J$1,SMALL(Dong,ROWS($1:7)),)="331",OFFSET(TH!K$1,SMALL(Dong,ROWS($1:7)),),OFFSET(TH!J$1,SMALL(Dong,ROWS($1:7)),)))</f>
        <v/>
      </c>
      <c r="F20" s="133"/>
      <c r="G20" s="259" t="str">
        <f ca="1">IF(ROWS($1:7)&gt;COUNT(Dong),"",IF(OFFSET(TH!J$1,SMALL(Dong,ROWS($1:7)),)="331",OFFSET(TH!I$1,SMALL(Dong,ROWS($1:7)),),0))</f>
        <v/>
      </c>
      <c r="H20" s="259" t="str">
        <f ca="1">IF(ROWS($1:7)&gt;COUNT(Dong),"",IF(OFFSET(TH!K$1,SMALL(Dong,ROWS($1:7)),)="331",OFFSET(TH!I$1,SMALL(Dong,ROWS($1:7)),),0))</f>
        <v/>
      </c>
      <c r="I20" s="35">
        <f t="shared" ca="1" si="1"/>
        <v>0</v>
      </c>
      <c r="J20" s="35">
        <f t="shared" ca="1" si="2"/>
        <v>0</v>
      </c>
    </row>
    <row r="21" spans="1:10" s="28" customFormat="1" ht="18" customHeight="1">
      <c r="A21" s="12" t="str">
        <f t="shared" ref="A21:A32" ca="1" si="3">IF(C21&lt;&gt;"",C21,"")</f>
        <v/>
      </c>
      <c r="B21" s="12" t="str">
        <f ca="1">IF(ROWS($1:8)&gt;COUNT(Dong),"",OFFSET(TH!D$1,SMALL(Dong,ROWS($1:8)),))</f>
        <v/>
      </c>
      <c r="C21" s="12" t="str">
        <f ca="1">IF(ROWS($1:8)&gt;COUNT(Dong),"",OFFSET(TH!E$1,SMALL(Dong,ROWS($1:8)),))</f>
        <v/>
      </c>
      <c r="D21" s="132" t="str">
        <f ca="1">IF(ROWS($1:8)&gt;COUNT(Dong),"",OFFSET(TH!F$1,SMALL(Dong,ROWS($1:8)),))</f>
        <v/>
      </c>
      <c r="E21" s="133" t="str">
        <f ca="1">IF(ROWS($1:8)&gt;COUNT(Dong),"",IF(OFFSET(TH!J$1,SMALL(Dong,ROWS($1:8)),)="331",OFFSET(TH!K$1,SMALL(Dong,ROWS($1:8)),),OFFSET(TH!J$1,SMALL(Dong,ROWS($1:8)),)))</f>
        <v/>
      </c>
      <c r="F21" s="133"/>
      <c r="G21" s="114" t="str">
        <f ca="1">IF(ROWS($1:8)&gt;COUNT(Dong),"",IF(OFFSET(TH!J$1,SMALL(Dong,ROWS($1:8)),)="331",OFFSET(TH!I$1,SMALL(Dong,ROWS($1:8)),),0))</f>
        <v/>
      </c>
      <c r="H21" s="114" t="str">
        <f ca="1">IF(ROWS($1:8)&gt;COUNT(Dong),"",IF(OFFSET(TH!K$1,SMALL(Dong,ROWS($1:8)),)="331",OFFSET(TH!I$1,SMALL(Dong,ROWS($1:8)),),0))</f>
        <v/>
      </c>
      <c r="I21" s="35">
        <f t="shared" ref="I21:I32" ca="1" si="4">IF(D21&lt;&gt;"",MAX(I20+G21-H21-J20,0),0)</f>
        <v>0</v>
      </c>
      <c r="J21" s="35">
        <f t="shared" ref="J21:J32" ca="1" si="5">IF(D21&lt;&gt;"",MAX(J20+H21-I20-G21,0),0)</f>
        <v>0</v>
      </c>
    </row>
    <row r="22" spans="1:10" s="28" customFormat="1" ht="18" customHeight="1">
      <c r="A22" s="12" t="str">
        <f t="shared" ca="1" si="3"/>
        <v/>
      </c>
      <c r="B22" s="12" t="str">
        <f ca="1">IF(ROWS($1:9)&gt;COUNT(Dong),"",OFFSET(TH!D$1,SMALL(Dong,ROWS($1:9)),))</f>
        <v/>
      </c>
      <c r="C22" s="12" t="str">
        <f ca="1">IF(ROWS($1:9)&gt;COUNT(Dong),"",OFFSET(TH!E$1,SMALL(Dong,ROWS($1:9)),))</f>
        <v/>
      </c>
      <c r="D22" s="132" t="str">
        <f ca="1">IF(ROWS($1:9)&gt;COUNT(Dong),"",OFFSET(TH!F$1,SMALL(Dong,ROWS($1:9)),))</f>
        <v/>
      </c>
      <c r="E22" s="133" t="str">
        <f ca="1">IF(ROWS($1:9)&gt;COUNT(Dong),"",IF(OFFSET(TH!J$1,SMALL(Dong,ROWS($1:9)),)="331",OFFSET(TH!K$1,SMALL(Dong,ROWS($1:9)),),OFFSET(TH!J$1,SMALL(Dong,ROWS($1:9)),)))</f>
        <v/>
      </c>
      <c r="F22" s="133"/>
      <c r="G22" s="114" t="str">
        <f ca="1">IF(ROWS($1:9)&gt;COUNT(Dong),"",IF(OFFSET(TH!J$1,SMALL(Dong,ROWS($1:9)),)="331",OFFSET(TH!I$1,SMALL(Dong,ROWS($1:9)),),0))</f>
        <v/>
      </c>
      <c r="H22" s="114" t="str">
        <f ca="1">IF(ROWS($1:9)&gt;COUNT(Dong),"",IF(OFFSET(TH!K$1,SMALL(Dong,ROWS($1:9)),)="331",OFFSET(TH!I$1,SMALL(Dong,ROWS($1:9)),),0))</f>
        <v/>
      </c>
      <c r="I22" s="35">
        <f t="shared" ca="1" si="4"/>
        <v>0</v>
      </c>
      <c r="J22" s="35">
        <f t="shared" ca="1" si="5"/>
        <v>0</v>
      </c>
    </row>
    <row r="23" spans="1:10" s="28" customFormat="1" ht="18" customHeight="1">
      <c r="A23" s="12" t="str">
        <f t="shared" ca="1" si="3"/>
        <v/>
      </c>
      <c r="B23" s="12" t="str">
        <f ca="1">IF(ROWS($1:10)&gt;COUNT(Dong),"",OFFSET(TH!D$1,SMALL(Dong,ROWS($1:10)),))</f>
        <v/>
      </c>
      <c r="C23" s="12" t="str">
        <f ca="1">IF(ROWS($1:10)&gt;COUNT(Dong),"",OFFSET(TH!E$1,SMALL(Dong,ROWS($1:10)),))</f>
        <v/>
      </c>
      <c r="D23" s="132" t="str">
        <f ca="1">IF(ROWS($1:10)&gt;COUNT(Dong),"",OFFSET(TH!F$1,SMALL(Dong,ROWS($1:10)),))</f>
        <v/>
      </c>
      <c r="E23" s="133" t="str">
        <f ca="1">IF(ROWS($1:10)&gt;COUNT(Dong),"",IF(OFFSET(TH!J$1,SMALL(Dong,ROWS($1:10)),)="331",OFFSET(TH!K$1,SMALL(Dong,ROWS($1:10)),),OFFSET(TH!J$1,SMALL(Dong,ROWS($1:10)),)))</f>
        <v/>
      </c>
      <c r="F23" s="133"/>
      <c r="G23" s="114" t="str">
        <f ca="1">IF(ROWS($1:10)&gt;COUNT(Dong),"",IF(OFFSET(TH!J$1,SMALL(Dong,ROWS($1:10)),)="331",OFFSET(TH!I$1,SMALL(Dong,ROWS($1:10)),),0))</f>
        <v/>
      </c>
      <c r="H23" s="114" t="str">
        <f ca="1">IF(ROWS($1:10)&gt;COUNT(Dong),"",IF(OFFSET(TH!K$1,SMALL(Dong,ROWS($1:10)),)="331",OFFSET(TH!I$1,SMALL(Dong,ROWS($1:10)),),0))</f>
        <v/>
      </c>
      <c r="I23" s="35">
        <f t="shared" ca="1" si="4"/>
        <v>0</v>
      </c>
      <c r="J23" s="35">
        <f t="shared" ca="1" si="5"/>
        <v>0</v>
      </c>
    </row>
    <row r="24" spans="1:10" s="28" customFormat="1" ht="18" customHeight="1">
      <c r="A24" s="12" t="str">
        <f t="shared" ca="1" si="3"/>
        <v/>
      </c>
      <c r="B24" s="12" t="str">
        <f ca="1">IF(ROWS($1:11)&gt;COUNT(Dong),"",OFFSET(TH!D$1,SMALL(Dong,ROWS($1:11)),))</f>
        <v/>
      </c>
      <c r="C24" s="12" t="str">
        <f ca="1">IF(ROWS($1:11)&gt;COUNT(Dong),"",OFFSET(TH!E$1,SMALL(Dong,ROWS($1:11)),))</f>
        <v/>
      </c>
      <c r="D24" s="132" t="str">
        <f ca="1">IF(ROWS($1:11)&gt;COUNT(Dong),"",OFFSET(TH!F$1,SMALL(Dong,ROWS($1:11)),))</f>
        <v/>
      </c>
      <c r="E24" s="133" t="str">
        <f ca="1">IF(ROWS($1:11)&gt;COUNT(Dong),"",IF(OFFSET(TH!J$1,SMALL(Dong,ROWS($1:11)),)="331",OFFSET(TH!K$1,SMALL(Dong,ROWS($1:11)),),OFFSET(TH!J$1,SMALL(Dong,ROWS($1:11)),)))</f>
        <v/>
      </c>
      <c r="F24" s="133"/>
      <c r="G24" s="114" t="str">
        <f ca="1">IF(ROWS($1:11)&gt;COUNT(Dong),"",IF(OFFSET(TH!J$1,SMALL(Dong,ROWS($1:11)),)="331",OFFSET(TH!I$1,SMALL(Dong,ROWS($1:11)),),0))</f>
        <v/>
      </c>
      <c r="H24" s="114" t="str">
        <f ca="1">IF(ROWS($1:11)&gt;COUNT(Dong),"",IF(OFFSET(TH!K$1,SMALL(Dong,ROWS($1:11)),)="331",OFFSET(TH!I$1,SMALL(Dong,ROWS($1:11)),),0))</f>
        <v/>
      </c>
      <c r="I24" s="35">
        <f t="shared" ca="1" si="4"/>
        <v>0</v>
      </c>
      <c r="J24" s="35">
        <f t="shared" ca="1" si="5"/>
        <v>0</v>
      </c>
    </row>
    <row r="25" spans="1:10" s="28" customFormat="1" ht="18" customHeight="1">
      <c r="A25" s="12" t="str">
        <f t="shared" ca="1" si="3"/>
        <v/>
      </c>
      <c r="B25" s="12" t="str">
        <f ca="1">IF(ROWS($1:12)&gt;COUNT(Dong),"",OFFSET(TH!D$1,SMALL(Dong,ROWS($1:12)),))</f>
        <v/>
      </c>
      <c r="C25" s="12" t="str">
        <f ca="1">IF(ROWS($1:12)&gt;COUNT(Dong),"",OFFSET(TH!E$1,SMALL(Dong,ROWS($1:12)),))</f>
        <v/>
      </c>
      <c r="D25" s="132" t="str">
        <f ca="1">IF(ROWS($1:12)&gt;COUNT(Dong),"",OFFSET(TH!F$1,SMALL(Dong,ROWS($1:12)),))</f>
        <v/>
      </c>
      <c r="E25" s="133" t="str">
        <f ca="1">IF(ROWS($1:12)&gt;COUNT(Dong),"",IF(OFFSET(TH!J$1,SMALL(Dong,ROWS($1:12)),)="331",OFFSET(TH!K$1,SMALL(Dong,ROWS($1:12)),),OFFSET(TH!J$1,SMALL(Dong,ROWS($1:12)),)))</f>
        <v/>
      </c>
      <c r="F25" s="133"/>
      <c r="G25" s="114" t="str">
        <f ca="1">IF(ROWS($1:12)&gt;COUNT(Dong),"",IF(OFFSET(TH!J$1,SMALL(Dong,ROWS($1:12)),)="331",OFFSET(TH!I$1,SMALL(Dong,ROWS($1:12)),),0))</f>
        <v/>
      </c>
      <c r="H25" s="114" t="str">
        <f ca="1">IF(ROWS($1:12)&gt;COUNT(Dong),"",IF(OFFSET(TH!K$1,SMALL(Dong,ROWS($1:12)),)="331",OFFSET(TH!I$1,SMALL(Dong,ROWS($1:12)),),0))</f>
        <v/>
      </c>
      <c r="I25" s="35">
        <f t="shared" ca="1" si="4"/>
        <v>0</v>
      </c>
      <c r="J25" s="35">
        <f t="shared" ca="1" si="5"/>
        <v>0</v>
      </c>
    </row>
    <row r="26" spans="1:10" s="28" customFormat="1" ht="18" customHeight="1">
      <c r="A26" s="12" t="str">
        <f t="shared" ca="1" si="3"/>
        <v/>
      </c>
      <c r="B26" s="12" t="str">
        <f ca="1">IF(ROWS($1:13)&gt;COUNT(Dong),"",OFFSET(TH!D$1,SMALL(Dong,ROWS($1:13)),))</f>
        <v/>
      </c>
      <c r="C26" s="12" t="str">
        <f ca="1">IF(ROWS($1:13)&gt;COUNT(Dong),"",OFFSET(TH!E$1,SMALL(Dong,ROWS($1:13)),))</f>
        <v/>
      </c>
      <c r="D26" s="132" t="str">
        <f ca="1">IF(ROWS($1:13)&gt;COUNT(Dong),"",OFFSET(TH!F$1,SMALL(Dong,ROWS($1:13)),))</f>
        <v/>
      </c>
      <c r="E26" s="133" t="str">
        <f ca="1">IF(ROWS($1:13)&gt;COUNT(Dong),"",IF(OFFSET(TH!J$1,SMALL(Dong,ROWS($1:13)),)="331",OFFSET(TH!K$1,SMALL(Dong,ROWS($1:13)),),OFFSET(TH!J$1,SMALL(Dong,ROWS($1:13)),)))</f>
        <v/>
      </c>
      <c r="F26" s="133"/>
      <c r="G26" s="114" t="str">
        <f ca="1">IF(ROWS($1:13)&gt;COUNT(Dong),"",IF(OFFSET(TH!J$1,SMALL(Dong,ROWS($1:13)),)="331",OFFSET(TH!I$1,SMALL(Dong,ROWS($1:13)),),0))</f>
        <v/>
      </c>
      <c r="H26" s="114" t="str">
        <f ca="1">IF(ROWS($1:13)&gt;COUNT(Dong),"",IF(OFFSET(TH!K$1,SMALL(Dong,ROWS($1:13)),)="331",OFFSET(TH!I$1,SMALL(Dong,ROWS($1:13)),),0))</f>
        <v/>
      </c>
      <c r="I26" s="35">
        <f t="shared" ca="1" si="4"/>
        <v>0</v>
      </c>
      <c r="J26" s="35">
        <f t="shared" ca="1" si="5"/>
        <v>0</v>
      </c>
    </row>
    <row r="27" spans="1:10" s="28" customFormat="1" ht="18" customHeight="1">
      <c r="A27" s="12" t="str">
        <f t="shared" ca="1" si="3"/>
        <v/>
      </c>
      <c r="B27" s="12" t="str">
        <f ca="1">IF(ROWS($1:14)&gt;COUNT(Dong),"",OFFSET(TH!D$1,SMALL(Dong,ROWS($1:14)),))</f>
        <v/>
      </c>
      <c r="C27" s="12" t="str">
        <f ca="1">IF(ROWS($1:14)&gt;COUNT(Dong),"",OFFSET(TH!E$1,SMALL(Dong,ROWS($1:14)),))</f>
        <v/>
      </c>
      <c r="D27" s="132" t="str">
        <f ca="1">IF(ROWS($1:14)&gt;COUNT(Dong),"",OFFSET(TH!F$1,SMALL(Dong,ROWS($1:14)),))</f>
        <v/>
      </c>
      <c r="E27" s="133" t="str">
        <f ca="1">IF(ROWS($1:14)&gt;COUNT(Dong),"",IF(OFFSET(TH!J$1,SMALL(Dong,ROWS($1:14)),)="331",OFFSET(TH!K$1,SMALL(Dong,ROWS($1:14)),),OFFSET(TH!J$1,SMALL(Dong,ROWS($1:14)),)))</f>
        <v/>
      </c>
      <c r="F27" s="133"/>
      <c r="G27" s="114" t="str">
        <f ca="1">IF(ROWS($1:14)&gt;COUNT(Dong),"",IF(OFFSET(TH!J$1,SMALL(Dong,ROWS($1:14)),)="331",OFFSET(TH!I$1,SMALL(Dong,ROWS($1:14)),),0))</f>
        <v/>
      </c>
      <c r="H27" s="114" t="str">
        <f ca="1">IF(ROWS($1:14)&gt;COUNT(Dong),"",IF(OFFSET(TH!K$1,SMALL(Dong,ROWS($1:14)),)="331",OFFSET(TH!I$1,SMALL(Dong,ROWS($1:14)),),0))</f>
        <v/>
      </c>
      <c r="I27" s="35">
        <f t="shared" ca="1" si="4"/>
        <v>0</v>
      </c>
      <c r="J27" s="35">
        <f t="shared" ca="1" si="5"/>
        <v>0</v>
      </c>
    </row>
    <row r="28" spans="1:10" s="28" customFormat="1" ht="18" customHeight="1">
      <c r="A28" s="12" t="str">
        <f t="shared" ca="1" si="3"/>
        <v/>
      </c>
      <c r="B28" s="12" t="str">
        <f ca="1">IF(ROWS($1:15)&gt;COUNT(Dong),"",OFFSET(TH!D$1,SMALL(Dong,ROWS($1:15)),))</f>
        <v/>
      </c>
      <c r="C28" s="12" t="str">
        <f ca="1">IF(ROWS($1:15)&gt;COUNT(Dong),"",OFFSET(TH!E$1,SMALL(Dong,ROWS($1:15)),))</f>
        <v/>
      </c>
      <c r="D28" s="132" t="str">
        <f ca="1">IF(ROWS($1:15)&gt;COUNT(Dong),"",OFFSET(TH!F$1,SMALL(Dong,ROWS($1:15)),))</f>
        <v/>
      </c>
      <c r="E28" s="133" t="str">
        <f ca="1">IF(ROWS($1:15)&gt;COUNT(Dong),"",IF(OFFSET(TH!J$1,SMALL(Dong,ROWS($1:15)),)="331",OFFSET(TH!K$1,SMALL(Dong,ROWS($1:15)),),OFFSET(TH!J$1,SMALL(Dong,ROWS($1:15)),)))</f>
        <v/>
      </c>
      <c r="F28" s="133"/>
      <c r="G28" s="114" t="str">
        <f ca="1">IF(ROWS($1:15)&gt;COUNT(Dong),"",IF(OFFSET(TH!J$1,SMALL(Dong,ROWS($1:15)),)="331",OFFSET(TH!I$1,SMALL(Dong,ROWS($1:15)),),0))</f>
        <v/>
      </c>
      <c r="H28" s="114" t="str">
        <f ca="1">IF(ROWS($1:15)&gt;COUNT(Dong),"",IF(OFFSET(TH!K$1,SMALL(Dong,ROWS($1:15)),)="331",OFFSET(TH!I$1,SMALL(Dong,ROWS($1:15)),),0))</f>
        <v/>
      </c>
      <c r="I28" s="35">
        <f t="shared" ca="1" si="4"/>
        <v>0</v>
      </c>
      <c r="J28" s="35">
        <f t="shared" ca="1" si="5"/>
        <v>0</v>
      </c>
    </row>
    <row r="29" spans="1:10" s="28" customFormat="1" ht="18" customHeight="1">
      <c r="A29" s="12" t="str">
        <f t="shared" ca="1" si="3"/>
        <v/>
      </c>
      <c r="B29" s="12" t="str">
        <f ca="1">IF(ROWS($1:16)&gt;COUNT(Dong),"",OFFSET(TH!D$1,SMALL(Dong,ROWS($1:16)),))</f>
        <v/>
      </c>
      <c r="C29" s="12" t="str">
        <f ca="1">IF(ROWS($1:16)&gt;COUNT(Dong),"",OFFSET(TH!E$1,SMALL(Dong,ROWS($1:16)),))</f>
        <v/>
      </c>
      <c r="D29" s="132" t="str">
        <f ca="1">IF(ROWS($1:16)&gt;COUNT(Dong),"",OFFSET(TH!F$1,SMALL(Dong,ROWS($1:16)),))</f>
        <v/>
      </c>
      <c r="E29" s="133" t="str">
        <f ca="1">IF(ROWS($1:16)&gt;COUNT(Dong),"",IF(OFFSET(TH!J$1,SMALL(Dong,ROWS($1:16)),)="331",OFFSET(TH!K$1,SMALL(Dong,ROWS($1:16)),),OFFSET(TH!J$1,SMALL(Dong,ROWS($1:16)),)))</f>
        <v/>
      </c>
      <c r="F29" s="133"/>
      <c r="G29" s="114" t="str">
        <f ca="1">IF(ROWS($1:16)&gt;COUNT(Dong),"",IF(OFFSET(TH!J$1,SMALL(Dong,ROWS($1:16)),)="331",OFFSET(TH!I$1,SMALL(Dong,ROWS($1:16)),),0))</f>
        <v/>
      </c>
      <c r="H29" s="114" t="str">
        <f ca="1">IF(ROWS($1:16)&gt;COUNT(Dong),"",IF(OFFSET(TH!K$1,SMALL(Dong,ROWS($1:16)),)="331",OFFSET(TH!I$1,SMALL(Dong,ROWS($1:16)),),0))</f>
        <v/>
      </c>
      <c r="I29" s="35">
        <f t="shared" ca="1" si="4"/>
        <v>0</v>
      </c>
      <c r="J29" s="35">
        <f t="shared" ca="1" si="5"/>
        <v>0</v>
      </c>
    </row>
    <row r="30" spans="1:10" s="28" customFormat="1" ht="18" customHeight="1">
      <c r="A30" s="12" t="str">
        <f t="shared" ca="1" si="3"/>
        <v/>
      </c>
      <c r="B30" s="12" t="str">
        <f ca="1">IF(ROWS($1:17)&gt;COUNT(Dong),"",OFFSET(TH!D$1,SMALL(Dong,ROWS($1:17)),))</f>
        <v/>
      </c>
      <c r="C30" s="12" t="str">
        <f ca="1">IF(ROWS($1:17)&gt;COUNT(Dong),"",OFFSET(TH!E$1,SMALL(Dong,ROWS($1:17)),))</f>
        <v/>
      </c>
      <c r="D30" s="132" t="str">
        <f ca="1">IF(ROWS($1:17)&gt;COUNT(Dong),"",OFFSET(TH!F$1,SMALL(Dong,ROWS($1:17)),))</f>
        <v/>
      </c>
      <c r="E30" s="133" t="str">
        <f ca="1">IF(ROWS($1:17)&gt;COUNT(Dong),"",IF(OFFSET(TH!J$1,SMALL(Dong,ROWS($1:17)),)="331",OFFSET(TH!K$1,SMALL(Dong,ROWS($1:17)),),OFFSET(TH!J$1,SMALL(Dong,ROWS($1:17)),)))</f>
        <v/>
      </c>
      <c r="F30" s="133"/>
      <c r="G30" s="114" t="str">
        <f ca="1">IF(ROWS($1:17)&gt;COUNT(Dong),"",IF(OFFSET(TH!J$1,SMALL(Dong,ROWS($1:17)),)="331",OFFSET(TH!I$1,SMALL(Dong,ROWS($1:17)),),0))</f>
        <v/>
      </c>
      <c r="H30" s="114" t="str">
        <f ca="1">IF(ROWS($1:17)&gt;COUNT(Dong),"",IF(OFFSET(TH!K$1,SMALL(Dong,ROWS($1:17)),)="331",OFFSET(TH!I$1,SMALL(Dong,ROWS($1:17)),),0))</f>
        <v/>
      </c>
      <c r="I30" s="35">
        <f t="shared" ca="1" si="4"/>
        <v>0</v>
      </c>
      <c r="J30" s="35">
        <f t="shared" ca="1" si="5"/>
        <v>0</v>
      </c>
    </row>
    <row r="31" spans="1:10" s="28" customFormat="1" ht="18" customHeight="1">
      <c r="A31" s="12" t="str">
        <f t="shared" ca="1" si="3"/>
        <v/>
      </c>
      <c r="B31" s="12" t="str">
        <f ca="1">IF(ROWS($1:18)&gt;COUNT(Dong),"",OFFSET(TH!D$1,SMALL(Dong,ROWS($1:18)),))</f>
        <v/>
      </c>
      <c r="C31" s="12" t="str">
        <f ca="1">IF(ROWS($1:18)&gt;COUNT(Dong),"",OFFSET(TH!E$1,SMALL(Dong,ROWS($1:18)),))</f>
        <v/>
      </c>
      <c r="D31" s="132" t="str">
        <f ca="1">IF(ROWS($1:18)&gt;COUNT(Dong),"",OFFSET(TH!F$1,SMALL(Dong,ROWS($1:18)),))</f>
        <v/>
      </c>
      <c r="E31" s="133" t="str">
        <f ca="1">IF(ROWS($1:18)&gt;COUNT(Dong),"",IF(OFFSET(TH!J$1,SMALL(Dong,ROWS($1:18)),)="331",OFFSET(TH!K$1,SMALL(Dong,ROWS($1:18)),),OFFSET(TH!J$1,SMALL(Dong,ROWS($1:18)),)))</f>
        <v/>
      </c>
      <c r="F31" s="133"/>
      <c r="G31" s="114" t="str">
        <f ca="1">IF(ROWS($1:18)&gt;COUNT(Dong),"",IF(OFFSET(TH!J$1,SMALL(Dong,ROWS($1:18)),)="331",OFFSET(TH!I$1,SMALL(Dong,ROWS($1:18)),),0))</f>
        <v/>
      </c>
      <c r="H31" s="114" t="str">
        <f ca="1">IF(ROWS($1:18)&gt;COUNT(Dong),"",IF(OFFSET(TH!K$1,SMALL(Dong,ROWS($1:18)),)="331",OFFSET(TH!I$1,SMALL(Dong,ROWS($1:18)),),0))</f>
        <v/>
      </c>
      <c r="I31" s="35">
        <f t="shared" ca="1" si="4"/>
        <v>0</v>
      </c>
      <c r="J31" s="35">
        <f t="shared" ca="1" si="5"/>
        <v>0</v>
      </c>
    </row>
    <row r="32" spans="1:10" s="28" customFormat="1" ht="18" customHeight="1">
      <c r="A32" s="12" t="str">
        <f t="shared" ca="1" si="3"/>
        <v/>
      </c>
      <c r="B32" s="12" t="str">
        <f ca="1">IF(ROWS($1:19)&gt;COUNT(Dong),"",OFFSET(TH!D$1,SMALL(Dong,ROWS($1:19)),))</f>
        <v/>
      </c>
      <c r="C32" s="12" t="str">
        <f ca="1">IF(ROWS($1:19)&gt;COUNT(Dong),"",OFFSET(TH!E$1,SMALL(Dong,ROWS($1:19)),))</f>
        <v/>
      </c>
      <c r="D32" s="132" t="str">
        <f ca="1">IF(ROWS($1:19)&gt;COUNT(Dong),"",OFFSET(TH!F$1,SMALL(Dong,ROWS($1:19)),))</f>
        <v/>
      </c>
      <c r="E32" s="133" t="str">
        <f ca="1">IF(ROWS($1:19)&gt;COUNT(Dong),"",IF(OFFSET(TH!J$1,SMALL(Dong,ROWS($1:19)),)="331",OFFSET(TH!K$1,SMALL(Dong,ROWS($1:19)),),OFFSET(TH!J$1,SMALL(Dong,ROWS($1:19)),)))</f>
        <v/>
      </c>
      <c r="F32" s="133"/>
      <c r="G32" s="114" t="str">
        <f ca="1">IF(ROWS($1:19)&gt;COUNT(Dong),"",IF(OFFSET(TH!J$1,SMALL(Dong,ROWS($1:19)),)="331",OFFSET(TH!I$1,SMALL(Dong,ROWS($1:19)),),0))</f>
        <v/>
      </c>
      <c r="H32" s="114" t="str">
        <f ca="1">IF(ROWS($1:19)&gt;COUNT(Dong),"",IF(OFFSET(TH!K$1,SMALL(Dong,ROWS($1:19)),)="331",OFFSET(TH!I$1,SMALL(Dong,ROWS($1:19)),),0))</f>
        <v/>
      </c>
      <c r="I32" s="35">
        <f t="shared" ca="1" si="4"/>
        <v>0</v>
      </c>
      <c r="J32" s="35">
        <f t="shared" ca="1" si="5"/>
        <v>0</v>
      </c>
    </row>
    <row r="33" spans="1:10" s="28" customFormat="1" ht="18" customHeight="1">
      <c r="A33" s="12" t="str">
        <f t="shared" ref="A33:A39" ca="1" si="6">IF(C33&lt;&gt;"",C33,"")</f>
        <v/>
      </c>
      <c r="B33" s="12" t="str">
        <f ca="1">IF(ROWS($1:20)&gt;COUNT(Dong),"",OFFSET(TH!D$1,SMALL(Dong,ROWS($1:20)),))</f>
        <v/>
      </c>
      <c r="C33" s="12" t="str">
        <f ca="1">IF(ROWS($1:20)&gt;COUNT(Dong),"",OFFSET(TH!E$1,SMALL(Dong,ROWS($1:20)),))</f>
        <v/>
      </c>
      <c r="D33" s="132" t="str">
        <f ca="1">IF(ROWS($1:20)&gt;COUNT(Dong),"",OFFSET(TH!F$1,SMALL(Dong,ROWS($1:20)),))</f>
        <v/>
      </c>
      <c r="E33" s="133" t="str">
        <f ca="1">IF(ROWS($1:20)&gt;COUNT(Dong),"",IF(OFFSET(TH!J$1,SMALL(Dong,ROWS($1:20)),)="331",OFFSET(TH!K$1,SMALL(Dong,ROWS($1:20)),),OFFSET(TH!J$1,SMALL(Dong,ROWS($1:20)),)))</f>
        <v/>
      </c>
      <c r="F33" s="133"/>
      <c r="G33" s="144" t="str">
        <f ca="1">IF(ROWS($1:20)&gt;COUNT(Dong),"",IF(OFFSET(TH!J$1,SMALL(Dong,ROWS($1:20)),)="331",OFFSET(TH!I$1,SMALL(Dong,ROWS($1:20)),),0))</f>
        <v/>
      </c>
      <c r="H33" s="144" t="str">
        <f ca="1">IF(ROWS($1:20)&gt;COUNT(Dong),"",IF(OFFSET(TH!K$1,SMALL(Dong,ROWS($1:20)),)="331",OFFSET(TH!I$1,SMALL(Dong,ROWS($1:20)),),0))</f>
        <v/>
      </c>
      <c r="I33" s="35">
        <f t="shared" ref="I33:I39" ca="1" si="7">IF(D33&lt;&gt;"",MAX(I32+G33-H33-J32,0),0)</f>
        <v>0</v>
      </c>
      <c r="J33" s="35">
        <f t="shared" ref="J33:J39" ca="1" si="8">IF(D33&lt;&gt;"",MAX(J32+H33-I32-G33,0),0)</f>
        <v>0</v>
      </c>
    </row>
    <row r="34" spans="1:10" s="28" customFormat="1" ht="18" customHeight="1">
      <c r="A34" s="12" t="str">
        <f t="shared" ca="1" si="6"/>
        <v/>
      </c>
      <c r="B34" s="12" t="str">
        <f ca="1">IF(ROWS($1:21)&gt;COUNT(Dong),"",OFFSET(TH!D$1,SMALL(Dong,ROWS($1:21)),))</f>
        <v/>
      </c>
      <c r="C34" s="12" t="str">
        <f ca="1">IF(ROWS($1:21)&gt;COUNT(Dong),"",OFFSET(TH!E$1,SMALL(Dong,ROWS($1:21)),))</f>
        <v/>
      </c>
      <c r="D34" s="132" t="str">
        <f ca="1">IF(ROWS($1:21)&gt;COUNT(Dong),"",OFFSET(TH!F$1,SMALL(Dong,ROWS($1:21)),))</f>
        <v/>
      </c>
      <c r="E34" s="133" t="str">
        <f ca="1">IF(ROWS($1:21)&gt;COUNT(Dong),"",IF(OFFSET(TH!J$1,SMALL(Dong,ROWS($1:21)),)="331",OFFSET(TH!K$1,SMALL(Dong,ROWS($1:21)),),OFFSET(TH!J$1,SMALL(Dong,ROWS($1:21)),)))</f>
        <v/>
      </c>
      <c r="F34" s="133"/>
      <c r="G34" s="144" t="str">
        <f ca="1">IF(ROWS($1:21)&gt;COUNT(Dong),"",IF(OFFSET(TH!J$1,SMALL(Dong,ROWS($1:21)),)="331",OFFSET(TH!I$1,SMALL(Dong,ROWS($1:21)),),0))</f>
        <v/>
      </c>
      <c r="H34" s="144" t="str">
        <f ca="1">IF(ROWS($1:21)&gt;COUNT(Dong),"",IF(OFFSET(TH!K$1,SMALL(Dong,ROWS($1:21)),)="331",OFFSET(TH!I$1,SMALL(Dong,ROWS($1:21)),),0))</f>
        <v/>
      </c>
      <c r="I34" s="35">
        <f t="shared" ca="1" si="7"/>
        <v>0</v>
      </c>
      <c r="J34" s="35">
        <f t="shared" ca="1" si="8"/>
        <v>0</v>
      </c>
    </row>
    <row r="35" spans="1:10" s="28" customFormat="1" ht="18" customHeight="1">
      <c r="A35" s="12" t="str">
        <f t="shared" ca="1" si="6"/>
        <v/>
      </c>
      <c r="B35" s="12" t="str">
        <f ca="1">IF(ROWS($1:22)&gt;COUNT(Dong),"",OFFSET(TH!D$1,SMALL(Dong,ROWS($1:22)),))</f>
        <v/>
      </c>
      <c r="C35" s="12" t="str">
        <f ca="1">IF(ROWS($1:22)&gt;COUNT(Dong),"",OFFSET(TH!E$1,SMALL(Dong,ROWS($1:22)),))</f>
        <v/>
      </c>
      <c r="D35" s="132" t="str">
        <f ca="1">IF(ROWS($1:22)&gt;COUNT(Dong),"",OFFSET(TH!F$1,SMALL(Dong,ROWS($1:22)),))</f>
        <v/>
      </c>
      <c r="E35" s="133" t="str">
        <f ca="1">IF(ROWS($1:22)&gt;COUNT(Dong),"",IF(OFFSET(TH!J$1,SMALL(Dong,ROWS($1:22)),)="331",OFFSET(TH!K$1,SMALL(Dong,ROWS($1:22)),),OFFSET(TH!J$1,SMALL(Dong,ROWS($1:22)),)))</f>
        <v/>
      </c>
      <c r="F35" s="133"/>
      <c r="G35" s="144" t="str">
        <f ca="1">IF(ROWS($1:22)&gt;COUNT(Dong),"",IF(OFFSET(TH!J$1,SMALL(Dong,ROWS($1:22)),)="331",OFFSET(TH!I$1,SMALL(Dong,ROWS($1:22)),),0))</f>
        <v/>
      </c>
      <c r="H35" s="144" t="str">
        <f ca="1">IF(ROWS($1:22)&gt;COUNT(Dong),"",IF(OFFSET(TH!K$1,SMALL(Dong,ROWS($1:22)),)="331",OFFSET(TH!I$1,SMALL(Dong,ROWS($1:22)),),0))</f>
        <v/>
      </c>
      <c r="I35" s="35">
        <f t="shared" ca="1" si="7"/>
        <v>0</v>
      </c>
      <c r="J35" s="35">
        <f t="shared" ca="1" si="8"/>
        <v>0</v>
      </c>
    </row>
    <row r="36" spans="1:10" s="28" customFormat="1" ht="18" customHeight="1">
      <c r="A36" s="12" t="str">
        <f t="shared" ca="1" si="6"/>
        <v/>
      </c>
      <c r="B36" s="12" t="str">
        <f ca="1">IF(ROWS($1:23)&gt;COUNT(Dong),"",OFFSET(TH!D$1,SMALL(Dong,ROWS($1:23)),))</f>
        <v/>
      </c>
      <c r="C36" s="12" t="str">
        <f ca="1">IF(ROWS($1:23)&gt;COUNT(Dong),"",OFFSET(TH!E$1,SMALL(Dong,ROWS($1:23)),))</f>
        <v/>
      </c>
      <c r="D36" s="132" t="str">
        <f ca="1">IF(ROWS($1:23)&gt;COUNT(Dong),"",OFFSET(TH!F$1,SMALL(Dong,ROWS($1:23)),))</f>
        <v/>
      </c>
      <c r="E36" s="133" t="str">
        <f ca="1">IF(ROWS($1:23)&gt;COUNT(Dong),"",IF(OFFSET(TH!J$1,SMALL(Dong,ROWS($1:23)),)="331",OFFSET(TH!K$1,SMALL(Dong,ROWS($1:23)),),OFFSET(TH!J$1,SMALL(Dong,ROWS($1:23)),)))</f>
        <v/>
      </c>
      <c r="F36" s="133"/>
      <c r="G36" s="144" t="str">
        <f ca="1">IF(ROWS($1:23)&gt;COUNT(Dong),"",IF(OFFSET(TH!J$1,SMALL(Dong,ROWS($1:23)),)="331",OFFSET(TH!I$1,SMALL(Dong,ROWS($1:23)),),0))</f>
        <v/>
      </c>
      <c r="H36" s="144" t="str">
        <f ca="1">IF(ROWS($1:23)&gt;COUNT(Dong),"",IF(OFFSET(TH!K$1,SMALL(Dong,ROWS($1:23)),)="331",OFFSET(TH!I$1,SMALL(Dong,ROWS($1:23)),),0))</f>
        <v/>
      </c>
      <c r="I36" s="35">
        <f t="shared" ca="1" si="7"/>
        <v>0</v>
      </c>
      <c r="J36" s="35">
        <f t="shared" ca="1" si="8"/>
        <v>0</v>
      </c>
    </row>
    <row r="37" spans="1:10" s="28" customFormat="1" ht="18" customHeight="1">
      <c r="A37" s="12" t="str">
        <f t="shared" ca="1" si="6"/>
        <v/>
      </c>
      <c r="B37" s="12" t="str">
        <f ca="1">IF(ROWS($1:24)&gt;COUNT(Dong),"",OFFSET(TH!D$1,SMALL(Dong,ROWS($1:24)),))</f>
        <v/>
      </c>
      <c r="C37" s="12" t="str">
        <f ca="1">IF(ROWS($1:24)&gt;COUNT(Dong),"",OFFSET(TH!E$1,SMALL(Dong,ROWS($1:24)),))</f>
        <v/>
      </c>
      <c r="D37" s="132" t="str">
        <f ca="1">IF(ROWS($1:24)&gt;COUNT(Dong),"",OFFSET(TH!F$1,SMALL(Dong,ROWS($1:24)),))</f>
        <v/>
      </c>
      <c r="E37" s="133" t="str">
        <f ca="1">IF(ROWS($1:24)&gt;COUNT(Dong),"",IF(OFFSET(TH!J$1,SMALL(Dong,ROWS($1:24)),)="331",OFFSET(TH!K$1,SMALL(Dong,ROWS($1:24)),),OFFSET(TH!J$1,SMALL(Dong,ROWS($1:24)),)))</f>
        <v/>
      </c>
      <c r="F37" s="133"/>
      <c r="G37" s="144" t="str">
        <f ca="1">IF(ROWS($1:24)&gt;COUNT(Dong),"",IF(OFFSET(TH!J$1,SMALL(Dong,ROWS($1:24)),)="331",OFFSET(TH!I$1,SMALL(Dong,ROWS($1:24)),),0))</f>
        <v/>
      </c>
      <c r="H37" s="144" t="str">
        <f ca="1">IF(ROWS($1:24)&gt;COUNT(Dong),"",IF(OFFSET(TH!K$1,SMALL(Dong,ROWS($1:24)),)="331",OFFSET(TH!I$1,SMALL(Dong,ROWS($1:24)),),0))</f>
        <v/>
      </c>
      <c r="I37" s="35">
        <f t="shared" ca="1" si="7"/>
        <v>0</v>
      </c>
      <c r="J37" s="35">
        <f t="shared" ca="1" si="8"/>
        <v>0</v>
      </c>
    </row>
    <row r="38" spans="1:10" s="28" customFormat="1" ht="18" customHeight="1">
      <c r="A38" s="12" t="str">
        <f t="shared" ca="1" si="6"/>
        <v/>
      </c>
      <c r="B38" s="12" t="str">
        <f ca="1">IF(ROWS($1:25)&gt;COUNT(Dong),"",OFFSET(TH!D$1,SMALL(Dong,ROWS($1:25)),))</f>
        <v/>
      </c>
      <c r="C38" s="12" t="str">
        <f ca="1">IF(ROWS($1:25)&gt;COUNT(Dong),"",OFFSET(TH!E$1,SMALL(Dong,ROWS($1:25)),))</f>
        <v/>
      </c>
      <c r="D38" s="132" t="str">
        <f ca="1">IF(ROWS($1:25)&gt;COUNT(Dong),"",OFFSET(TH!F$1,SMALL(Dong,ROWS($1:25)),))</f>
        <v/>
      </c>
      <c r="E38" s="133" t="str">
        <f ca="1">IF(ROWS($1:25)&gt;COUNT(Dong),"",IF(OFFSET(TH!J$1,SMALL(Dong,ROWS($1:25)),)="331",OFFSET(TH!K$1,SMALL(Dong,ROWS($1:25)),),OFFSET(TH!J$1,SMALL(Dong,ROWS($1:25)),)))</f>
        <v/>
      </c>
      <c r="F38" s="133"/>
      <c r="G38" s="144" t="str">
        <f ca="1">IF(ROWS($1:25)&gt;COUNT(Dong),"",IF(OFFSET(TH!J$1,SMALL(Dong,ROWS($1:25)),)="331",OFFSET(TH!I$1,SMALL(Dong,ROWS($1:25)),),0))</f>
        <v/>
      </c>
      <c r="H38" s="144" t="str">
        <f ca="1">IF(ROWS($1:25)&gt;COUNT(Dong),"",IF(OFFSET(TH!K$1,SMALL(Dong,ROWS($1:25)),)="331",OFFSET(TH!I$1,SMALL(Dong,ROWS($1:25)),),0))</f>
        <v/>
      </c>
      <c r="I38" s="35">
        <f t="shared" ca="1" si="7"/>
        <v>0</v>
      </c>
      <c r="J38" s="35">
        <f t="shared" ca="1" si="8"/>
        <v>0</v>
      </c>
    </row>
    <row r="39" spans="1:10" s="28" customFormat="1" ht="18" customHeight="1">
      <c r="A39" s="12" t="str">
        <f t="shared" ca="1" si="6"/>
        <v/>
      </c>
      <c r="B39" s="12" t="str">
        <f ca="1">IF(ROWS($1:26)&gt;COUNT(Dong),"",OFFSET(TH!D$1,SMALL(Dong,ROWS($1:26)),))</f>
        <v/>
      </c>
      <c r="C39" s="12" t="str">
        <f ca="1">IF(ROWS($1:26)&gt;COUNT(Dong),"",OFFSET(TH!E$1,SMALL(Dong,ROWS($1:26)),))</f>
        <v/>
      </c>
      <c r="D39" s="132" t="str">
        <f ca="1">IF(ROWS($1:26)&gt;COUNT(Dong),"",OFFSET(TH!F$1,SMALL(Dong,ROWS($1:26)),))</f>
        <v/>
      </c>
      <c r="E39" s="133" t="str">
        <f ca="1">IF(ROWS($1:26)&gt;COUNT(Dong),"",IF(OFFSET(TH!J$1,SMALL(Dong,ROWS($1:26)),)="331",OFFSET(TH!K$1,SMALL(Dong,ROWS($1:26)),),OFFSET(TH!J$1,SMALL(Dong,ROWS($1:26)),)))</f>
        <v/>
      </c>
      <c r="F39" s="133"/>
      <c r="G39" s="144" t="str">
        <f ca="1">IF(ROWS($1:26)&gt;COUNT(Dong),"",IF(OFFSET(TH!J$1,SMALL(Dong,ROWS($1:26)),)="331",OFFSET(TH!I$1,SMALL(Dong,ROWS($1:26)),),0))</f>
        <v/>
      </c>
      <c r="H39" s="144" t="str">
        <f ca="1">IF(ROWS($1:26)&gt;COUNT(Dong),"",IF(OFFSET(TH!K$1,SMALL(Dong,ROWS($1:26)),)="331",OFFSET(TH!I$1,SMALL(Dong,ROWS($1:26)),),0))</f>
        <v/>
      </c>
      <c r="I39" s="35">
        <f t="shared" ca="1" si="7"/>
        <v>0</v>
      </c>
      <c r="J39" s="35">
        <f t="shared" ca="1" si="8"/>
        <v>0</v>
      </c>
    </row>
    <row r="40" spans="1:10" s="28" customFormat="1" ht="18" customHeight="1">
      <c r="A40" s="12" t="str">
        <f t="shared" ref="A40:A43" ca="1" si="9">IF(C40&lt;&gt;"",C40,"")</f>
        <v/>
      </c>
      <c r="B40" s="12" t="str">
        <f ca="1">IF(ROWS($1:27)&gt;COUNT(Dong),"",OFFSET(TH!D$1,SMALL(Dong,ROWS($1:27)),))</f>
        <v/>
      </c>
      <c r="C40" s="12" t="str">
        <f ca="1">IF(ROWS($1:27)&gt;COUNT(Dong),"",OFFSET(TH!E$1,SMALL(Dong,ROWS($1:27)),))</f>
        <v/>
      </c>
      <c r="D40" s="132" t="str">
        <f ca="1">IF(ROWS($1:27)&gt;COUNT(Dong),"",OFFSET(TH!F$1,SMALL(Dong,ROWS($1:27)),))</f>
        <v/>
      </c>
      <c r="E40" s="133" t="str">
        <f ca="1">IF(ROWS($1:27)&gt;COUNT(Dong),"",IF(OFFSET(TH!J$1,SMALL(Dong,ROWS($1:27)),)="331",OFFSET(TH!K$1,SMALL(Dong,ROWS($1:27)),),OFFSET(TH!J$1,SMALL(Dong,ROWS($1:27)),)))</f>
        <v/>
      </c>
      <c r="F40" s="133"/>
      <c r="G40" s="239" t="str">
        <f ca="1">IF(ROWS($1:27)&gt;COUNT(Dong),"",IF(OFFSET(TH!J$1,SMALL(Dong,ROWS($1:27)),)="331",OFFSET(TH!I$1,SMALL(Dong,ROWS($1:27)),),0))</f>
        <v/>
      </c>
      <c r="H40" s="239" t="str">
        <f ca="1">IF(ROWS($1:27)&gt;COUNT(Dong),"",IF(OFFSET(TH!K$1,SMALL(Dong,ROWS($1:27)),)="331",OFFSET(TH!I$1,SMALL(Dong,ROWS($1:27)),),0))</f>
        <v/>
      </c>
      <c r="I40" s="35">
        <f t="shared" ref="I40:I43" ca="1" si="10">IF(D40&lt;&gt;"",MAX(I39+G40-H40-J39,0),0)</f>
        <v>0</v>
      </c>
      <c r="J40" s="35">
        <f t="shared" ref="J40:J43" ca="1" si="11">IF(D40&lt;&gt;"",MAX(J39+H40-I39-G40,0),0)</f>
        <v>0</v>
      </c>
    </row>
    <row r="41" spans="1:10" s="28" customFormat="1" ht="18" customHeight="1">
      <c r="A41" s="12" t="str">
        <f t="shared" ca="1" si="9"/>
        <v/>
      </c>
      <c r="B41" s="12" t="str">
        <f ca="1">IF(ROWS($1:28)&gt;COUNT(Dong),"",OFFSET(TH!D$1,SMALL(Dong,ROWS($1:28)),))</f>
        <v/>
      </c>
      <c r="C41" s="12" t="str">
        <f ca="1">IF(ROWS($1:28)&gt;COUNT(Dong),"",OFFSET(TH!E$1,SMALL(Dong,ROWS($1:28)),))</f>
        <v/>
      </c>
      <c r="D41" s="132" t="str">
        <f ca="1">IF(ROWS($1:28)&gt;COUNT(Dong),"",OFFSET(TH!F$1,SMALL(Dong,ROWS($1:28)),))</f>
        <v/>
      </c>
      <c r="E41" s="133" t="str">
        <f ca="1">IF(ROWS($1:28)&gt;COUNT(Dong),"",IF(OFFSET(TH!J$1,SMALL(Dong,ROWS($1:28)),)="331",OFFSET(TH!K$1,SMALL(Dong,ROWS($1:28)),),OFFSET(TH!J$1,SMALL(Dong,ROWS($1:28)),)))</f>
        <v/>
      </c>
      <c r="F41" s="133"/>
      <c r="G41" s="239" t="str">
        <f ca="1">IF(ROWS($1:28)&gt;COUNT(Dong),"",IF(OFFSET(TH!J$1,SMALL(Dong,ROWS($1:28)),)="331",OFFSET(TH!I$1,SMALL(Dong,ROWS($1:28)),),0))</f>
        <v/>
      </c>
      <c r="H41" s="239" t="str">
        <f ca="1">IF(ROWS($1:28)&gt;COUNT(Dong),"",IF(OFFSET(TH!K$1,SMALL(Dong,ROWS($1:28)),)="331",OFFSET(TH!I$1,SMALL(Dong,ROWS($1:28)),),0))</f>
        <v/>
      </c>
      <c r="I41" s="35">
        <f t="shared" ca="1" si="10"/>
        <v>0</v>
      </c>
      <c r="J41" s="35">
        <f t="shared" ca="1" si="11"/>
        <v>0</v>
      </c>
    </row>
    <row r="42" spans="1:10" s="28" customFormat="1" ht="18" customHeight="1">
      <c r="A42" s="12" t="str">
        <f t="shared" ca="1" si="9"/>
        <v/>
      </c>
      <c r="B42" s="12" t="str">
        <f ca="1">IF(ROWS($1:29)&gt;COUNT(Dong),"",OFFSET(TH!D$1,SMALL(Dong,ROWS($1:29)),))</f>
        <v/>
      </c>
      <c r="C42" s="12" t="str">
        <f ca="1">IF(ROWS($1:29)&gt;COUNT(Dong),"",OFFSET(TH!E$1,SMALL(Dong,ROWS($1:29)),))</f>
        <v/>
      </c>
      <c r="D42" s="132" t="str">
        <f ca="1">IF(ROWS($1:29)&gt;COUNT(Dong),"",OFFSET(TH!F$1,SMALL(Dong,ROWS($1:29)),))</f>
        <v/>
      </c>
      <c r="E42" s="133" t="str">
        <f ca="1">IF(ROWS($1:29)&gt;COUNT(Dong),"",IF(OFFSET(TH!J$1,SMALL(Dong,ROWS($1:29)),)="331",OFFSET(TH!K$1,SMALL(Dong,ROWS($1:29)),),OFFSET(TH!J$1,SMALL(Dong,ROWS($1:29)),)))</f>
        <v/>
      </c>
      <c r="F42" s="133"/>
      <c r="G42" s="239" t="str">
        <f ca="1">IF(ROWS($1:29)&gt;COUNT(Dong),"",IF(OFFSET(TH!J$1,SMALL(Dong,ROWS($1:29)),)="331",OFFSET(TH!I$1,SMALL(Dong,ROWS($1:29)),),0))</f>
        <v/>
      </c>
      <c r="H42" s="239" t="str">
        <f ca="1">IF(ROWS($1:29)&gt;COUNT(Dong),"",IF(OFFSET(TH!K$1,SMALL(Dong,ROWS($1:29)),)="331",OFFSET(TH!I$1,SMALL(Dong,ROWS($1:29)),),0))</f>
        <v/>
      </c>
      <c r="I42" s="35">
        <f t="shared" ca="1" si="10"/>
        <v>0</v>
      </c>
      <c r="J42" s="35">
        <f t="shared" ca="1" si="11"/>
        <v>0</v>
      </c>
    </row>
    <row r="43" spans="1:10" s="28" customFormat="1" ht="18" customHeight="1">
      <c r="A43" s="12" t="str">
        <f t="shared" ca="1" si="9"/>
        <v/>
      </c>
      <c r="B43" s="12" t="str">
        <f ca="1">IF(ROWS($1:30)&gt;COUNT(Dong),"",OFFSET(TH!D$1,SMALL(Dong,ROWS($1:30)),))</f>
        <v/>
      </c>
      <c r="C43" s="12" t="str">
        <f ca="1">IF(ROWS($1:30)&gt;COUNT(Dong),"",OFFSET(TH!E$1,SMALL(Dong,ROWS($1:30)),))</f>
        <v/>
      </c>
      <c r="D43" s="132" t="str">
        <f ca="1">IF(ROWS($1:30)&gt;COUNT(Dong),"",OFFSET(TH!F$1,SMALL(Dong,ROWS($1:30)),))</f>
        <v/>
      </c>
      <c r="E43" s="133" t="str">
        <f ca="1">IF(ROWS($1:30)&gt;COUNT(Dong),"",IF(OFFSET(TH!J$1,SMALL(Dong,ROWS($1:30)),)="331",OFFSET(TH!K$1,SMALL(Dong,ROWS($1:30)),),OFFSET(TH!J$1,SMALL(Dong,ROWS($1:30)),)))</f>
        <v/>
      </c>
      <c r="F43" s="133"/>
      <c r="G43" s="239" t="str">
        <f ca="1">IF(ROWS($1:30)&gt;COUNT(Dong),"",IF(OFFSET(TH!J$1,SMALL(Dong,ROWS($1:30)),)="331",OFFSET(TH!I$1,SMALL(Dong,ROWS($1:30)),),0))</f>
        <v/>
      </c>
      <c r="H43" s="239" t="str">
        <f ca="1">IF(ROWS($1:30)&gt;COUNT(Dong),"",IF(OFFSET(TH!K$1,SMALL(Dong,ROWS($1:30)),)="331",OFFSET(TH!I$1,SMALL(Dong,ROWS($1:30)),),0))</f>
        <v/>
      </c>
      <c r="I43" s="35">
        <f t="shared" ca="1" si="10"/>
        <v>0</v>
      </c>
      <c r="J43" s="35">
        <f t="shared" ca="1" si="11"/>
        <v>0</v>
      </c>
    </row>
    <row r="44" spans="1:10" s="28" customFormat="1" ht="18" customHeight="1">
      <c r="A44" s="12" t="str">
        <f t="shared" ref="A44:A67" ca="1" si="12">IF(C44&lt;&gt;"",C44,"")</f>
        <v/>
      </c>
      <c r="B44" s="12" t="str">
        <f ca="1">IF(ROWS($1:31)&gt;COUNT(Dong),"",OFFSET(TH!D$1,SMALL(Dong,ROWS($1:31)),))</f>
        <v/>
      </c>
      <c r="C44" s="12" t="str">
        <f ca="1">IF(ROWS($1:31)&gt;COUNT(Dong),"",OFFSET(TH!E$1,SMALL(Dong,ROWS($1:31)),))</f>
        <v/>
      </c>
      <c r="D44" s="132" t="str">
        <f ca="1">IF(ROWS($1:31)&gt;COUNT(Dong),"",OFFSET(TH!F$1,SMALL(Dong,ROWS($1:31)),))</f>
        <v/>
      </c>
      <c r="E44" s="133" t="str">
        <f ca="1">IF(ROWS($1:31)&gt;COUNT(Dong),"",IF(OFFSET(TH!J$1,SMALL(Dong,ROWS($1:31)),)="331",OFFSET(TH!K$1,SMALL(Dong,ROWS($1:31)),),OFFSET(TH!J$1,SMALL(Dong,ROWS($1:31)),)))</f>
        <v/>
      </c>
      <c r="F44" s="133"/>
      <c r="G44" s="239" t="str">
        <f ca="1">IF(ROWS($1:31)&gt;COUNT(Dong),"",IF(OFFSET(TH!J$1,SMALL(Dong,ROWS($1:31)),)="331",OFFSET(TH!I$1,SMALL(Dong,ROWS($1:31)),),0))</f>
        <v/>
      </c>
      <c r="H44" s="239" t="str">
        <f ca="1">IF(ROWS($1:31)&gt;COUNT(Dong),"",IF(OFFSET(TH!K$1,SMALL(Dong,ROWS($1:31)),)="331",OFFSET(TH!I$1,SMALL(Dong,ROWS($1:31)),),0))</f>
        <v/>
      </c>
      <c r="I44" s="35">
        <f t="shared" ref="I44:I67" ca="1" si="13">IF(D44&lt;&gt;"",MAX(I43+G44-H44-J43,0),0)</f>
        <v>0</v>
      </c>
      <c r="J44" s="35">
        <f t="shared" ref="J44:J67" ca="1" si="14">IF(D44&lt;&gt;"",MAX(J43+H44-I43-G44,0),0)</f>
        <v>0</v>
      </c>
    </row>
    <row r="45" spans="1:10" s="28" customFormat="1" ht="18" customHeight="1">
      <c r="A45" s="12" t="str">
        <f t="shared" ca="1" si="12"/>
        <v/>
      </c>
      <c r="B45" s="12" t="str">
        <f ca="1">IF(ROWS($1:32)&gt;COUNT(Dong),"",OFFSET(TH!D$1,SMALL(Dong,ROWS($1:32)),))</f>
        <v/>
      </c>
      <c r="C45" s="12" t="str">
        <f ca="1">IF(ROWS($1:32)&gt;COUNT(Dong),"",OFFSET(TH!E$1,SMALL(Dong,ROWS($1:32)),))</f>
        <v/>
      </c>
      <c r="D45" s="132" t="str">
        <f ca="1">IF(ROWS($1:32)&gt;COUNT(Dong),"",OFFSET(TH!F$1,SMALL(Dong,ROWS($1:32)),))</f>
        <v/>
      </c>
      <c r="E45" s="133" t="str">
        <f ca="1">IF(ROWS($1:32)&gt;COUNT(Dong),"",IF(OFFSET(TH!J$1,SMALL(Dong,ROWS($1:32)),)="331",OFFSET(TH!K$1,SMALL(Dong,ROWS($1:32)),),OFFSET(TH!J$1,SMALL(Dong,ROWS($1:32)),)))</f>
        <v/>
      </c>
      <c r="F45" s="133"/>
      <c r="G45" s="239" t="str">
        <f ca="1">IF(ROWS($1:32)&gt;COUNT(Dong),"",IF(OFFSET(TH!J$1,SMALL(Dong,ROWS($1:32)),)="331",OFFSET(TH!I$1,SMALL(Dong,ROWS($1:32)),),0))</f>
        <v/>
      </c>
      <c r="H45" s="239" t="str">
        <f ca="1">IF(ROWS($1:32)&gt;COUNT(Dong),"",IF(OFFSET(TH!K$1,SMALL(Dong,ROWS($1:32)),)="331",OFFSET(TH!I$1,SMALL(Dong,ROWS($1:32)),),0))</f>
        <v/>
      </c>
      <c r="I45" s="35">
        <f t="shared" ca="1" si="13"/>
        <v>0</v>
      </c>
      <c r="J45" s="35">
        <f t="shared" ca="1" si="14"/>
        <v>0</v>
      </c>
    </row>
    <row r="46" spans="1:10" s="28" customFormat="1" ht="18" customHeight="1">
      <c r="A46" s="12" t="str">
        <f t="shared" ca="1" si="12"/>
        <v/>
      </c>
      <c r="B46" s="12" t="str">
        <f ca="1">IF(ROWS($1:33)&gt;COUNT(Dong),"",OFFSET(TH!D$1,SMALL(Dong,ROWS($1:33)),))</f>
        <v/>
      </c>
      <c r="C46" s="12" t="str">
        <f ca="1">IF(ROWS($1:33)&gt;COUNT(Dong),"",OFFSET(TH!E$1,SMALL(Dong,ROWS($1:33)),))</f>
        <v/>
      </c>
      <c r="D46" s="132" t="str">
        <f ca="1">IF(ROWS($1:33)&gt;COUNT(Dong),"",OFFSET(TH!F$1,SMALL(Dong,ROWS($1:33)),))</f>
        <v/>
      </c>
      <c r="E46" s="133" t="str">
        <f ca="1">IF(ROWS($1:33)&gt;COUNT(Dong),"",IF(OFFSET(TH!J$1,SMALL(Dong,ROWS($1:33)),)="331",OFFSET(TH!K$1,SMALL(Dong,ROWS($1:33)),),OFFSET(TH!J$1,SMALL(Dong,ROWS($1:33)),)))</f>
        <v/>
      </c>
      <c r="F46" s="133"/>
      <c r="G46" s="239" t="str">
        <f ca="1">IF(ROWS($1:33)&gt;COUNT(Dong),"",IF(OFFSET(TH!J$1,SMALL(Dong,ROWS($1:33)),)="331",OFFSET(TH!I$1,SMALL(Dong,ROWS($1:33)),),0))</f>
        <v/>
      </c>
      <c r="H46" s="239" t="str">
        <f ca="1">IF(ROWS($1:33)&gt;COUNT(Dong),"",IF(OFFSET(TH!K$1,SMALL(Dong,ROWS($1:33)),)="331",OFFSET(TH!I$1,SMALL(Dong,ROWS($1:33)),),0))</f>
        <v/>
      </c>
      <c r="I46" s="35">
        <f t="shared" ca="1" si="13"/>
        <v>0</v>
      </c>
      <c r="J46" s="35">
        <f t="shared" ca="1" si="14"/>
        <v>0</v>
      </c>
    </row>
    <row r="47" spans="1:10" s="28" customFormat="1" ht="18" customHeight="1">
      <c r="A47" s="12" t="str">
        <f t="shared" ca="1" si="12"/>
        <v/>
      </c>
      <c r="B47" s="12" t="str">
        <f ca="1">IF(ROWS($1:34)&gt;COUNT(Dong),"",OFFSET(TH!D$1,SMALL(Dong,ROWS($1:34)),))</f>
        <v/>
      </c>
      <c r="C47" s="12" t="str">
        <f ca="1">IF(ROWS($1:34)&gt;COUNT(Dong),"",OFFSET(TH!E$1,SMALL(Dong,ROWS($1:34)),))</f>
        <v/>
      </c>
      <c r="D47" s="132" t="str">
        <f ca="1">IF(ROWS($1:34)&gt;COUNT(Dong),"",OFFSET(TH!F$1,SMALL(Dong,ROWS($1:34)),))</f>
        <v/>
      </c>
      <c r="E47" s="133" t="str">
        <f ca="1">IF(ROWS($1:34)&gt;COUNT(Dong),"",IF(OFFSET(TH!J$1,SMALL(Dong,ROWS($1:34)),)="331",OFFSET(TH!K$1,SMALL(Dong,ROWS($1:34)),),OFFSET(TH!J$1,SMALL(Dong,ROWS($1:34)),)))</f>
        <v/>
      </c>
      <c r="F47" s="133"/>
      <c r="G47" s="239" t="str">
        <f ca="1">IF(ROWS($1:34)&gt;COUNT(Dong),"",IF(OFFSET(TH!J$1,SMALL(Dong,ROWS($1:34)),)="331",OFFSET(TH!I$1,SMALL(Dong,ROWS($1:34)),),0))</f>
        <v/>
      </c>
      <c r="H47" s="239" t="str">
        <f ca="1">IF(ROWS($1:34)&gt;COUNT(Dong),"",IF(OFFSET(TH!K$1,SMALL(Dong,ROWS($1:34)),)="331",OFFSET(TH!I$1,SMALL(Dong,ROWS($1:34)),),0))</f>
        <v/>
      </c>
      <c r="I47" s="35">
        <f t="shared" ca="1" si="13"/>
        <v>0</v>
      </c>
      <c r="J47" s="35">
        <f t="shared" ca="1" si="14"/>
        <v>0</v>
      </c>
    </row>
    <row r="48" spans="1:10" s="28" customFormat="1" ht="18" customHeight="1">
      <c r="A48" s="12" t="str">
        <f t="shared" ca="1" si="12"/>
        <v/>
      </c>
      <c r="B48" s="12" t="str">
        <f ca="1">IF(ROWS($1:35)&gt;COUNT(Dong),"",OFFSET(TH!D$1,SMALL(Dong,ROWS($1:35)),))</f>
        <v/>
      </c>
      <c r="C48" s="12" t="str">
        <f ca="1">IF(ROWS($1:35)&gt;COUNT(Dong),"",OFFSET(TH!E$1,SMALL(Dong,ROWS($1:35)),))</f>
        <v/>
      </c>
      <c r="D48" s="132" t="str">
        <f ca="1">IF(ROWS($1:35)&gt;COUNT(Dong),"",OFFSET(TH!F$1,SMALL(Dong,ROWS($1:35)),))</f>
        <v/>
      </c>
      <c r="E48" s="133" t="str">
        <f ca="1">IF(ROWS($1:35)&gt;COUNT(Dong),"",IF(OFFSET(TH!J$1,SMALL(Dong,ROWS($1:35)),)="331",OFFSET(TH!K$1,SMALL(Dong,ROWS($1:35)),),OFFSET(TH!J$1,SMALL(Dong,ROWS($1:35)),)))</f>
        <v/>
      </c>
      <c r="F48" s="133"/>
      <c r="G48" s="239" t="str">
        <f ca="1">IF(ROWS($1:35)&gt;COUNT(Dong),"",IF(OFFSET(TH!J$1,SMALL(Dong,ROWS($1:35)),)="331",OFFSET(TH!I$1,SMALL(Dong,ROWS($1:35)),),0))</f>
        <v/>
      </c>
      <c r="H48" s="239" t="str">
        <f ca="1">IF(ROWS($1:35)&gt;COUNT(Dong),"",IF(OFFSET(TH!K$1,SMALL(Dong,ROWS($1:35)),)="331",OFFSET(TH!I$1,SMALL(Dong,ROWS($1:35)),),0))</f>
        <v/>
      </c>
      <c r="I48" s="35">
        <f t="shared" ca="1" si="13"/>
        <v>0</v>
      </c>
      <c r="J48" s="35">
        <f t="shared" ca="1" si="14"/>
        <v>0</v>
      </c>
    </row>
    <row r="49" spans="1:10" s="28" customFormat="1" ht="18" customHeight="1">
      <c r="A49" s="12" t="str">
        <f t="shared" ca="1" si="12"/>
        <v/>
      </c>
      <c r="B49" s="12" t="str">
        <f ca="1">IF(ROWS($1:36)&gt;COUNT(Dong),"",OFFSET(TH!D$1,SMALL(Dong,ROWS($1:36)),))</f>
        <v/>
      </c>
      <c r="C49" s="12" t="str">
        <f ca="1">IF(ROWS($1:36)&gt;COUNT(Dong),"",OFFSET(TH!E$1,SMALL(Dong,ROWS($1:36)),))</f>
        <v/>
      </c>
      <c r="D49" s="132" t="str">
        <f ca="1">IF(ROWS($1:36)&gt;COUNT(Dong),"",OFFSET(TH!F$1,SMALL(Dong,ROWS($1:36)),))</f>
        <v/>
      </c>
      <c r="E49" s="133" t="str">
        <f ca="1">IF(ROWS($1:36)&gt;COUNT(Dong),"",IF(OFFSET(TH!J$1,SMALL(Dong,ROWS($1:36)),)="331",OFFSET(TH!K$1,SMALL(Dong,ROWS($1:36)),),OFFSET(TH!J$1,SMALL(Dong,ROWS($1:36)),)))</f>
        <v/>
      </c>
      <c r="F49" s="133"/>
      <c r="G49" s="239" t="str">
        <f ca="1">IF(ROWS($1:36)&gt;COUNT(Dong),"",IF(OFFSET(TH!J$1,SMALL(Dong,ROWS($1:36)),)="331",OFFSET(TH!I$1,SMALL(Dong,ROWS($1:36)),),0))</f>
        <v/>
      </c>
      <c r="H49" s="239" t="str">
        <f ca="1">IF(ROWS($1:36)&gt;COUNT(Dong),"",IF(OFFSET(TH!K$1,SMALL(Dong,ROWS($1:36)),)="331",OFFSET(TH!I$1,SMALL(Dong,ROWS($1:36)),),0))</f>
        <v/>
      </c>
      <c r="I49" s="35">
        <f t="shared" ca="1" si="13"/>
        <v>0</v>
      </c>
      <c r="J49" s="35">
        <f t="shared" ca="1" si="14"/>
        <v>0</v>
      </c>
    </row>
    <row r="50" spans="1:10" s="28" customFormat="1" ht="18" customHeight="1">
      <c r="A50" s="12" t="str">
        <f t="shared" ca="1" si="12"/>
        <v/>
      </c>
      <c r="B50" s="12" t="str">
        <f ca="1">IF(ROWS($1:37)&gt;COUNT(Dong),"",OFFSET(TH!D$1,SMALL(Dong,ROWS($1:37)),))</f>
        <v/>
      </c>
      <c r="C50" s="12" t="str">
        <f ca="1">IF(ROWS($1:37)&gt;COUNT(Dong),"",OFFSET(TH!E$1,SMALL(Dong,ROWS($1:37)),))</f>
        <v/>
      </c>
      <c r="D50" s="132" t="str">
        <f ca="1">IF(ROWS($1:37)&gt;COUNT(Dong),"",OFFSET(TH!F$1,SMALL(Dong,ROWS($1:37)),))</f>
        <v/>
      </c>
      <c r="E50" s="133" t="str">
        <f ca="1">IF(ROWS($1:37)&gt;COUNT(Dong),"",IF(OFFSET(TH!J$1,SMALL(Dong,ROWS($1:37)),)="331",OFFSET(TH!K$1,SMALL(Dong,ROWS($1:37)),),OFFSET(TH!J$1,SMALL(Dong,ROWS($1:37)),)))</f>
        <v/>
      </c>
      <c r="F50" s="133"/>
      <c r="G50" s="239" t="str">
        <f ca="1">IF(ROWS($1:37)&gt;COUNT(Dong),"",IF(OFFSET(TH!J$1,SMALL(Dong,ROWS($1:37)),)="331",OFFSET(TH!I$1,SMALL(Dong,ROWS($1:37)),),0))</f>
        <v/>
      </c>
      <c r="H50" s="239" t="str">
        <f ca="1">IF(ROWS($1:37)&gt;COUNT(Dong),"",IF(OFFSET(TH!K$1,SMALL(Dong,ROWS($1:37)),)="331",OFFSET(TH!I$1,SMALL(Dong,ROWS($1:37)),),0))</f>
        <v/>
      </c>
      <c r="I50" s="35">
        <f t="shared" ca="1" si="13"/>
        <v>0</v>
      </c>
      <c r="J50" s="35">
        <f t="shared" ca="1" si="14"/>
        <v>0</v>
      </c>
    </row>
    <row r="51" spans="1:10" s="28" customFormat="1" ht="18" customHeight="1">
      <c r="A51" s="12" t="str">
        <f t="shared" ca="1" si="12"/>
        <v/>
      </c>
      <c r="B51" s="12" t="str">
        <f ca="1">IF(ROWS($1:38)&gt;COUNT(Dong),"",OFFSET(TH!D$1,SMALL(Dong,ROWS($1:38)),))</f>
        <v/>
      </c>
      <c r="C51" s="12" t="str">
        <f ca="1">IF(ROWS($1:38)&gt;COUNT(Dong),"",OFFSET(TH!E$1,SMALL(Dong,ROWS($1:38)),))</f>
        <v/>
      </c>
      <c r="D51" s="132" t="str">
        <f ca="1">IF(ROWS($1:38)&gt;COUNT(Dong),"",OFFSET(TH!F$1,SMALL(Dong,ROWS($1:38)),))</f>
        <v/>
      </c>
      <c r="E51" s="133" t="str">
        <f ca="1">IF(ROWS($1:38)&gt;COUNT(Dong),"",IF(OFFSET(TH!J$1,SMALL(Dong,ROWS($1:38)),)="331",OFFSET(TH!K$1,SMALL(Dong,ROWS($1:38)),),OFFSET(TH!J$1,SMALL(Dong,ROWS($1:38)),)))</f>
        <v/>
      </c>
      <c r="F51" s="133"/>
      <c r="G51" s="239" t="str">
        <f ca="1">IF(ROWS($1:38)&gt;COUNT(Dong),"",IF(OFFSET(TH!J$1,SMALL(Dong,ROWS($1:38)),)="331",OFFSET(TH!I$1,SMALL(Dong,ROWS($1:38)),),0))</f>
        <v/>
      </c>
      <c r="H51" s="239" t="str">
        <f ca="1">IF(ROWS($1:38)&gt;COUNT(Dong),"",IF(OFFSET(TH!K$1,SMALL(Dong,ROWS($1:38)),)="331",OFFSET(TH!I$1,SMALL(Dong,ROWS($1:38)),),0))</f>
        <v/>
      </c>
      <c r="I51" s="35">
        <f t="shared" ca="1" si="13"/>
        <v>0</v>
      </c>
      <c r="J51" s="35">
        <f t="shared" ca="1" si="14"/>
        <v>0</v>
      </c>
    </row>
    <row r="52" spans="1:10" s="28" customFormat="1" ht="18" customHeight="1">
      <c r="A52" s="12" t="str">
        <f t="shared" ca="1" si="12"/>
        <v/>
      </c>
      <c r="B52" s="12" t="str">
        <f ca="1">IF(ROWS($1:39)&gt;COUNT(Dong),"",OFFSET(TH!D$1,SMALL(Dong,ROWS($1:39)),))</f>
        <v/>
      </c>
      <c r="C52" s="12" t="str">
        <f ca="1">IF(ROWS($1:39)&gt;COUNT(Dong),"",OFFSET(TH!E$1,SMALL(Dong,ROWS($1:39)),))</f>
        <v/>
      </c>
      <c r="D52" s="132" t="str">
        <f ca="1">IF(ROWS($1:39)&gt;COUNT(Dong),"",OFFSET(TH!F$1,SMALL(Dong,ROWS($1:39)),))</f>
        <v/>
      </c>
      <c r="E52" s="133" t="str">
        <f ca="1">IF(ROWS($1:39)&gt;COUNT(Dong),"",IF(OFFSET(TH!J$1,SMALL(Dong,ROWS($1:39)),)="331",OFFSET(TH!K$1,SMALL(Dong,ROWS($1:39)),),OFFSET(TH!J$1,SMALL(Dong,ROWS($1:39)),)))</f>
        <v/>
      </c>
      <c r="F52" s="133"/>
      <c r="G52" s="239" t="str">
        <f ca="1">IF(ROWS($1:39)&gt;COUNT(Dong),"",IF(OFFSET(TH!J$1,SMALL(Dong,ROWS($1:39)),)="331",OFFSET(TH!I$1,SMALL(Dong,ROWS($1:39)),),0))</f>
        <v/>
      </c>
      <c r="H52" s="239" t="str">
        <f ca="1">IF(ROWS($1:39)&gt;COUNT(Dong),"",IF(OFFSET(TH!K$1,SMALL(Dong,ROWS($1:39)),)="331",OFFSET(TH!I$1,SMALL(Dong,ROWS($1:39)),),0))</f>
        <v/>
      </c>
      <c r="I52" s="35">
        <f t="shared" ca="1" si="13"/>
        <v>0</v>
      </c>
      <c r="J52" s="35">
        <f t="shared" ca="1" si="14"/>
        <v>0</v>
      </c>
    </row>
    <row r="53" spans="1:10" s="28" customFormat="1" ht="18" customHeight="1">
      <c r="A53" s="12" t="str">
        <f t="shared" ca="1" si="12"/>
        <v/>
      </c>
      <c r="B53" s="12" t="str">
        <f ca="1">IF(ROWS($1:40)&gt;COUNT(Dong),"",OFFSET(TH!D$1,SMALL(Dong,ROWS($1:40)),))</f>
        <v/>
      </c>
      <c r="C53" s="12" t="str">
        <f ca="1">IF(ROWS($1:40)&gt;COUNT(Dong),"",OFFSET(TH!E$1,SMALL(Dong,ROWS($1:40)),))</f>
        <v/>
      </c>
      <c r="D53" s="132" t="str">
        <f ca="1">IF(ROWS($1:40)&gt;COUNT(Dong),"",OFFSET(TH!F$1,SMALL(Dong,ROWS($1:40)),))</f>
        <v/>
      </c>
      <c r="E53" s="133" t="str">
        <f ca="1">IF(ROWS($1:40)&gt;COUNT(Dong),"",IF(OFFSET(TH!J$1,SMALL(Dong,ROWS($1:40)),)="331",OFFSET(TH!K$1,SMALL(Dong,ROWS($1:40)),),OFFSET(TH!J$1,SMALL(Dong,ROWS($1:40)),)))</f>
        <v/>
      </c>
      <c r="F53" s="133"/>
      <c r="G53" s="239" t="str">
        <f ca="1">IF(ROWS($1:40)&gt;COUNT(Dong),"",IF(OFFSET(TH!J$1,SMALL(Dong,ROWS($1:40)),)="331",OFFSET(TH!I$1,SMALL(Dong,ROWS($1:40)),),0))</f>
        <v/>
      </c>
      <c r="H53" s="239" t="str">
        <f ca="1">IF(ROWS($1:40)&gt;COUNT(Dong),"",IF(OFFSET(TH!K$1,SMALL(Dong,ROWS($1:40)),)="331",OFFSET(TH!I$1,SMALL(Dong,ROWS($1:40)),),0))</f>
        <v/>
      </c>
      <c r="I53" s="35">
        <f t="shared" ca="1" si="13"/>
        <v>0</v>
      </c>
      <c r="J53" s="35">
        <f t="shared" ca="1" si="14"/>
        <v>0</v>
      </c>
    </row>
    <row r="54" spans="1:10" s="28" customFormat="1" ht="18" customHeight="1">
      <c r="A54" s="12" t="str">
        <f t="shared" ca="1" si="12"/>
        <v/>
      </c>
      <c r="B54" s="12" t="str">
        <f ca="1">IF(ROWS($1:41)&gt;COUNT(Dong),"",OFFSET(TH!D$1,SMALL(Dong,ROWS($1:41)),))</f>
        <v/>
      </c>
      <c r="C54" s="12" t="str">
        <f ca="1">IF(ROWS($1:41)&gt;COUNT(Dong),"",OFFSET(TH!E$1,SMALL(Dong,ROWS($1:41)),))</f>
        <v/>
      </c>
      <c r="D54" s="132" t="str">
        <f ca="1">IF(ROWS($1:41)&gt;COUNT(Dong),"",OFFSET(TH!F$1,SMALL(Dong,ROWS($1:41)),))</f>
        <v/>
      </c>
      <c r="E54" s="133" t="str">
        <f ca="1">IF(ROWS($1:41)&gt;COUNT(Dong),"",IF(OFFSET(TH!J$1,SMALL(Dong,ROWS($1:41)),)="331",OFFSET(TH!K$1,SMALL(Dong,ROWS($1:41)),),OFFSET(TH!J$1,SMALL(Dong,ROWS($1:41)),)))</f>
        <v/>
      </c>
      <c r="F54" s="133"/>
      <c r="G54" s="239" t="str">
        <f ca="1">IF(ROWS($1:41)&gt;COUNT(Dong),"",IF(OFFSET(TH!J$1,SMALL(Dong,ROWS($1:41)),)="331",OFFSET(TH!I$1,SMALL(Dong,ROWS($1:41)),),0))</f>
        <v/>
      </c>
      <c r="H54" s="239" t="str">
        <f ca="1">IF(ROWS($1:41)&gt;COUNT(Dong),"",IF(OFFSET(TH!K$1,SMALL(Dong,ROWS($1:41)),)="331",OFFSET(TH!I$1,SMALL(Dong,ROWS($1:41)),),0))</f>
        <v/>
      </c>
      <c r="I54" s="35">
        <f t="shared" ca="1" si="13"/>
        <v>0</v>
      </c>
      <c r="J54" s="35">
        <f t="shared" ca="1" si="14"/>
        <v>0</v>
      </c>
    </row>
    <row r="55" spans="1:10" s="28" customFormat="1" ht="18" customHeight="1">
      <c r="A55" s="12" t="str">
        <f t="shared" ca="1" si="12"/>
        <v/>
      </c>
      <c r="B55" s="12" t="str">
        <f ca="1">IF(ROWS($1:42)&gt;COUNT(Dong),"",OFFSET(TH!D$1,SMALL(Dong,ROWS($1:42)),))</f>
        <v/>
      </c>
      <c r="C55" s="12" t="str">
        <f ca="1">IF(ROWS($1:42)&gt;COUNT(Dong),"",OFFSET(TH!E$1,SMALL(Dong,ROWS($1:42)),))</f>
        <v/>
      </c>
      <c r="D55" s="132" t="str">
        <f ca="1">IF(ROWS($1:42)&gt;COUNT(Dong),"",OFFSET(TH!F$1,SMALL(Dong,ROWS($1:42)),))</f>
        <v/>
      </c>
      <c r="E55" s="133" t="str">
        <f ca="1">IF(ROWS($1:42)&gt;COUNT(Dong),"",IF(OFFSET(TH!J$1,SMALL(Dong,ROWS($1:42)),)="331",OFFSET(TH!K$1,SMALL(Dong,ROWS($1:42)),),OFFSET(TH!J$1,SMALL(Dong,ROWS($1:42)),)))</f>
        <v/>
      </c>
      <c r="F55" s="133"/>
      <c r="G55" s="239" t="str">
        <f ca="1">IF(ROWS($1:42)&gt;COUNT(Dong),"",IF(OFFSET(TH!J$1,SMALL(Dong,ROWS($1:42)),)="331",OFFSET(TH!I$1,SMALL(Dong,ROWS($1:42)),),0))</f>
        <v/>
      </c>
      <c r="H55" s="239" t="str">
        <f ca="1">IF(ROWS($1:42)&gt;COUNT(Dong),"",IF(OFFSET(TH!K$1,SMALL(Dong,ROWS($1:42)),)="331",OFFSET(TH!I$1,SMALL(Dong,ROWS($1:42)),),0))</f>
        <v/>
      </c>
      <c r="I55" s="35">
        <f t="shared" ca="1" si="13"/>
        <v>0</v>
      </c>
      <c r="J55" s="35">
        <f t="shared" ca="1" si="14"/>
        <v>0</v>
      </c>
    </row>
    <row r="56" spans="1:10" s="28" customFormat="1" ht="18" customHeight="1">
      <c r="A56" s="12" t="str">
        <f t="shared" ca="1" si="12"/>
        <v/>
      </c>
      <c r="B56" s="12" t="str">
        <f ca="1">IF(ROWS($1:43)&gt;COUNT(Dong),"",OFFSET(TH!D$1,SMALL(Dong,ROWS($1:43)),))</f>
        <v/>
      </c>
      <c r="C56" s="12" t="str">
        <f ca="1">IF(ROWS($1:43)&gt;COUNT(Dong),"",OFFSET(TH!E$1,SMALL(Dong,ROWS($1:43)),))</f>
        <v/>
      </c>
      <c r="D56" s="132" t="str">
        <f ca="1">IF(ROWS($1:43)&gt;COUNT(Dong),"",OFFSET(TH!F$1,SMALL(Dong,ROWS($1:43)),))</f>
        <v/>
      </c>
      <c r="E56" s="133" t="str">
        <f ca="1">IF(ROWS($1:43)&gt;COUNT(Dong),"",IF(OFFSET(TH!J$1,SMALL(Dong,ROWS($1:43)),)="331",OFFSET(TH!K$1,SMALL(Dong,ROWS($1:43)),),OFFSET(TH!J$1,SMALL(Dong,ROWS($1:43)),)))</f>
        <v/>
      </c>
      <c r="F56" s="133"/>
      <c r="G56" s="239" t="str">
        <f ca="1">IF(ROWS($1:43)&gt;COUNT(Dong),"",IF(OFFSET(TH!J$1,SMALL(Dong,ROWS($1:43)),)="331",OFFSET(TH!I$1,SMALL(Dong,ROWS($1:43)),),0))</f>
        <v/>
      </c>
      <c r="H56" s="239" t="str">
        <f ca="1">IF(ROWS($1:43)&gt;COUNT(Dong),"",IF(OFFSET(TH!K$1,SMALL(Dong,ROWS($1:43)),)="331",OFFSET(TH!I$1,SMALL(Dong,ROWS($1:43)),),0))</f>
        <v/>
      </c>
      <c r="I56" s="35">
        <f t="shared" ca="1" si="13"/>
        <v>0</v>
      </c>
      <c r="J56" s="35">
        <f t="shared" ca="1" si="14"/>
        <v>0</v>
      </c>
    </row>
    <row r="57" spans="1:10" s="28" customFormat="1" ht="18" customHeight="1">
      <c r="A57" s="12" t="str">
        <f t="shared" ca="1" si="12"/>
        <v/>
      </c>
      <c r="B57" s="12" t="str">
        <f ca="1">IF(ROWS($1:44)&gt;COUNT(Dong),"",OFFSET(TH!D$1,SMALL(Dong,ROWS($1:44)),))</f>
        <v/>
      </c>
      <c r="C57" s="12" t="str">
        <f ca="1">IF(ROWS($1:44)&gt;COUNT(Dong),"",OFFSET(TH!E$1,SMALL(Dong,ROWS($1:44)),))</f>
        <v/>
      </c>
      <c r="D57" s="132" t="str">
        <f ca="1">IF(ROWS($1:44)&gt;COUNT(Dong),"",OFFSET(TH!F$1,SMALL(Dong,ROWS($1:44)),))</f>
        <v/>
      </c>
      <c r="E57" s="133" t="str">
        <f ca="1">IF(ROWS($1:44)&gt;COUNT(Dong),"",IF(OFFSET(TH!J$1,SMALL(Dong,ROWS($1:44)),)="331",OFFSET(TH!K$1,SMALL(Dong,ROWS($1:44)),),OFFSET(TH!J$1,SMALL(Dong,ROWS($1:44)),)))</f>
        <v/>
      </c>
      <c r="F57" s="133"/>
      <c r="G57" s="239" t="str">
        <f ca="1">IF(ROWS($1:44)&gt;COUNT(Dong),"",IF(OFFSET(TH!J$1,SMALL(Dong,ROWS($1:44)),)="331",OFFSET(TH!I$1,SMALL(Dong,ROWS($1:44)),),0))</f>
        <v/>
      </c>
      <c r="H57" s="239" t="str">
        <f ca="1">IF(ROWS($1:44)&gt;COUNT(Dong),"",IF(OFFSET(TH!K$1,SMALL(Dong,ROWS($1:44)),)="331",OFFSET(TH!I$1,SMALL(Dong,ROWS($1:44)),),0))</f>
        <v/>
      </c>
      <c r="I57" s="35">
        <f t="shared" ca="1" si="13"/>
        <v>0</v>
      </c>
      <c r="J57" s="35">
        <f t="shared" ca="1" si="14"/>
        <v>0</v>
      </c>
    </row>
    <row r="58" spans="1:10" s="28" customFormat="1" ht="18" customHeight="1">
      <c r="A58" s="12" t="str">
        <f t="shared" ca="1" si="12"/>
        <v/>
      </c>
      <c r="B58" s="12" t="str">
        <f ca="1">IF(ROWS($1:45)&gt;COUNT(Dong),"",OFFSET(TH!D$1,SMALL(Dong,ROWS($1:45)),))</f>
        <v/>
      </c>
      <c r="C58" s="12" t="str">
        <f ca="1">IF(ROWS($1:45)&gt;COUNT(Dong),"",OFFSET(TH!E$1,SMALL(Dong,ROWS($1:45)),))</f>
        <v/>
      </c>
      <c r="D58" s="132" t="str">
        <f ca="1">IF(ROWS($1:45)&gt;COUNT(Dong),"",OFFSET(TH!F$1,SMALL(Dong,ROWS($1:45)),))</f>
        <v/>
      </c>
      <c r="E58" s="133" t="str">
        <f ca="1">IF(ROWS($1:45)&gt;COUNT(Dong),"",IF(OFFSET(TH!J$1,SMALL(Dong,ROWS($1:45)),)="331",OFFSET(TH!K$1,SMALL(Dong,ROWS($1:45)),),OFFSET(TH!J$1,SMALL(Dong,ROWS($1:45)),)))</f>
        <v/>
      </c>
      <c r="F58" s="133"/>
      <c r="G58" s="239" t="str">
        <f ca="1">IF(ROWS($1:45)&gt;COUNT(Dong),"",IF(OFFSET(TH!J$1,SMALL(Dong,ROWS($1:45)),)="331",OFFSET(TH!I$1,SMALL(Dong,ROWS($1:45)),),0))</f>
        <v/>
      </c>
      <c r="H58" s="239" t="str">
        <f ca="1">IF(ROWS($1:45)&gt;COUNT(Dong),"",IF(OFFSET(TH!K$1,SMALL(Dong,ROWS($1:45)),)="331",OFFSET(TH!I$1,SMALL(Dong,ROWS($1:45)),),0))</f>
        <v/>
      </c>
      <c r="I58" s="35">
        <f t="shared" ca="1" si="13"/>
        <v>0</v>
      </c>
      <c r="J58" s="35">
        <f t="shared" ca="1" si="14"/>
        <v>0</v>
      </c>
    </row>
    <row r="59" spans="1:10" s="28" customFormat="1" ht="18" customHeight="1">
      <c r="A59" s="12" t="str">
        <f t="shared" ca="1" si="12"/>
        <v/>
      </c>
      <c r="B59" s="12" t="str">
        <f ca="1">IF(ROWS($1:46)&gt;COUNT(Dong),"",OFFSET(TH!D$1,SMALL(Dong,ROWS($1:46)),))</f>
        <v/>
      </c>
      <c r="C59" s="12" t="str">
        <f ca="1">IF(ROWS($1:46)&gt;COUNT(Dong),"",OFFSET(TH!E$1,SMALL(Dong,ROWS($1:46)),))</f>
        <v/>
      </c>
      <c r="D59" s="132" t="str">
        <f ca="1">IF(ROWS($1:46)&gt;COUNT(Dong),"",OFFSET(TH!F$1,SMALL(Dong,ROWS($1:46)),))</f>
        <v/>
      </c>
      <c r="E59" s="133" t="str">
        <f ca="1">IF(ROWS($1:46)&gt;COUNT(Dong),"",IF(OFFSET(TH!J$1,SMALL(Dong,ROWS($1:46)),)="331",OFFSET(TH!K$1,SMALL(Dong,ROWS($1:46)),),OFFSET(TH!J$1,SMALL(Dong,ROWS($1:46)),)))</f>
        <v/>
      </c>
      <c r="F59" s="133"/>
      <c r="G59" s="239" t="str">
        <f ca="1">IF(ROWS($1:46)&gt;COUNT(Dong),"",IF(OFFSET(TH!J$1,SMALL(Dong,ROWS($1:46)),)="331",OFFSET(TH!I$1,SMALL(Dong,ROWS($1:46)),),0))</f>
        <v/>
      </c>
      <c r="H59" s="239" t="str">
        <f ca="1">IF(ROWS($1:46)&gt;COUNT(Dong),"",IF(OFFSET(TH!K$1,SMALL(Dong,ROWS($1:46)),)="331",OFFSET(TH!I$1,SMALL(Dong,ROWS($1:46)),),0))</f>
        <v/>
      </c>
      <c r="I59" s="35">
        <f t="shared" ca="1" si="13"/>
        <v>0</v>
      </c>
      <c r="J59" s="35">
        <f t="shared" ca="1" si="14"/>
        <v>0</v>
      </c>
    </row>
    <row r="60" spans="1:10" s="28" customFormat="1" ht="18" customHeight="1">
      <c r="A60" s="12" t="str">
        <f t="shared" ca="1" si="12"/>
        <v/>
      </c>
      <c r="B60" s="12" t="str">
        <f ca="1">IF(ROWS($1:47)&gt;COUNT(Dong),"",OFFSET(TH!D$1,SMALL(Dong,ROWS($1:47)),))</f>
        <v/>
      </c>
      <c r="C60" s="12" t="str">
        <f ca="1">IF(ROWS($1:47)&gt;COUNT(Dong),"",OFFSET(TH!E$1,SMALL(Dong,ROWS($1:47)),))</f>
        <v/>
      </c>
      <c r="D60" s="132" t="str">
        <f ca="1">IF(ROWS($1:47)&gt;COUNT(Dong),"",OFFSET(TH!F$1,SMALL(Dong,ROWS($1:47)),))</f>
        <v/>
      </c>
      <c r="E60" s="133" t="str">
        <f ca="1">IF(ROWS($1:47)&gt;COUNT(Dong),"",IF(OFFSET(TH!J$1,SMALL(Dong,ROWS($1:47)),)="331",OFFSET(TH!K$1,SMALL(Dong,ROWS($1:47)),),OFFSET(TH!J$1,SMALL(Dong,ROWS($1:47)),)))</f>
        <v/>
      </c>
      <c r="F60" s="133"/>
      <c r="G60" s="239" t="str">
        <f ca="1">IF(ROWS($1:47)&gt;COUNT(Dong),"",IF(OFFSET(TH!J$1,SMALL(Dong,ROWS($1:47)),)="331",OFFSET(TH!I$1,SMALL(Dong,ROWS($1:47)),),0))</f>
        <v/>
      </c>
      <c r="H60" s="239" t="str">
        <f ca="1">IF(ROWS($1:47)&gt;COUNT(Dong),"",IF(OFFSET(TH!K$1,SMALL(Dong,ROWS($1:47)),)="331",OFFSET(TH!I$1,SMALL(Dong,ROWS($1:47)),),0))</f>
        <v/>
      </c>
      <c r="I60" s="35">
        <f t="shared" ca="1" si="13"/>
        <v>0</v>
      </c>
      <c r="J60" s="35">
        <f t="shared" ca="1" si="14"/>
        <v>0</v>
      </c>
    </row>
    <row r="61" spans="1:10" s="28" customFormat="1" ht="18" customHeight="1">
      <c r="A61" s="12" t="str">
        <f t="shared" ca="1" si="12"/>
        <v/>
      </c>
      <c r="B61" s="12" t="str">
        <f ca="1">IF(ROWS($1:48)&gt;COUNT(Dong),"",OFFSET(TH!D$1,SMALL(Dong,ROWS($1:48)),))</f>
        <v/>
      </c>
      <c r="C61" s="12" t="str">
        <f ca="1">IF(ROWS($1:48)&gt;COUNT(Dong),"",OFFSET(TH!E$1,SMALL(Dong,ROWS($1:48)),))</f>
        <v/>
      </c>
      <c r="D61" s="132" t="str">
        <f ca="1">IF(ROWS($1:48)&gt;COUNT(Dong),"",OFFSET(TH!F$1,SMALL(Dong,ROWS($1:48)),))</f>
        <v/>
      </c>
      <c r="E61" s="133" t="str">
        <f ca="1">IF(ROWS($1:48)&gt;COUNT(Dong),"",IF(OFFSET(TH!J$1,SMALL(Dong,ROWS($1:48)),)="331",OFFSET(TH!K$1,SMALL(Dong,ROWS($1:48)),),OFFSET(TH!J$1,SMALL(Dong,ROWS($1:48)),)))</f>
        <v/>
      </c>
      <c r="F61" s="133"/>
      <c r="G61" s="239" t="str">
        <f ca="1">IF(ROWS($1:48)&gt;COUNT(Dong),"",IF(OFFSET(TH!J$1,SMALL(Dong,ROWS($1:48)),)="331",OFFSET(TH!I$1,SMALL(Dong,ROWS($1:48)),),0))</f>
        <v/>
      </c>
      <c r="H61" s="239" t="str">
        <f ca="1">IF(ROWS($1:48)&gt;COUNT(Dong),"",IF(OFFSET(TH!K$1,SMALL(Dong,ROWS($1:48)),)="331",OFFSET(TH!I$1,SMALL(Dong,ROWS($1:48)),),0))</f>
        <v/>
      </c>
      <c r="I61" s="35">
        <f t="shared" ca="1" si="13"/>
        <v>0</v>
      </c>
      <c r="J61" s="35">
        <f t="shared" ca="1" si="14"/>
        <v>0</v>
      </c>
    </row>
    <row r="62" spans="1:10" s="28" customFormat="1" ht="18" customHeight="1">
      <c r="A62" s="12" t="str">
        <f t="shared" ca="1" si="12"/>
        <v/>
      </c>
      <c r="B62" s="12" t="str">
        <f ca="1">IF(ROWS($1:49)&gt;COUNT(Dong),"",OFFSET(TH!D$1,SMALL(Dong,ROWS($1:49)),))</f>
        <v/>
      </c>
      <c r="C62" s="12" t="str">
        <f ca="1">IF(ROWS($1:49)&gt;COUNT(Dong),"",OFFSET(TH!E$1,SMALL(Dong,ROWS($1:49)),))</f>
        <v/>
      </c>
      <c r="D62" s="132" t="str">
        <f ca="1">IF(ROWS($1:49)&gt;COUNT(Dong),"",OFFSET(TH!F$1,SMALL(Dong,ROWS($1:49)),))</f>
        <v/>
      </c>
      <c r="E62" s="133" t="str">
        <f ca="1">IF(ROWS($1:49)&gt;COUNT(Dong),"",IF(OFFSET(TH!J$1,SMALL(Dong,ROWS($1:49)),)="331",OFFSET(TH!K$1,SMALL(Dong,ROWS($1:49)),),OFFSET(TH!J$1,SMALL(Dong,ROWS($1:49)),)))</f>
        <v/>
      </c>
      <c r="F62" s="133"/>
      <c r="G62" s="239" t="str">
        <f ca="1">IF(ROWS($1:49)&gt;COUNT(Dong),"",IF(OFFSET(TH!J$1,SMALL(Dong,ROWS($1:49)),)="331",OFFSET(TH!I$1,SMALL(Dong,ROWS($1:49)),),0))</f>
        <v/>
      </c>
      <c r="H62" s="239" t="str">
        <f ca="1">IF(ROWS($1:49)&gt;COUNT(Dong),"",IF(OFFSET(TH!K$1,SMALL(Dong,ROWS($1:49)),)="331",OFFSET(TH!I$1,SMALL(Dong,ROWS($1:49)),),0))</f>
        <v/>
      </c>
      <c r="I62" s="35">
        <f t="shared" ca="1" si="13"/>
        <v>0</v>
      </c>
      <c r="J62" s="35">
        <f t="shared" ca="1" si="14"/>
        <v>0</v>
      </c>
    </row>
    <row r="63" spans="1:10" s="28" customFormat="1" ht="18" customHeight="1">
      <c r="A63" s="12" t="str">
        <f t="shared" ca="1" si="12"/>
        <v/>
      </c>
      <c r="B63" s="12" t="str">
        <f ca="1">IF(ROWS($1:50)&gt;COUNT(Dong),"",OFFSET(TH!D$1,SMALL(Dong,ROWS($1:50)),))</f>
        <v/>
      </c>
      <c r="C63" s="12" t="str">
        <f ca="1">IF(ROWS($1:50)&gt;COUNT(Dong),"",OFFSET(TH!E$1,SMALL(Dong,ROWS($1:50)),))</f>
        <v/>
      </c>
      <c r="D63" s="132" t="str">
        <f ca="1">IF(ROWS($1:50)&gt;COUNT(Dong),"",OFFSET(TH!F$1,SMALL(Dong,ROWS($1:50)),))</f>
        <v/>
      </c>
      <c r="E63" s="133" t="str">
        <f ca="1">IF(ROWS($1:50)&gt;COUNT(Dong),"",IF(OFFSET(TH!J$1,SMALL(Dong,ROWS($1:50)),)="331",OFFSET(TH!K$1,SMALL(Dong,ROWS($1:50)),),OFFSET(TH!J$1,SMALL(Dong,ROWS($1:50)),)))</f>
        <v/>
      </c>
      <c r="F63" s="133"/>
      <c r="G63" s="239" t="str">
        <f ca="1">IF(ROWS($1:50)&gt;COUNT(Dong),"",IF(OFFSET(TH!J$1,SMALL(Dong,ROWS($1:50)),)="331",OFFSET(TH!I$1,SMALL(Dong,ROWS($1:50)),),0))</f>
        <v/>
      </c>
      <c r="H63" s="239" t="str">
        <f ca="1">IF(ROWS($1:50)&gt;COUNT(Dong),"",IF(OFFSET(TH!K$1,SMALL(Dong,ROWS($1:50)),)="331",OFFSET(TH!I$1,SMALL(Dong,ROWS($1:50)),),0))</f>
        <v/>
      </c>
      <c r="I63" s="35">
        <f t="shared" ca="1" si="13"/>
        <v>0</v>
      </c>
      <c r="J63" s="35">
        <f t="shared" ca="1" si="14"/>
        <v>0</v>
      </c>
    </row>
    <row r="64" spans="1:10" s="28" customFormat="1" ht="18" customHeight="1">
      <c r="A64" s="12" t="str">
        <f t="shared" ca="1" si="12"/>
        <v/>
      </c>
      <c r="B64" s="12" t="str">
        <f ca="1">IF(ROWS($1:51)&gt;COUNT(Dong),"",OFFSET(TH!D$1,SMALL(Dong,ROWS($1:51)),))</f>
        <v/>
      </c>
      <c r="C64" s="12" t="str">
        <f ca="1">IF(ROWS($1:51)&gt;COUNT(Dong),"",OFFSET(TH!E$1,SMALL(Dong,ROWS($1:51)),))</f>
        <v/>
      </c>
      <c r="D64" s="132" t="str">
        <f ca="1">IF(ROWS($1:51)&gt;COUNT(Dong),"",OFFSET(TH!F$1,SMALL(Dong,ROWS($1:51)),))</f>
        <v/>
      </c>
      <c r="E64" s="133" t="str">
        <f ca="1">IF(ROWS($1:51)&gt;COUNT(Dong),"",IF(OFFSET(TH!J$1,SMALL(Dong,ROWS($1:51)),)="331",OFFSET(TH!K$1,SMALL(Dong,ROWS($1:51)),),OFFSET(TH!J$1,SMALL(Dong,ROWS($1:51)),)))</f>
        <v/>
      </c>
      <c r="F64" s="133"/>
      <c r="G64" s="239" t="str">
        <f ca="1">IF(ROWS($1:51)&gt;COUNT(Dong),"",IF(OFFSET(TH!J$1,SMALL(Dong,ROWS($1:51)),)="331",OFFSET(TH!I$1,SMALL(Dong,ROWS($1:51)),),0))</f>
        <v/>
      </c>
      <c r="H64" s="239" t="str">
        <f ca="1">IF(ROWS($1:51)&gt;COUNT(Dong),"",IF(OFFSET(TH!K$1,SMALL(Dong,ROWS($1:51)),)="331",OFFSET(TH!I$1,SMALL(Dong,ROWS($1:51)),),0))</f>
        <v/>
      </c>
      <c r="I64" s="35">
        <f t="shared" ca="1" si="13"/>
        <v>0</v>
      </c>
      <c r="J64" s="35">
        <f t="shared" ca="1" si="14"/>
        <v>0</v>
      </c>
    </row>
    <row r="65" spans="1:10" s="28" customFormat="1" ht="18" customHeight="1">
      <c r="A65" s="12" t="str">
        <f t="shared" ca="1" si="12"/>
        <v/>
      </c>
      <c r="B65" s="12" t="str">
        <f ca="1">IF(ROWS($1:52)&gt;COUNT(Dong),"",OFFSET(TH!D$1,SMALL(Dong,ROWS($1:52)),))</f>
        <v/>
      </c>
      <c r="C65" s="12" t="str">
        <f ca="1">IF(ROWS($1:52)&gt;COUNT(Dong),"",OFFSET(TH!E$1,SMALL(Dong,ROWS($1:52)),))</f>
        <v/>
      </c>
      <c r="D65" s="132" t="str">
        <f ca="1">IF(ROWS($1:52)&gt;COUNT(Dong),"",OFFSET(TH!F$1,SMALL(Dong,ROWS($1:52)),))</f>
        <v/>
      </c>
      <c r="E65" s="133" t="str">
        <f ca="1">IF(ROWS($1:52)&gt;COUNT(Dong),"",IF(OFFSET(TH!J$1,SMALL(Dong,ROWS($1:52)),)="331",OFFSET(TH!K$1,SMALL(Dong,ROWS($1:52)),),OFFSET(TH!J$1,SMALL(Dong,ROWS($1:52)),)))</f>
        <v/>
      </c>
      <c r="F65" s="133"/>
      <c r="G65" s="239" t="str">
        <f ca="1">IF(ROWS($1:52)&gt;COUNT(Dong),"",IF(OFFSET(TH!J$1,SMALL(Dong,ROWS($1:52)),)="331",OFFSET(TH!I$1,SMALL(Dong,ROWS($1:52)),),0))</f>
        <v/>
      </c>
      <c r="H65" s="239" t="str">
        <f ca="1">IF(ROWS($1:52)&gt;COUNT(Dong),"",IF(OFFSET(TH!K$1,SMALL(Dong,ROWS($1:52)),)="331",OFFSET(TH!I$1,SMALL(Dong,ROWS($1:52)),),0))</f>
        <v/>
      </c>
      <c r="I65" s="35">
        <f t="shared" ca="1" si="13"/>
        <v>0</v>
      </c>
      <c r="J65" s="35">
        <f t="shared" ca="1" si="14"/>
        <v>0</v>
      </c>
    </row>
    <row r="66" spans="1:10" s="28" customFormat="1" ht="18" customHeight="1">
      <c r="A66" s="12" t="str">
        <f t="shared" ca="1" si="12"/>
        <v/>
      </c>
      <c r="B66" s="12" t="str">
        <f ca="1">IF(ROWS($1:53)&gt;COUNT(Dong),"",OFFSET(TH!D$1,SMALL(Dong,ROWS($1:53)),))</f>
        <v/>
      </c>
      <c r="C66" s="12" t="str">
        <f ca="1">IF(ROWS($1:53)&gt;COUNT(Dong),"",OFFSET(TH!E$1,SMALL(Dong,ROWS($1:53)),))</f>
        <v/>
      </c>
      <c r="D66" s="132" t="str">
        <f ca="1">IF(ROWS($1:53)&gt;COUNT(Dong),"",OFFSET(TH!F$1,SMALL(Dong,ROWS($1:53)),))</f>
        <v/>
      </c>
      <c r="E66" s="133" t="str">
        <f ca="1">IF(ROWS($1:53)&gt;COUNT(Dong),"",IF(OFFSET(TH!J$1,SMALL(Dong,ROWS($1:53)),)="331",OFFSET(TH!K$1,SMALL(Dong,ROWS($1:53)),),OFFSET(TH!J$1,SMALL(Dong,ROWS($1:53)),)))</f>
        <v/>
      </c>
      <c r="F66" s="133"/>
      <c r="G66" s="239" t="str">
        <f ca="1">IF(ROWS($1:53)&gt;COUNT(Dong),"",IF(OFFSET(TH!J$1,SMALL(Dong,ROWS($1:53)),)="331",OFFSET(TH!I$1,SMALL(Dong,ROWS($1:53)),),0))</f>
        <v/>
      </c>
      <c r="H66" s="239" t="str">
        <f ca="1">IF(ROWS($1:53)&gt;COUNT(Dong),"",IF(OFFSET(TH!K$1,SMALL(Dong,ROWS($1:53)),)="331",OFFSET(TH!I$1,SMALL(Dong,ROWS($1:53)),),0))</f>
        <v/>
      </c>
      <c r="I66" s="35">
        <f t="shared" ca="1" si="13"/>
        <v>0</v>
      </c>
      <c r="J66" s="35">
        <f t="shared" ca="1" si="14"/>
        <v>0</v>
      </c>
    </row>
    <row r="67" spans="1:10" s="28" customFormat="1" ht="18" customHeight="1">
      <c r="A67" s="12" t="str">
        <f t="shared" ca="1" si="12"/>
        <v/>
      </c>
      <c r="B67" s="12" t="str">
        <f ca="1">IF(ROWS($1:54)&gt;COUNT(Dong),"",OFFSET(TH!D$1,SMALL(Dong,ROWS($1:54)),))</f>
        <v/>
      </c>
      <c r="C67" s="12" t="str">
        <f ca="1">IF(ROWS($1:54)&gt;COUNT(Dong),"",OFFSET(TH!E$1,SMALL(Dong,ROWS($1:54)),))</f>
        <v/>
      </c>
      <c r="D67" s="132" t="str">
        <f ca="1">IF(ROWS($1:54)&gt;COUNT(Dong),"",OFFSET(TH!F$1,SMALL(Dong,ROWS($1:54)),))</f>
        <v/>
      </c>
      <c r="E67" s="133" t="str">
        <f ca="1">IF(ROWS($1:54)&gt;COUNT(Dong),"",IF(OFFSET(TH!J$1,SMALL(Dong,ROWS($1:54)),)="331",OFFSET(TH!K$1,SMALL(Dong,ROWS($1:54)),),OFFSET(TH!J$1,SMALL(Dong,ROWS($1:54)),)))</f>
        <v/>
      </c>
      <c r="F67" s="133"/>
      <c r="G67" s="239" t="str">
        <f ca="1">IF(ROWS($1:54)&gt;COUNT(Dong),"",IF(OFFSET(TH!J$1,SMALL(Dong,ROWS($1:54)),)="331",OFFSET(TH!I$1,SMALL(Dong,ROWS($1:54)),),0))</f>
        <v/>
      </c>
      <c r="H67" s="239" t="str">
        <f ca="1">IF(ROWS($1:54)&gt;COUNT(Dong),"",IF(OFFSET(TH!K$1,SMALL(Dong,ROWS($1:54)),)="331",OFFSET(TH!I$1,SMALL(Dong,ROWS($1:54)),),0))</f>
        <v/>
      </c>
      <c r="I67" s="35">
        <f t="shared" ca="1" si="13"/>
        <v>0</v>
      </c>
      <c r="J67" s="35">
        <f t="shared" ca="1" si="14"/>
        <v>0</v>
      </c>
    </row>
    <row r="68" spans="1:10" s="28" customFormat="1" ht="18" customHeight="1">
      <c r="A68" s="11"/>
      <c r="B68" s="11"/>
      <c r="C68" s="11"/>
      <c r="D68" s="36"/>
      <c r="E68" s="37"/>
      <c r="F68" s="38"/>
      <c r="G68" s="38"/>
      <c r="H68" s="39"/>
      <c r="I68" s="35"/>
      <c r="J68" s="35"/>
    </row>
    <row r="69" spans="1:10" s="28" customFormat="1" ht="18" customHeight="1">
      <c r="A69" s="34"/>
      <c r="B69" s="31"/>
      <c r="C69" s="40"/>
      <c r="D69" s="33" t="s">
        <v>74</v>
      </c>
      <c r="E69" s="31" t="s">
        <v>42</v>
      </c>
      <c r="F69" s="31" t="s">
        <v>42</v>
      </c>
      <c r="G69" s="41">
        <f ca="1">SUM(G14:G68)</f>
        <v>188900000</v>
      </c>
      <c r="H69" s="41">
        <f ca="1">SUM(H14:H68)</f>
        <v>60500000</v>
      </c>
      <c r="I69" s="41" t="s">
        <v>42</v>
      </c>
      <c r="J69" s="41" t="s">
        <v>42</v>
      </c>
    </row>
    <row r="70" spans="1:10" s="28" customFormat="1" ht="18" customHeight="1">
      <c r="A70" s="34"/>
      <c r="B70" s="31"/>
      <c r="C70" s="31"/>
      <c r="D70" s="33" t="s">
        <v>25</v>
      </c>
      <c r="E70" s="31" t="s">
        <v>42</v>
      </c>
      <c r="F70" s="31" t="s">
        <v>42</v>
      </c>
      <c r="G70" s="41" t="s">
        <v>42</v>
      </c>
      <c r="H70" s="41" t="s">
        <v>42</v>
      </c>
      <c r="I70" s="41">
        <f ca="1">MAX(I13+G69-H69-J13,0)</f>
        <v>128400000</v>
      </c>
      <c r="J70" s="41">
        <f ca="1">MAX(J13+H69-G69-I13,0)</f>
        <v>0</v>
      </c>
    </row>
    <row r="71" spans="1:10" s="28" customFormat="1" ht="14.25" customHeight="1">
      <c r="B71" s="29"/>
      <c r="C71" s="29"/>
      <c r="E71" s="29"/>
    </row>
    <row r="72" spans="1:10" s="28" customFormat="1" ht="14.25" customHeight="1">
      <c r="A72" s="42" t="s">
        <v>75</v>
      </c>
      <c r="B72" s="29"/>
      <c r="C72" s="29"/>
      <c r="E72" s="29"/>
    </row>
    <row r="73" spans="1:10" s="28" customFormat="1" ht="14.25" customHeight="1">
      <c r="A73" s="42" t="s">
        <v>76</v>
      </c>
      <c r="B73" s="29"/>
      <c r="C73" s="29"/>
      <c r="E73" s="29"/>
    </row>
    <row r="74" spans="1:10" s="28" customFormat="1" ht="14.25" customHeight="1">
      <c r="B74" s="29"/>
      <c r="C74" s="29"/>
      <c r="E74" s="358" t="s">
        <v>77</v>
      </c>
      <c r="F74" s="358"/>
      <c r="G74" s="358"/>
      <c r="H74" s="358"/>
      <c r="I74" s="358"/>
      <c r="J74" s="358"/>
    </row>
    <row r="75" spans="1:10" s="28" customFormat="1" ht="14.25" customHeight="1">
      <c r="A75" s="358" t="s">
        <v>26</v>
      </c>
      <c r="B75" s="358"/>
      <c r="C75" s="358"/>
      <c r="D75" s="358"/>
      <c r="E75" s="358" t="s">
        <v>27</v>
      </c>
      <c r="F75" s="358"/>
      <c r="G75" s="358"/>
      <c r="H75" s="358"/>
      <c r="I75" s="358"/>
      <c r="J75" s="358"/>
    </row>
    <row r="76" spans="1:10" s="28" customFormat="1" ht="14.25" customHeight="1">
      <c r="A76" s="358" t="s">
        <v>28</v>
      </c>
      <c r="B76" s="358"/>
      <c r="C76" s="358"/>
      <c r="D76" s="358"/>
      <c r="E76" s="358" t="s">
        <v>28</v>
      </c>
      <c r="F76" s="358"/>
      <c r="G76" s="358"/>
      <c r="H76" s="358"/>
      <c r="I76" s="358"/>
      <c r="J76" s="358"/>
    </row>
    <row r="77" spans="1:10" s="43" customFormat="1"/>
  </sheetData>
  <autoFilter ref="A12:J32"/>
  <mergeCells count="17">
    <mergeCell ref="A75:D75"/>
    <mergeCell ref="E75:J75"/>
    <mergeCell ref="A76:D76"/>
    <mergeCell ref="E76:J76"/>
    <mergeCell ref="A10:A11"/>
    <mergeCell ref="H1:J1"/>
    <mergeCell ref="H2:J3"/>
    <mergeCell ref="E7:H7"/>
    <mergeCell ref="E74:J74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55"/>
  </sheetPr>
  <dimension ref="A1:M237"/>
  <sheetViews>
    <sheetView workbookViewId="0">
      <pane xSplit="8" ySplit="4" topLeftCell="I131" activePane="bottomRight" state="frozen"/>
      <selection pane="topRight" activeCell="G1" sqref="G1"/>
      <selection pane="bottomLeft" activeCell="A5" sqref="A5"/>
      <selection pane="bottomRight" activeCell="G144" sqref="G144"/>
    </sheetView>
  </sheetViews>
  <sheetFormatPr defaultColWidth="9.140625" defaultRowHeight="12.75"/>
  <cols>
    <col min="1" max="1" width="4.28515625" style="154" customWidth="1"/>
    <col min="2" max="2" width="15.140625" style="181" customWidth="1"/>
    <col min="3" max="3" width="23" style="154" customWidth="1"/>
    <col min="4" max="4" width="8.140625" style="181" customWidth="1"/>
    <col min="5" max="9" width="14.140625" style="205" customWidth="1"/>
    <col min="10" max="10" width="10.85546875" style="154" customWidth="1"/>
    <col min="11" max="11" width="13.85546875" style="154" customWidth="1"/>
    <col min="12" max="12" width="14.85546875" style="205" customWidth="1"/>
    <col min="13" max="13" width="13.85546875" style="181" customWidth="1"/>
    <col min="14" max="14" width="13.5703125" style="181" customWidth="1"/>
    <col min="15" max="15" width="12.5703125" style="181" bestFit="1" customWidth="1"/>
    <col min="16" max="16384" width="9.140625" style="181"/>
  </cols>
  <sheetData>
    <row r="1" spans="1:12" s="150" customFormat="1" ht="20.25">
      <c r="A1" s="391" t="str">
        <f ca="1">"CHI PHÍ XÂY DỰNG TRÀ VINH   " &amp; TEXT(NOW(),"dd/MM/yyyy")</f>
        <v>CHI PHÍ XÂY DỰNG TRÀ VINH   05/11/2015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25"/>
    </row>
    <row r="3" spans="1:12" s="151" customFormat="1" ht="19.5" customHeight="1">
      <c r="A3" s="392" t="s">
        <v>79</v>
      </c>
      <c r="B3" s="392" t="s">
        <v>360</v>
      </c>
      <c r="C3" s="392" t="s">
        <v>361</v>
      </c>
      <c r="D3" s="392" t="s">
        <v>362</v>
      </c>
      <c r="E3" s="393" t="s">
        <v>363</v>
      </c>
      <c r="F3" s="394"/>
      <c r="G3" s="395"/>
      <c r="H3" s="393" t="s">
        <v>364</v>
      </c>
      <c r="I3" s="395"/>
      <c r="J3" s="396" t="s">
        <v>365</v>
      </c>
      <c r="K3" s="392" t="s">
        <v>366</v>
      </c>
      <c r="L3" s="207"/>
    </row>
    <row r="4" spans="1:12" s="154" customFormat="1" ht="19.5" customHeight="1">
      <c r="A4" s="392"/>
      <c r="B4" s="392"/>
      <c r="C4" s="392"/>
      <c r="D4" s="392"/>
      <c r="E4" s="153" t="s">
        <v>444</v>
      </c>
      <c r="F4" s="152" t="s">
        <v>367</v>
      </c>
      <c r="G4" s="153" t="s">
        <v>368</v>
      </c>
      <c r="H4" s="152" t="s">
        <v>367</v>
      </c>
      <c r="I4" s="153" t="s">
        <v>368</v>
      </c>
      <c r="J4" s="397"/>
      <c r="K4" s="392"/>
      <c r="L4" s="326"/>
    </row>
    <row r="5" spans="1:12" s="154" customFormat="1" ht="19.5" customHeight="1">
      <c r="A5" s="365">
        <v>1</v>
      </c>
      <c r="B5" s="379" t="s">
        <v>83</v>
      </c>
      <c r="C5" s="155" t="s">
        <v>369</v>
      </c>
      <c r="D5" s="156"/>
      <c r="E5" s="157"/>
      <c r="F5" s="157"/>
      <c r="G5" s="157"/>
      <c r="H5" s="157"/>
      <c r="I5" s="157"/>
      <c r="J5" s="156"/>
      <c r="K5" s="158"/>
      <c r="L5" s="326"/>
    </row>
    <row r="6" spans="1:12" s="154" customFormat="1" ht="19.5" customHeight="1">
      <c r="A6" s="365"/>
      <c r="B6" s="380"/>
      <c r="C6" s="155" t="s">
        <v>370</v>
      </c>
      <c r="D6" s="156"/>
      <c r="E6" s="157"/>
      <c r="F6" s="157">
        <f>G6</f>
        <v>44880000</v>
      </c>
      <c r="G6" s="157">
        <v>44880000</v>
      </c>
      <c r="H6" s="157"/>
      <c r="I6" s="157">
        <v>44880000</v>
      </c>
      <c r="J6" s="156">
        <v>40091</v>
      </c>
      <c r="K6" s="158" t="s">
        <v>371</v>
      </c>
      <c r="L6" s="326"/>
    </row>
    <row r="7" spans="1:12" s="159" customFormat="1" ht="17.25" customHeight="1">
      <c r="A7" s="365"/>
      <c r="B7" s="380"/>
      <c r="C7" s="155" t="s">
        <v>372</v>
      </c>
      <c r="D7" s="156">
        <v>40623</v>
      </c>
      <c r="E7" s="157">
        <v>32288666</v>
      </c>
      <c r="F7" s="157">
        <v>32288666</v>
      </c>
      <c r="G7" s="157">
        <v>32288666</v>
      </c>
      <c r="H7" s="157">
        <v>32288666</v>
      </c>
      <c r="I7" s="157">
        <v>32288666</v>
      </c>
      <c r="J7" s="156">
        <v>40623</v>
      </c>
      <c r="K7" s="158" t="s">
        <v>373</v>
      </c>
      <c r="L7" s="327"/>
    </row>
    <row r="8" spans="1:12" s="159" customFormat="1" ht="17.25" customHeight="1">
      <c r="A8" s="365"/>
      <c r="B8" s="380"/>
      <c r="C8" s="155" t="s">
        <v>374</v>
      </c>
      <c r="D8" s="156">
        <v>40875</v>
      </c>
      <c r="E8" s="157">
        <v>29920000</v>
      </c>
      <c r="F8" s="157">
        <v>29920000</v>
      </c>
      <c r="G8" s="157">
        <v>29920000</v>
      </c>
      <c r="H8" s="157">
        <v>29920000</v>
      </c>
      <c r="I8" s="157">
        <v>29920000</v>
      </c>
      <c r="J8" s="156">
        <v>40872</v>
      </c>
      <c r="K8" s="158" t="s">
        <v>373</v>
      </c>
      <c r="L8" s="327"/>
    </row>
    <row r="9" spans="1:12" s="159" customFormat="1" ht="17.25" customHeight="1">
      <c r="A9" s="365"/>
      <c r="B9" s="380"/>
      <c r="C9" s="155" t="s">
        <v>375</v>
      </c>
      <c r="D9" s="156"/>
      <c r="E9" s="157"/>
      <c r="F9" s="157">
        <v>29920000</v>
      </c>
      <c r="G9" s="157">
        <v>29920000</v>
      </c>
      <c r="H9" s="157"/>
      <c r="I9" s="157">
        <v>29920000</v>
      </c>
      <c r="J9" s="156">
        <v>41193</v>
      </c>
      <c r="K9" s="158" t="s">
        <v>373</v>
      </c>
      <c r="L9" s="327"/>
    </row>
    <row r="10" spans="1:12" s="159" customFormat="1" ht="17.25" customHeight="1">
      <c r="A10" s="365"/>
      <c r="B10" s="380"/>
      <c r="C10" s="155" t="s">
        <v>376</v>
      </c>
      <c r="D10" s="156">
        <v>41653</v>
      </c>
      <c r="E10" s="157">
        <v>29920000</v>
      </c>
      <c r="F10" s="157">
        <v>29920000</v>
      </c>
      <c r="G10" s="157">
        <v>29920000</v>
      </c>
      <c r="H10" s="157">
        <v>29920000</v>
      </c>
      <c r="I10" s="157">
        <v>29920000</v>
      </c>
      <c r="J10" s="156">
        <v>41641</v>
      </c>
      <c r="K10" s="158" t="s">
        <v>373</v>
      </c>
      <c r="L10" s="327"/>
    </row>
    <row r="11" spans="1:12" s="159" customFormat="1" ht="17.25" customHeight="1">
      <c r="A11" s="365"/>
      <c r="B11" s="380"/>
      <c r="C11" s="155" t="s">
        <v>377</v>
      </c>
      <c r="D11" s="156">
        <v>41785</v>
      </c>
      <c r="E11" s="157">
        <v>36432000</v>
      </c>
      <c r="F11" s="157">
        <v>36432000</v>
      </c>
      <c r="G11" s="157">
        <v>36432000</v>
      </c>
      <c r="H11" s="157">
        <v>36432000</v>
      </c>
      <c r="I11" s="157">
        <v>36432000</v>
      </c>
      <c r="J11" s="156">
        <v>41780</v>
      </c>
      <c r="K11" s="158" t="s">
        <v>373</v>
      </c>
      <c r="L11" s="327"/>
    </row>
    <row r="12" spans="1:12" s="159" customFormat="1" ht="17.25" customHeight="1">
      <c r="A12" s="365"/>
      <c r="B12" s="380"/>
      <c r="C12" s="155" t="s">
        <v>378</v>
      </c>
      <c r="D12" s="156">
        <v>41934</v>
      </c>
      <c r="E12" s="157">
        <v>34408000</v>
      </c>
      <c r="F12" s="157">
        <v>34408000</v>
      </c>
      <c r="G12" s="157">
        <v>34408000</v>
      </c>
      <c r="H12" s="157">
        <v>34408000</v>
      </c>
      <c r="I12" s="157">
        <v>34408000</v>
      </c>
      <c r="J12" s="156">
        <v>41918</v>
      </c>
      <c r="K12" s="158" t="s">
        <v>373</v>
      </c>
      <c r="L12" s="327"/>
    </row>
    <row r="13" spans="1:12" s="159" customFormat="1" ht="17.25" customHeight="1">
      <c r="A13" s="365"/>
      <c r="B13" s="380"/>
      <c r="C13" s="155" t="s">
        <v>379</v>
      </c>
      <c r="D13" s="156">
        <v>42152</v>
      </c>
      <c r="E13" s="157">
        <v>36432000</v>
      </c>
      <c r="F13" s="157">
        <v>36432000</v>
      </c>
      <c r="G13" s="157">
        <v>36432000</v>
      </c>
      <c r="H13" s="157">
        <v>36432000</v>
      </c>
      <c r="I13" s="157">
        <v>36432000</v>
      </c>
      <c r="J13" s="156">
        <v>42153</v>
      </c>
      <c r="K13" s="158" t="s">
        <v>373</v>
      </c>
      <c r="L13" s="327"/>
    </row>
    <row r="14" spans="1:12" s="159" customFormat="1" ht="17.25" customHeight="1">
      <c r="A14" s="365"/>
      <c r="B14" s="380"/>
      <c r="C14" s="160"/>
      <c r="D14" s="161"/>
      <c r="E14" s="162"/>
      <c r="F14" s="162"/>
      <c r="G14" s="157"/>
      <c r="H14" s="162"/>
      <c r="I14" s="162"/>
      <c r="J14" s="161"/>
      <c r="K14" s="235"/>
      <c r="L14" s="327"/>
    </row>
    <row r="15" spans="1:12" s="159" customFormat="1" ht="17.25" customHeight="1">
      <c r="A15" s="365"/>
      <c r="B15" s="380"/>
      <c r="C15" s="160"/>
      <c r="D15" s="161"/>
      <c r="E15" s="162"/>
      <c r="F15" s="162"/>
      <c r="G15" s="157"/>
      <c r="H15" s="162"/>
      <c r="I15" s="162"/>
      <c r="J15" s="161"/>
      <c r="K15" s="163"/>
      <c r="L15" s="327"/>
    </row>
    <row r="16" spans="1:12" s="167" customFormat="1" ht="17.25" customHeight="1">
      <c r="A16" s="365"/>
      <c r="B16" s="380"/>
      <c r="C16" s="366" t="s">
        <v>94</v>
      </c>
      <c r="D16" s="367"/>
      <c r="E16" s="164">
        <f>SUM(E5:E15)</f>
        <v>199400666</v>
      </c>
      <c r="F16" s="164">
        <f>SUM(F5:F15)</f>
        <v>274200666</v>
      </c>
      <c r="G16" s="164">
        <f>SUM(G5:G15)</f>
        <v>274200666</v>
      </c>
      <c r="H16" s="164">
        <f>SUM(H5:H15)</f>
        <v>199400666</v>
      </c>
      <c r="I16" s="164">
        <f>SUM(I5:I15)</f>
        <v>274200666</v>
      </c>
      <c r="J16" s="165"/>
      <c r="K16" s="166" t="s">
        <v>42</v>
      </c>
      <c r="L16" s="324"/>
    </row>
    <row r="17" spans="1:12" s="167" customFormat="1" ht="17.25" customHeight="1">
      <c r="A17" s="365"/>
      <c r="B17" s="381"/>
      <c r="C17" s="366" t="s">
        <v>380</v>
      </c>
      <c r="D17" s="367"/>
      <c r="E17" s="168"/>
      <c r="F17" s="168"/>
      <c r="G17" s="169">
        <f>E16-G16</f>
        <v>-74800000</v>
      </c>
      <c r="H17" s="168"/>
      <c r="I17" s="169">
        <f>H16-I16</f>
        <v>-74800000</v>
      </c>
      <c r="J17" s="165"/>
      <c r="K17" s="166"/>
      <c r="L17" s="324"/>
    </row>
    <row r="18" spans="1:12" s="159" customFormat="1" ht="17.25" customHeight="1">
      <c r="A18" s="365">
        <v>2</v>
      </c>
      <c r="B18" s="365" t="s">
        <v>108</v>
      </c>
      <c r="C18" s="158" t="s">
        <v>382</v>
      </c>
      <c r="D18" s="156">
        <v>41718</v>
      </c>
      <c r="E18" s="173">
        <v>80000000</v>
      </c>
      <c r="F18" s="226">
        <v>80000000</v>
      </c>
      <c r="G18" s="170">
        <v>80000000</v>
      </c>
      <c r="H18" s="173">
        <v>80000000</v>
      </c>
      <c r="I18" s="170">
        <v>80000000</v>
      </c>
      <c r="J18" s="174">
        <v>41871</v>
      </c>
      <c r="K18" s="163" t="s">
        <v>373</v>
      </c>
      <c r="L18" s="327"/>
    </row>
    <row r="19" spans="1:12" s="167" customFormat="1" ht="17.25" customHeight="1">
      <c r="A19" s="365"/>
      <c r="B19" s="365"/>
      <c r="C19" s="366" t="s">
        <v>94</v>
      </c>
      <c r="D19" s="367"/>
      <c r="E19" s="164">
        <f>SUM(E18:E18)</f>
        <v>80000000</v>
      </c>
      <c r="F19" s="164">
        <f>SUM(F18:F18)</f>
        <v>80000000</v>
      </c>
      <c r="G19" s="164">
        <f>SUM(G18:G18)</f>
        <v>80000000</v>
      </c>
      <c r="H19" s="164">
        <f>SUM(H18:H18)</f>
        <v>80000000</v>
      </c>
      <c r="I19" s="164">
        <f>SUM(I18:I18)</f>
        <v>80000000</v>
      </c>
      <c r="J19" s="165"/>
      <c r="K19" s="166" t="s">
        <v>42</v>
      </c>
      <c r="L19" s="324"/>
    </row>
    <row r="20" spans="1:12" s="167" customFormat="1" ht="17.25" customHeight="1">
      <c r="A20" s="365"/>
      <c r="B20" s="365"/>
      <c r="C20" s="366" t="s">
        <v>380</v>
      </c>
      <c r="D20" s="367"/>
      <c r="E20" s="168"/>
      <c r="F20" s="168"/>
      <c r="G20" s="169">
        <f>E19-G19</f>
        <v>0</v>
      </c>
      <c r="H20" s="168"/>
      <c r="I20" s="169">
        <f>H19-I19</f>
        <v>0</v>
      </c>
      <c r="J20" s="165"/>
      <c r="K20" s="166"/>
      <c r="L20" s="324"/>
    </row>
    <row r="21" spans="1:12" s="159" customFormat="1" ht="17.25" customHeight="1">
      <c r="A21" s="365">
        <v>3</v>
      </c>
      <c r="B21" s="365" t="s">
        <v>383</v>
      </c>
      <c r="C21" s="158"/>
      <c r="D21" s="156"/>
      <c r="E21" s="173">
        <v>30800005</v>
      </c>
      <c r="F21" s="226">
        <f>E21</f>
        <v>30800005</v>
      </c>
      <c r="G21" s="170">
        <v>30800005</v>
      </c>
      <c r="H21" s="173">
        <v>30800005</v>
      </c>
      <c r="I21" s="170">
        <v>30800005</v>
      </c>
      <c r="J21" s="174">
        <v>41942</v>
      </c>
      <c r="K21" s="163" t="s">
        <v>373</v>
      </c>
      <c r="L21" s="327"/>
    </row>
    <row r="22" spans="1:12" s="167" customFormat="1" ht="17.25" customHeight="1">
      <c r="A22" s="365"/>
      <c r="B22" s="365"/>
      <c r="C22" s="366" t="s">
        <v>94</v>
      </c>
      <c r="D22" s="367"/>
      <c r="E22" s="164">
        <f>SUM(E21:E21)</f>
        <v>30800005</v>
      </c>
      <c r="F22" s="164">
        <f>SUM(F21:F21)</f>
        <v>30800005</v>
      </c>
      <c r="G22" s="164">
        <f>SUM(G21:G21)</f>
        <v>30800005</v>
      </c>
      <c r="H22" s="164">
        <f>SUM(H21:H21)</f>
        <v>30800005</v>
      </c>
      <c r="I22" s="164">
        <f>SUM(I21:I21)</f>
        <v>30800005</v>
      </c>
      <c r="J22" s="165"/>
      <c r="K22" s="166" t="s">
        <v>42</v>
      </c>
      <c r="L22" s="324"/>
    </row>
    <row r="23" spans="1:12" s="167" customFormat="1" ht="17.25" customHeight="1">
      <c r="A23" s="365"/>
      <c r="B23" s="365"/>
      <c r="C23" s="366" t="s">
        <v>380</v>
      </c>
      <c r="D23" s="367"/>
      <c r="E23" s="168"/>
      <c r="F23" s="168"/>
      <c r="G23" s="169">
        <f>E22-G22</f>
        <v>0</v>
      </c>
      <c r="H23" s="168"/>
      <c r="I23" s="169">
        <f>H22-I22</f>
        <v>0</v>
      </c>
      <c r="J23" s="165"/>
      <c r="K23" s="166"/>
      <c r="L23" s="324"/>
    </row>
    <row r="24" spans="1:12" s="159" customFormat="1" ht="17.25" customHeight="1">
      <c r="A24" s="365">
        <v>4</v>
      </c>
      <c r="B24" s="365" t="s">
        <v>285</v>
      </c>
      <c r="C24" s="158"/>
      <c r="D24" s="156"/>
      <c r="E24" s="173">
        <v>30440000</v>
      </c>
      <c r="F24" s="226">
        <f>E24</f>
        <v>30440000</v>
      </c>
      <c r="G24" s="170">
        <v>30440000</v>
      </c>
      <c r="H24" s="173">
        <v>30440000</v>
      </c>
      <c r="I24" s="170">
        <v>30440000</v>
      </c>
      <c r="J24" s="174">
        <v>42174</v>
      </c>
      <c r="K24" s="163" t="s">
        <v>373</v>
      </c>
      <c r="L24" s="327"/>
    </row>
    <row r="25" spans="1:12" s="167" customFormat="1" ht="17.25" customHeight="1">
      <c r="A25" s="365"/>
      <c r="B25" s="365"/>
      <c r="C25" s="366" t="s">
        <v>94</v>
      </c>
      <c r="D25" s="367"/>
      <c r="E25" s="164">
        <f>SUM(E24:E24)</f>
        <v>30440000</v>
      </c>
      <c r="F25" s="164">
        <f>SUM(F24:F24)</f>
        <v>30440000</v>
      </c>
      <c r="G25" s="164">
        <f>SUM(G24:G24)</f>
        <v>30440000</v>
      </c>
      <c r="H25" s="164">
        <f>SUM(H24:H24)</f>
        <v>30440000</v>
      </c>
      <c r="I25" s="164">
        <f>SUM(I24:I24)</f>
        <v>30440000</v>
      </c>
      <c r="J25" s="165"/>
      <c r="K25" s="166" t="s">
        <v>42</v>
      </c>
      <c r="L25" s="324"/>
    </row>
    <row r="26" spans="1:12" s="167" customFormat="1" ht="17.25" customHeight="1">
      <c r="A26" s="365"/>
      <c r="B26" s="365"/>
      <c r="C26" s="366" t="s">
        <v>380</v>
      </c>
      <c r="D26" s="367"/>
      <c r="E26" s="168"/>
      <c r="F26" s="168"/>
      <c r="G26" s="169">
        <f>E25-G25</f>
        <v>0</v>
      </c>
      <c r="H26" s="168"/>
      <c r="I26" s="169">
        <f>H25-I25</f>
        <v>0</v>
      </c>
      <c r="J26" s="165"/>
      <c r="K26" s="166"/>
      <c r="L26" s="324"/>
    </row>
    <row r="27" spans="1:12" s="159" customFormat="1" ht="18" customHeight="1">
      <c r="A27" s="365">
        <v>5</v>
      </c>
      <c r="B27" s="365" t="s">
        <v>384</v>
      </c>
      <c r="C27" s="158"/>
      <c r="D27" s="156"/>
      <c r="E27" s="173">
        <v>21610454</v>
      </c>
      <c r="F27" s="226">
        <v>21610454</v>
      </c>
      <c r="G27" s="170">
        <v>21610454</v>
      </c>
      <c r="H27" s="173">
        <v>21610454</v>
      </c>
      <c r="I27" s="170">
        <v>21610454</v>
      </c>
      <c r="J27" s="174">
        <v>42188</v>
      </c>
      <c r="K27" s="163" t="s">
        <v>373</v>
      </c>
      <c r="L27" s="327"/>
    </row>
    <row r="28" spans="1:12" s="167" customFormat="1" ht="18" customHeight="1">
      <c r="A28" s="365"/>
      <c r="B28" s="365"/>
      <c r="C28" s="366" t="s">
        <v>94</v>
      </c>
      <c r="D28" s="367"/>
      <c r="E28" s="164">
        <f>SUM(E27:E27)</f>
        <v>21610454</v>
      </c>
      <c r="F28" s="164">
        <f>SUM(F27:F27)</f>
        <v>21610454</v>
      </c>
      <c r="G28" s="164">
        <f>SUM(G27:G27)</f>
        <v>21610454</v>
      </c>
      <c r="H28" s="164">
        <f>SUM(H27:H27)</f>
        <v>21610454</v>
      </c>
      <c r="I28" s="164">
        <f>SUM(I27:I27)</f>
        <v>21610454</v>
      </c>
      <c r="J28" s="165"/>
      <c r="K28" s="166" t="s">
        <v>42</v>
      </c>
      <c r="L28" s="324"/>
    </row>
    <row r="29" spans="1:12" s="167" customFormat="1" ht="18" customHeight="1">
      <c r="A29" s="365"/>
      <c r="B29" s="365"/>
      <c r="C29" s="366" t="s">
        <v>380</v>
      </c>
      <c r="D29" s="367"/>
      <c r="E29" s="168"/>
      <c r="F29" s="168"/>
      <c r="G29" s="169">
        <f>E28-G28</f>
        <v>0</v>
      </c>
      <c r="H29" s="168"/>
      <c r="I29" s="169">
        <f>H28-I28</f>
        <v>0</v>
      </c>
      <c r="J29" s="165"/>
      <c r="K29" s="166"/>
      <c r="L29" s="324"/>
    </row>
    <row r="30" spans="1:12" s="159" customFormat="1" ht="18" customHeight="1">
      <c r="A30" s="365">
        <v>5</v>
      </c>
      <c r="B30" s="365" t="s">
        <v>455</v>
      </c>
      <c r="C30" s="243"/>
      <c r="D30" s="246"/>
      <c r="E30" s="245">
        <v>33000000</v>
      </c>
      <c r="F30" s="245">
        <f>E30</f>
        <v>33000000</v>
      </c>
      <c r="G30" s="170">
        <f>F30</f>
        <v>33000000</v>
      </c>
      <c r="H30" s="245">
        <f>F30</f>
        <v>33000000</v>
      </c>
      <c r="I30" s="170">
        <f>F30</f>
        <v>33000000</v>
      </c>
      <c r="J30" s="244">
        <v>42235</v>
      </c>
      <c r="K30" s="242" t="s">
        <v>373</v>
      </c>
      <c r="L30" s="327"/>
    </row>
    <row r="31" spans="1:12" s="167" customFormat="1" ht="18" customHeight="1">
      <c r="A31" s="365"/>
      <c r="B31" s="365"/>
      <c r="C31" s="366" t="s">
        <v>94</v>
      </c>
      <c r="D31" s="367"/>
      <c r="E31" s="164">
        <f>SUM(E30:E30)</f>
        <v>33000000</v>
      </c>
      <c r="F31" s="164">
        <f>SUM(F30:F30)</f>
        <v>33000000</v>
      </c>
      <c r="G31" s="164">
        <f>SUM(G30:G30)</f>
        <v>33000000</v>
      </c>
      <c r="H31" s="164">
        <f>SUM(H30:H30)</f>
        <v>33000000</v>
      </c>
      <c r="I31" s="164">
        <f>SUM(I30:I30)</f>
        <v>33000000</v>
      </c>
      <c r="J31" s="165"/>
      <c r="K31" s="166" t="s">
        <v>42</v>
      </c>
      <c r="L31" s="324"/>
    </row>
    <row r="32" spans="1:12" s="167" customFormat="1" ht="18" customHeight="1">
      <c r="A32" s="365"/>
      <c r="B32" s="365"/>
      <c r="C32" s="366" t="s">
        <v>380</v>
      </c>
      <c r="D32" s="367"/>
      <c r="E32" s="168"/>
      <c r="F32" s="168"/>
      <c r="G32" s="169">
        <f>E31-G31</f>
        <v>0</v>
      </c>
      <c r="H32" s="168"/>
      <c r="I32" s="169">
        <f>H31-I31</f>
        <v>0</v>
      </c>
      <c r="J32" s="165"/>
      <c r="K32" s="166"/>
      <c r="L32" s="324"/>
    </row>
    <row r="33" spans="1:12" s="159" customFormat="1" ht="18" customHeight="1">
      <c r="A33" s="365">
        <v>6</v>
      </c>
      <c r="B33" s="365" t="s">
        <v>188</v>
      </c>
      <c r="C33" s="158" t="s">
        <v>385</v>
      </c>
      <c r="D33" s="156">
        <v>41904</v>
      </c>
      <c r="E33" s="173">
        <v>16327199</v>
      </c>
      <c r="F33" s="226">
        <v>16327199</v>
      </c>
      <c r="G33" s="170">
        <v>16327199</v>
      </c>
      <c r="H33" s="173">
        <v>16327199</v>
      </c>
      <c r="I33" s="170">
        <v>16327199</v>
      </c>
      <c r="J33" s="174">
        <v>41915</v>
      </c>
      <c r="K33" s="163" t="s">
        <v>373</v>
      </c>
      <c r="L33" s="327"/>
    </row>
    <row r="34" spans="1:12" s="167" customFormat="1" ht="18" customHeight="1">
      <c r="A34" s="365"/>
      <c r="B34" s="365"/>
      <c r="C34" s="366" t="s">
        <v>94</v>
      </c>
      <c r="D34" s="367"/>
      <c r="E34" s="164">
        <f>SUM(E33:E33)</f>
        <v>16327199</v>
      </c>
      <c r="F34" s="164">
        <f>SUM(F33:F33)</f>
        <v>16327199</v>
      </c>
      <c r="G34" s="164">
        <f>SUM(G33:G33)</f>
        <v>16327199</v>
      </c>
      <c r="H34" s="164">
        <f>SUM(H33:H33)</f>
        <v>16327199</v>
      </c>
      <c r="I34" s="164">
        <f>SUM(I33:I33)</f>
        <v>16327199</v>
      </c>
      <c r="J34" s="165"/>
      <c r="K34" s="166" t="s">
        <v>42</v>
      </c>
      <c r="L34" s="324"/>
    </row>
    <row r="35" spans="1:12" s="167" customFormat="1" ht="18" customHeight="1">
      <c r="A35" s="365"/>
      <c r="B35" s="365"/>
      <c r="C35" s="366" t="s">
        <v>380</v>
      </c>
      <c r="D35" s="367"/>
      <c r="E35" s="168"/>
      <c r="F35" s="168"/>
      <c r="G35" s="169">
        <f>E34-G34</f>
        <v>0</v>
      </c>
      <c r="H35" s="168"/>
      <c r="I35" s="169">
        <f>H34-I34</f>
        <v>0</v>
      </c>
      <c r="J35" s="165"/>
      <c r="K35" s="166"/>
      <c r="L35" s="324"/>
    </row>
    <row r="36" spans="1:12" s="159" customFormat="1" ht="17.25" customHeight="1">
      <c r="A36" s="365">
        <v>7</v>
      </c>
      <c r="B36" s="365" t="s">
        <v>89</v>
      </c>
      <c r="C36" s="369" t="s">
        <v>386</v>
      </c>
      <c r="D36" s="374">
        <v>41697</v>
      </c>
      <c r="E36" s="373">
        <f>324737600+1262599800</f>
        <v>1587337400</v>
      </c>
      <c r="F36" s="373">
        <f>324737600+1262599800</f>
        <v>1587337400</v>
      </c>
      <c r="G36" s="170">
        <v>43824000</v>
      </c>
      <c r="H36" s="373">
        <f>324737600+1262599800</f>
        <v>1587337400</v>
      </c>
      <c r="I36" s="170">
        <v>43824000</v>
      </c>
      <c r="J36" s="174">
        <v>41664</v>
      </c>
      <c r="K36" s="163" t="s">
        <v>373</v>
      </c>
      <c r="L36" s="327"/>
    </row>
    <row r="37" spans="1:12" s="159" customFormat="1" ht="17.25" customHeight="1">
      <c r="A37" s="365"/>
      <c r="B37" s="365"/>
      <c r="C37" s="369"/>
      <c r="D37" s="369"/>
      <c r="E37" s="373"/>
      <c r="F37" s="373"/>
      <c r="G37" s="157">
        <v>76462320</v>
      </c>
      <c r="H37" s="373"/>
      <c r="I37" s="157">
        <v>76462320</v>
      </c>
      <c r="J37" s="156">
        <v>41699</v>
      </c>
      <c r="K37" s="158" t="s">
        <v>373</v>
      </c>
      <c r="L37" s="327"/>
    </row>
    <row r="38" spans="1:12" s="159" customFormat="1" ht="17.25" customHeight="1">
      <c r="A38" s="365"/>
      <c r="B38" s="365"/>
      <c r="C38" s="369"/>
      <c r="D38" s="369"/>
      <c r="E38" s="373"/>
      <c r="F38" s="373"/>
      <c r="G38" s="157">
        <v>133147080</v>
      </c>
      <c r="H38" s="373"/>
      <c r="I38" s="157">
        <v>133147080</v>
      </c>
      <c r="J38" s="156">
        <v>41718</v>
      </c>
      <c r="K38" s="158" t="s">
        <v>373</v>
      </c>
      <c r="L38" s="327"/>
    </row>
    <row r="39" spans="1:12" s="159" customFormat="1" ht="17.25" customHeight="1">
      <c r="A39" s="365"/>
      <c r="B39" s="365"/>
      <c r="C39" s="369"/>
      <c r="D39" s="369"/>
      <c r="E39" s="373"/>
      <c r="F39" s="373"/>
      <c r="G39" s="157">
        <v>378779940</v>
      </c>
      <c r="H39" s="373"/>
      <c r="I39" s="157">
        <v>378779940</v>
      </c>
      <c r="J39" s="156">
        <v>41834</v>
      </c>
      <c r="K39" s="158" t="s">
        <v>373</v>
      </c>
      <c r="L39" s="327"/>
    </row>
    <row r="40" spans="1:12" s="159" customFormat="1" ht="17.25" customHeight="1">
      <c r="A40" s="365"/>
      <c r="B40" s="365"/>
      <c r="C40" s="369"/>
      <c r="D40" s="369"/>
      <c r="E40" s="373"/>
      <c r="F40" s="373"/>
      <c r="G40" s="162">
        <v>252519960</v>
      </c>
      <c r="H40" s="373"/>
      <c r="I40" s="162">
        <v>252519960</v>
      </c>
      <c r="J40" s="161">
        <v>41865</v>
      </c>
      <c r="K40" s="175" t="s">
        <v>373</v>
      </c>
      <c r="L40" s="327"/>
    </row>
    <row r="41" spans="1:12" s="159" customFormat="1" ht="17.25" customHeight="1">
      <c r="A41" s="365"/>
      <c r="B41" s="365"/>
      <c r="C41" s="369"/>
      <c r="D41" s="369"/>
      <c r="E41" s="373"/>
      <c r="F41" s="373"/>
      <c r="G41" s="157">
        <v>378779940</v>
      </c>
      <c r="H41" s="373"/>
      <c r="I41" s="157">
        <v>378779940</v>
      </c>
      <c r="J41" s="156">
        <v>41871</v>
      </c>
      <c r="K41" s="175" t="s">
        <v>373</v>
      </c>
      <c r="L41" s="327"/>
    </row>
    <row r="42" spans="1:12" s="159" customFormat="1" ht="17.25" customHeight="1">
      <c r="A42" s="365"/>
      <c r="B42" s="365"/>
      <c r="C42" s="369"/>
      <c r="D42" s="369"/>
      <c r="E42" s="373"/>
      <c r="F42" s="373"/>
      <c r="G42" s="176">
        <v>323824160</v>
      </c>
      <c r="H42" s="373"/>
      <c r="I42" s="176">
        <v>323824160</v>
      </c>
      <c r="J42" s="177">
        <v>41928</v>
      </c>
      <c r="K42" s="175" t="s">
        <v>373</v>
      </c>
      <c r="L42" s="327"/>
    </row>
    <row r="43" spans="1:12" s="167" customFormat="1" ht="18" customHeight="1">
      <c r="A43" s="365"/>
      <c r="B43" s="365"/>
      <c r="C43" s="366" t="s">
        <v>94</v>
      </c>
      <c r="D43" s="367"/>
      <c r="E43" s="164">
        <f>SUM(E36:E42)</f>
        <v>1587337400</v>
      </c>
      <c r="F43" s="164">
        <f>SUM(F36:F42)</f>
        <v>1587337400</v>
      </c>
      <c r="G43" s="164">
        <f>SUM(G36:G42)</f>
        <v>1587337400</v>
      </c>
      <c r="H43" s="164">
        <f>SUM(H36:H42)</f>
        <v>1587337400</v>
      </c>
      <c r="I43" s="164">
        <f>SUM(I36:I42)</f>
        <v>1587337400</v>
      </c>
      <c r="J43" s="165"/>
      <c r="K43" s="166" t="s">
        <v>42</v>
      </c>
      <c r="L43" s="324"/>
    </row>
    <row r="44" spans="1:12" s="167" customFormat="1" ht="18" customHeight="1">
      <c r="A44" s="365"/>
      <c r="B44" s="365"/>
      <c r="C44" s="366" t="s">
        <v>380</v>
      </c>
      <c r="D44" s="367"/>
      <c r="E44" s="168"/>
      <c r="F44" s="168"/>
      <c r="G44" s="169">
        <f>E43-G43</f>
        <v>0</v>
      </c>
      <c r="H44" s="168"/>
      <c r="I44" s="169">
        <f>H43-I43</f>
        <v>0</v>
      </c>
      <c r="J44" s="165"/>
      <c r="K44" s="166"/>
      <c r="L44" s="324"/>
    </row>
    <row r="45" spans="1:12" ht="17.25" customHeight="1">
      <c r="A45" s="376">
        <v>8</v>
      </c>
      <c r="B45" s="376" t="s">
        <v>387</v>
      </c>
      <c r="C45" s="377"/>
      <c r="D45" s="378"/>
      <c r="E45" s="375">
        <v>66672164</v>
      </c>
      <c r="F45" s="375">
        <f>E45</f>
        <v>66672164</v>
      </c>
      <c r="G45" s="178">
        <v>66672164</v>
      </c>
      <c r="H45" s="375">
        <v>51490000</v>
      </c>
      <c r="I45" s="178">
        <v>5000000</v>
      </c>
      <c r="J45" s="179">
        <v>42100</v>
      </c>
      <c r="K45" s="180" t="s">
        <v>388</v>
      </c>
    </row>
    <row r="46" spans="1:12" ht="17.25" customHeight="1">
      <c r="A46" s="376"/>
      <c r="B46" s="376"/>
      <c r="C46" s="377"/>
      <c r="D46" s="378"/>
      <c r="E46" s="375"/>
      <c r="F46" s="375"/>
      <c r="G46" s="178"/>
      <c r="H46" s="375"/>
      <c r="I46" s="178">
        <v>41490000</v>
      </c>
      <c r="J46" s="182">
        <v>42108</v>
      </c>
      <c r="K46" s="180" t="s">
        <v>388</v>
      </c>
    </row>
    <row r="47" spans="1:12" ht="17.25" customHeight="1">
      <c r="A47" s="376"/>
      <c r="B47" s="376"/>
      <c r="C47" s="377"/>
      <c r="D47" s="378"/>
      <c r="E47" s="375"/>
      <c r="F47" s="375"/>
      <c r="G47" s="178"/>
      <c r="H47" s="375"/>
      <c r="I47" s="178">
        <v>5000000</v>
      </c>
      <c r="J47" s="182">
        <v>42112</v>
      </c>
      <c r="K47" s="180" t="s">
        <v>388</v>
      </c>
    </row>
    <row r="48" spans="1:12" s="167" customFormat="1" ht="18" customHeight="1">
      <c r="A48" s="376"/>
      <c r="B48" s="376"/>
      <c r="C48" s="366" t="s">
        <v>94</v>
      </c>
      <c r="D48" s="367"/>
      <c r="E48" s="164">
        <f>SUM(E45:E47)</f>
        <v>66672164</v>
      </c>
      <c r="F48" s="164">
        <f>SUM(F45:F47)</f>
        <v>66672164</v>
      </c>
      <c r="G48" s="164">
        <f>SUM(G45:G47)</f>
        <v>66672164</v>
      </c>
      <c r="H48" s="164">
        <f>SUM(H45:H47)</f>
        <v>51490000</v>
      </c>
      <c r="I48" s="164">
        <f>SUM(I45:I47)</f>
        <v>51490000</v>
      </c>
      <c r="J48" s="165"/>
      <c r="K48" s="166" t="s">
        <v>42</v>
      </c>
      <c r="L48" s="324"/>
    </row>
    <row r="49" spans="1:12" s="167" customFormat="1" ht="18" customHeight="1">
      <c r="A49" s="376"/>
      <c r="B49" s="376"/>
      <c r="C49" s="366" t="s">
        <v>380</v>
      </c>
      <c r="D49" s="367"/>
      <c r="E49" s="168"/>
      <c r="F49" s="168"/>
      <c r="G49" s="169">
        <f>E48-G48</f>
        <v>0</v>
      </c>
      <c r="H49" s="168"/>
      <c r="I49" s="169">
        <f>H48-I48</f>
        <v>0</v>
      </c>
      <c r="J49" s="165"/>
      <c r="K49" s="166"/>
      <c r="L49" s="324"/>
    </row>
    <row r="50" spans="1:12" s="159" customFormat="1" ht="17.25" customHeight="1">
      <c r="A50" s="365">
        <v>9</v>
      </c>
      <c r="B50" s="365" t="s">
        <v>91</v>
      </c>
      <c r="C50" s="369" t="s">
        <v>389</v>
      </c>
      <c r="D50" s="374">
        <v>41627</v>
      </c>
      <c r="E50" s="373">
        <v>289000000</v>
      </c>
      <c r="F50" s="373">
        <v>289000000</v>
      </c>
      <c r="G50" s="157">
        <v>20000000</v>
      </c>
      <c r="H50" s="373">
        <v>289000000</v>
      </c>
      <c r="I50" s="157">
        <v>20000000</v>
      </c>
      <c r="J50" s="174">
        <v>41664</v>
      </c>
      <c r="K50" s="163" t="s">
        <v>373</v>
      </c>
      <c r="L50" s="327"/>
    </row>
    <row r="51" spans="1:12" s="159" customFormat="1" ht="17.25" customHeight="1">
      <c r="A51" s="365"/>
      <c r="B51" s="365"/>
      <c r="C51" s="369"/>
      <c r="D51" s="369"/>
      <c r="E51" s="373"/>
      <c r="F51" s="373"/>
      <c r="G51" s="157">
        <v>20000000</v>
      </c>
      <c r="H51" s="373"/>
      <c r="I51" s="157">
        <v>20000000</v>
      </c>
      <c r="J51" s="174">
        <v>41843</v>
      </c>
      <c r="K51" s="163" t="s">
        <v>373</v>
      </c>
      <c r="L51" s="327"/>
    </row>
    <row r="52" spans="1:12" s="159" customFormat="1" ht="17.25" customHeight="1">
      <c r="A52" s="365"/>
      <c r="B52" s="365"/>
      <c r="C52" s="369"/>
      <c r="D52" s="369"/>
      <c r="E52" s="373"/>
      <c r="F52" s="373"/>
      <c r="G52" s="157">
        <v>50000000</v>
      </c>
      <c r="H52" s="373"/>
      <c r="I52" s="157">
        <v>50000000</v>
      </c>
      <c r="J52" s="174">
        <v>41851</v>
      </c>
      <c r="K52" s="163" t="s">
        <v>373</v>
      </c>
      <c r="L52" s="327"/>
    </row>
    <row r="53" spans="1:12" s="159" customFormat="1" ht="17.25" customHeight="1">
      <c r="A53" s="365"/>
      <c r="B53" s="365"/>
      <c r="C53" s="369"/>
      <c r="D53" s="369"/>
      <c r="E53" s="373"/>
      <c r="F53" s="373"/>
      <c r="G53" s="157">
        <v>50000000</v>
      </c>
      <c r="H53" s="373"/>
      <c r="I53" s="157">
        <v>50000000</v>
      </c>
      <c r="J53" s="156">
        <v>41858</v>
      </c>
      <c r="K53" s="158" t="s">
        <v>373</v>
      </c>
      <c r="L53" s="327"/>
    </row>
    <row r="54" spans="1:12" s="159" customFormat="1" ht="17.25" customHeight="1">
      <c r="A54" s="365"/>
      <c r="B54" s="365"/>
      <c r="C54" s="369"/>
      <c r="D54" s="369"/>
      <c r="E54" s="373"/>
      <c r="F54" s="373"/>
      <c r="G54" s="157">
        <v>50000000</v>
      </c>
      <c r="H54" s="373"/>
      <c r="I54" s="157">
        <v>50000000</v>
      </c>
      <c r="J54" s="156">
        <v>41871</v>
      </c>
      <c r="K54" s="158" t="s">
        <v>373</v>
      </c>
      <c r="L54" s="327"/>
    </row>
    <row r="55" spans="1:12" s="159" customFormat="1" ht="17.25" customHeight="1">
      <c r="A55" s="365"/>
      <c r="B55" s="365"/>
      <c r="C55" s="369"/>
      <c r="D55" s="369"/>
      <c r="E55" s="373"/>
      <c r="F55" s="373"/>
      <c r="G55" s="157">
        <v>50000000</v>
      </c>
      <c r="H55" s="373"/>
      <c r="I55" s="157">
        <v>50000000</v>
      </c>
      <c r="J55" s="161">
        <v>41894</v>
      </c>
      <c r="K55" s="158" t="s">
        <v>373</v>
      </c>
      <c r="L55" s="327"/>
    </row>
    <row r="56" spans="1:12" s="159" customFormat="1" ht="17.25" customHeight="1">
      <c r="A56" s="365"/>
      <c r="B56" s="365"/>
      <c r="C56" s="369"/>
      <c r="D56" s="369"/>
      <c r="E56" s="373"/>
      <c r="F56" s="373"/>
      <c r="G56" s="176">
        <v>49000000</v>
      </c>
      <c r="H56" s="373"/>
      <c r="I56" s="176">
        <v>49000000</v>
      </c>
      <c r="J56" s="177">
        <v>41942</v>
      </c>
      <c r="K56" s="158" t="s">
        <v>373</v>
      </c>
      <c r="L56" s="327"/>
    </row>
    <row r="57" spans="1:12" s="167" customFormat="1" ht="18" customHeight="1">
      <c r="A57" s="365"/>
      <c r="B57" s="365"/>
      <c r="C57" s="366" t="s">
        <v>94</v>
      </c>
      <c r="D57" s="367"/>
      <c r="E57" s="164">
        <f>SUM(E50:E56)</f>
        <v>289000000</v>
      </c>
      <c r="F57" s="164">
        <f>SUM(F50:F56)</f>
        <v>289000000</v>
      </c>
      <c r="G57" s="164">
        <f>SUM(G50:G56)</f>
        <v>289000000</v>
      </c>
      <c r="H57" s="164">
        <f>SUM(H50:H56)</f>
        <v>289000000</v>
      </c>
      <c r="I57" s="164">
        <f>SUM(I50:I56)</f>
        <v>289000000</v>
      </c>
      <c r="J57" s="165"/>
      <c r="K57" s="166" t="s">
        <v>42</v>
      </c>
      <c r="L57" s="324"/>
    </row>
    <row r="58" spans="1:12" s="167" customFormat="1" ht="18" customHeight="1">
      <c r="A58" s="365"/>
      <c r="B58" s="365"/>
      <c r="C58" s="366" t="s">
        <v>380</v>
      </c>
      <c r="D58" s="367"/>
      <c r="E58" s="168"/>
      <c r="F58" s="168"/>
      <c r="G58" s="169">
        <f>E57-G57</f>
        <v>0</v>
      </c>
      <c r="H58" s="168"/>
      <c r="I58" s="169">
        <f>H57-I57</f>
        <v>0</v>
      </c>
      <c r="J58" s="165"/>
      <c r="K58" s="166"/>
      <c r="L58" s="324"/>
    </row>
    <row r="59" spans="1:12" ht="16.5" customHeight="1">
      <c r="A59" s="376">
        <v>10</v>
      </c>
      <c r="B59" s="406" t="s">
        <v>305</v>
      </c>
      <c r="C59" s="388" t="s">
        <v>406</v>
      </c>
      <c r="D59" s="390">
        <v>42182</v>
      </c>
      <c r="E59" s="382">
        <v>150126466</v>
      </c>
      <c r="F59" s="382">
        <v>150126466</v>
      </c>
      <c r="G59" s="178">
        <v>45000000</v>
      </c>
      <c r="H59" s="382">
        <v>150126466</v>
      </c>
      <c r="I59" s="178">
        <v>45000000</v>
      </c>
      <c r="J59" s="182">
        <v>42185</v>
      </c>
      <c r="K59" s="180" t="s">
        <v>373</v>
      </c>
    </row>
    <row r="60" spans="1:12" ht="16.5" customHeight="1">
      <c r="A60" s="376"/>
      <c r="B60" s="406"/>
      <c r="C60" s="389"/>
      <c r="D60" s="389"/>
      <c r="E60" s="383"/>
      <c r="F60" s="383"/>
      <c r="G60" s="144">
        <v>105126466</v>
      </c>
      <c r="H60" s="383"/>
      <c r="I60" s="144">
        <v>105126466</v>
      </c>
      <c r="J60" s="182">
        <v>42195</v>
      </c>
      <c r="K60" s="180" t="s">
        <v>373</v>
      </c>
    </row>
    <row r="61" spans="1:12" ht="16.5" customHeight="1">
      <c r="A61" s="376"/>
      <c r="B61" s="406"/>
      <c r="C61" s="290"/>
      <c r="D61" s="291"/>
      <c r="E61" s="287"/>
      <c r="F61" s="287"/>
      <c r="G61" s="287"/>
      <c r="H61" s="287"/>
      <c r="I61" s="287"/>
      <c r="J61" s="286"/>
      <c r="K61" s="285"/>
    </row>
    <row r="62" spans="1:12" s="167" customFormat="1" ht="18" customHeight="1">
      <c r="A62" s="376"/>
      <c r="B62" s="406"/>
      <c r="C62" s="366" t="s">
        <v>94</v>
      </c>
      <c r="D62" s="367"/>
      <c r="E62" s="164">
        <f>SUM(E59:E60)</f>
        <v>150126466</v>
      </c>
      <c r="F62" s="164">
        <f>SUM(F59:F60)</f>
        <v>150126466</v>
      </c>
      <c r="G62" s="164">
        <f>SUM(G59:G60)</f>
        <v>150126466</v>
      </c>
      <c r="H62" s="164">
        <f>SUM(H59:H60)</f>
        <v>150126466</v>
      </c>
      <c r="I62" s="164">
        <f>SUM(I59:I60)</f>
        <v>150126466</v>
      </c>
      <c r="J62" s="165"/>
      <c r="K62" s="166" t="s">
        <v>42</v>
      </c>
      <c r="L62" s="324"/>
    </row>
    <row r="63" spans="1:12" s="167" customFormat="1" ht="18" customHeight="1">
      <c r="A63" s="376"/>
      <c r="B63" s="406"/>
      <c r="C63" s="366" t="s">
        <v>380</v>
      </c>
      <c r="D63" s="367"/>
      <c r="E63" s="168"/>
      <c r="F63" s="168"/>
      <c r="G63" s="169">
        <f>E62-G62</f>
        <v>0</v>
      </c>
      <c r="H63" s="168"/>
      <c r="I63" s="169">
        <f>H62-I62</f>
        <v>0</v>
      </c>
      <c r="J63" s="165"/>
      <c r="K63" s="166"/>
      <c r="L63" s="324"/>
    </row>
    <row r="64" spans="1:12" ht="16.5" customHeight="1">
      <c r="A64" s="376">
        <v>11</v>
      </c>
      <c r="B64" s="406" t="s">
        <v>357</v>
      </c>
      <c r="C64" s="216" t="s">
        <v>440</v>
      </c>
      <c r="D64" s="217">
        <v>42206</v>
      </c>
      <c r="E64" s="218">
        <v>53060000</v>
      </c>
      <c r="F64" s="229">
        <f>E64</f>
        <v>53060000</v>
      </c>
      <c r="G64" s="218">
        <v>53060000</v>
      </c>
      <c r="H64" s="218">
        <v>53060000</v>
      </c>
      <c r="I64" s="218">
        <v>53060000</v>
      </c>
      <c r="J64" s="213">
        <v>42212</v>
      </c>
      <c r="K64" s="219" t="s">
        <v>373</v>
      </c>
    </row>
    <row r="65" spans="1:13" s="167" customFormat="1" ht="18" customHeight="1">
      <c r="A65" s="376"/>
      <c r="B65" s="406"/>
      <c r="C65" s="366" t="s">
        <v>94</v>
      </c>
      <c r="D65" s="367"/>
      <c r="E65" s="164">
        <f>SUM(E64:E64)</f>
        <v>53060000</v>
      </c>
      <c r="F65" s="164">
        <f>SUM(F64:F64)</f>
        <v>53060000</v>
      </c>
      <c r="G65" s="164">
        <f>SUM(G64:G64)</f>
        <v>53060000</v>
      </c>
      <c r="H65" s="164">
        <f>SUM(H64:H64)</f>
        <v>53060000</v>
      </c>
      <c r="I65" s="164">
        <f>SUM(I64:I64)</f>
        <v>53060000</v>
      </c>
      <c r="J65" s="165"/>
      <c r="K65" s="166" t="s">
        <v>42</v>
      </c>
      <c r="L65" s="324"/>
    </row>
    <row r="66" spans="1:13" s="167" customFormat="1" ht="18" customHeight="1">
      <c r="A66" s="376"/>
      <c r="B66" s="406"/>
      <c r="C66" s="366" t="s">
        <v>380</v>
      </c>
      <c r="D66" s="367"/>
      <c r="E66" s="168"/>
      <c r="F66" s="168"/>
      <c r="G66" s="169">
        <f>E65-G65</f>
        <v>0</v>
      </c>
      <c r="H66" s="168"/>
      <c r="I66" s="169">
        <f>H65-I65</f>
        <v>0</v>
      </c>
      <c r="J66" s="165"/>
      <c r="K66" s="166"/>
      <c r="L66" s="324"/>
    </row>
    <row r="67" spans="1:13" ht="17.25" customHeight="1">
      <c r="A67" s="376">
        <v>12</v>
      </c>
      <c r="B67" s="376" t="s">
        <v>90</v>
      </c>
      <c r="C67" s="377" t="s">
        <v>390</v>
      </c>
      <c r="D67" s="378">
        <v>41353</v>
      </c>
      <c r="E67" s="375"/>
      <c r="F67" s="375">
        <v>100000000</v>
      </c>
      <c r="G67" s="183">
        <v>30000000</v>
      </c>
      <c r="H67" s="375">
        <v>100000000</v>
      </c>
      <c r="I67" s="183">
        <v>30000000</v>
      </c>
      <c r="J67" s="179">
        <v>41723</v>
      </c>
      <c r="K67" s="180" t="s">
        <v>373</v>
      </c>
    </row>
    <row r="68" spans="1:13" ht="17.25" customHeight="1">
      <c r="A68" s="376"/>
      <c r="B68" s="376"/>
      <c r="C68" s="377"/>
      <c r="D68" s="378"/>
      <c r="E68" s="375"/>
      <c r="F68" s="375"/>
      <c r="G68" s="178">
        <v>30000000</v>
      </c>
      <c r="H68" s="375"/>
      <c r="I68" s="178">
        <v>30000000</v>
      </c>
      <c r="J68" s="182">
        <v>41813</v>
      </c>
      <c r="K68" s="184" t="s">
        <v>373</v>
      </c>
    </row>
    <row r="69" spans="1:13" s="167" customFormat="1" ht="18" customHeight="1">
      <c r="A69" s="376"/>
      <c r="B69" s="376"/>
      <c r="C69" s="366" t="s">
        <v>94</v>
      </c>
      <c r="D69" s="367"/>
      <c r="E69" s="164">
        <f>SUM(E67:E68)</f>
        <v>0</v>
      </c>
      <c r="F69" s="164">
        <f>SUM(F67:F68)</f>
        <v>100000000</v>
      </c>
      <c r="G69" s="164">
        <f t="shared" ref="G69:I69" si="0">SUM(G67:G68)</f>
        <v>60000000</v>
      </c>
      <c r="H69" s="164">
        <f t="shared" si="0"/>
        <v>100000000</v>
      </c>
      <c r="I69" s="164">
        <f t="shared" si="0"/>
        <v>60000000</v>
      </c>
      <c r="J69" s="165"/>
      <c r="K69" s="166" t="s">
        <v>42</v>
      </c>
      <c r="L69" s="324"/>
    </row>
    <row r="70" spans="1:13" s="167" customFormat="1" ht="18" customHeight="1">
      <c r="A70" s="376"/>
      <c r="B70" s="376"/>
      <c r="C70" s="366" t="s">
        <v>380</v>
      </c>
      <c r="D70" s="367"/>
      <c r="E70" s="168"/>
      <c r="F70" s="168"/>
      <c r="G70" s="169">
        <f>E69-G69</f>
        <v>-60000000</v>
      </c>
      <c r="H70" s="168"/>
      <c r="I70" s="169">
        <f>H69-I69</f>
        <v>40000000</v>
      </c>
      <c r="J70" s="165"/>
      <c r="K70" s="166"/>
      <c r="L70" s="324"/>
    </row>
    <row r="71" spans="1:13" s="159" customFormat="1" ht="17.25" customHeight="1">
      <c r="A71" s="379">
        <v>13</v>
      </c>
      <c r="B71" s="379" t="s">
        <v>86</v>
      </c>
      <c r="C71" s="368" t="s">
        <v>381</v>
      </c>
      <c r="D71" s="370">
        <v>41292</v>
      </c>
      <c r="E71" s="371">
        <v>60500000</v>
      </c>
      <c r="F71" s="371">
        <v>60500000</v>
      </c>
      <c r="G71" s="170">
        <v>27500000</v>
      </c>
      <c r="H71" s="385">
        <v>60500000</v>
      </c>
      <c r="I71" s="170">
        <v>27500000</v>
      </c>
      <c r="J71" s="171">
        <v>41641</v>
      </c>
      <c r="K71" s="163" t="s">
        <v>373</v>
      </c>
      <c r="L71" s="327"/>
    </row>
    <row r="72" spans="1:13" s="159" customFormat="1" ht="17.25" customHeight="1">
      <c r="A72" s="380"/>
      <c r="B72" s="380"/>
      <c r="C72" s="369"/>
      <c r="D72" s="369"/>
      <c r="E72" s="372"/>
      <c r="F72" s="372"/>
      <c r="G72" s="157">
        <v>33000000</v>
      </c>
      <c r="H72" s="373"/>
      <c r="I72" s="157">
        <v>33000000</v>
      </c>
      <c r="J72" s="172">
        <v>41775</v>
      </c>
      <c r="K72" s="163" t="s">
        <v>373</v>
      </c>
      <c r="L72" s="327"/>
    </row>
    <row r="73" spans="1:13" s="167" customFormat="1" ht="17.25" customHeight="1">
      <c r="A73" s="380"/>
      <c r="B73" s="380"/>
      <c r="C73" s="366" t="s">
        <v>94</v>
      </c>
      <c r="D73" s="367"/>
      <c r="E73" s="164">
        <f>SUM(E71:E72)</f>
        <v>60500000</v>
      </c>
      <c r="F73" s="164">
        <f>SUM(F71:F72)</f>
        <v>60500000</v>
      </c>
      <c r="G73" s="164">
        <f>SUM(G71:G72)</f>
        <v>60500000</v>
      </c>
      <c r="H73" s="164">
        <f>SUM(H71:H72)</f>
        <v>60500000</v>
      </c>
      <c r="I73" s="164">
        <f>SUM(I71:I72)</f>
        <v>60500000</v>
      </c>
      <c r="J73" s="165"/>
      <c r="K73" s="166" t="s">
        <v>42</v>
      </c>
      <c r="L73" s="324"/>
    </row>
    <row r="74" spans="1:13" s="167" customFormat="1" ht="17.25" customHeight="1">
      <c r="A74" s="380"/>
      <c r="B74" s="380"/>
      <c r="C74" s="366" t="s">
        <v>380</v>
      </c>
      <c r="D74" s="367"/>
      <c r="E74" s="168"/>
      <c r="F74" s="168"/>
      <c r="G74" s="169">
        <f>E73-G73</f>
        <v>0</v>
      </c>
      <c r="H74" s="168"/>
      <c r="I74" s="169">
        <f>H73-I73</f>
        <v>0</v>
      </c>
      <c r="J74" s="165"/>
      <c r="K74" s="166"/>
      <c r="L74" s="324"/>
    </row>
    <row r="75" spans="1:13" s="159" customFormat="1" ht="17.25" customHeight="1">
      <c r="A75" s="380"/>
      <c r="B75" s="380"/>
      <c r="C75" s="368" t="s">
        <v>467</v>
      </c>
      <c r="D75" s="370">
        <v>42217</v>
      </c>
      <c r="E75" s="371"/>
      <c r="F75" s="371">
        <v>428000000</v>
      </c>
      <c r="G75" s="170">
        <v>128400000</v>
      </c>
      <c r="H75" s="371">
        <v>428000000</v>
      </c>
      <c r="I75" s="170">
        <v>128400000</v>
      </c>
      <c r="J75" s="171">
        <v>42236</v>
      </c>
      <c r="K75" s="235" t="s">
        <v>373</v>
      </c>
      <c r="L75" s="327"/>
    </row>
    <row r="76" spans="1:13" s="159" customFormat="1" ht="17.25" customHeight="1">
      <c r="A76" s="380"/>
      <c r="B76" s="380"/>
      <c r="C76" s="369"/>
      <c r="D76" s="369"/>
      <c r="E76" s="372"/>
      <c r="F76" s="372"/>
      <c r="G76" s="157"/>
      <c r="H76" s="372"/>
      <c r="I76" s="157"/>
      <c r="J76" s="172"/>
      <c r="K76" s="235"/>
      <c r="L76" s="327"/>
    </row>
    <row r="77" spans="1:13" s="167" customFormat="1" ht="17.25" customHeight="1">
      <c r="A77" s="380"/>
      <c r="B77" s="380"/>
      <c r="C77" s="366" t="s">
        <v>94</v>
      </c>
      <c r="D77" s="367"/>
      <c r="E77" s="164">
        <f>SUM(E75:E76)</f>
        <v>0</v>
      </c>
      <c r="F77" s="164">
        <f>SUM(F75:F76)</f>
        <v>428000000</v>
      </c>
      <c r="G77" s="164">
        <f>SUM(G75:G76)</f>
        <v>128400000</v>
      </c>
      <c r="H77" s="164">
        <f>SUM(H75:H76)</f>
        <v>428000000</v>
      </c>
      <c r="I77" s="164">
        <f>SUM(I75:I76)</f>
        <v>128400000</v>
      </c>
      <c r="J77" s="165"/>
      <c r="K77" s="166" t="s">
        <v>42</v>
      </c>
      <c r="L77" s="324"/>
    </row>
    <row r="78" spans="1:13" s="167" customFormat="1" ht="17.25" customHeight="1">
      <c r="A78" s="381"/>
      <c r="B78" s="381"/>
      <c r="C78" s="366" t="s">
        <v>380</v>
      </c>
      <c r="D78" s="367"/>
      <c r="E78" s="168"/>
      <c r="F78" s="168"/>
      <c r="G78" s="169">
        <f>E77-G77</f>
        <v>-128400000</v>
      </c>
      <c r="H78" s="168"/>
      <c r="I78" s="169">
        <f>H77-I77</f>
        <v>299600000</v>
      </c>
      <c r="J78" s="165"/>
      <c r="K78" s="166"/>
      <c r="L78" s="324"/>
      <c r="M78" s="323"/>
    </row>
    <row r="79" spans="1:13" ht="17.25" customHeight="1">
      <c r="A79" s="376">
        <v>14</v>
      </c>
      <c r="B79" s="376" t="s">
        <v>85</v>
      </c>
      <c r="C79" s="400" t="s">
        <v>391</v>
      </c>
      <c r="D79" s="401">
        <v>40549</v>
      </c>
      <c r="E79" s="386">
        <v>1000000000</v>
      </c>
      <c r="F79" s="386">
        <v>1150000000</v>
      </c>
      <c r="G79" s="178">
        <f t="shared" ref="G79:G91" si="1">IF(I79&gt;0,I79,0)</f>
        <v>100000000</v>
      </c>
      <c r="H79" s="386">
        <v>1150000000</v>
      </c>
      <c r="I79" s="183">
        <v>100000000</v>
      </c>
      <c r="J79" s="179">
        <v>40570</v>
      </c>
      <c r="K79" s="180" t="s">
        <v>373</v>
      </c>
    </row>
    <row r="80" spans="1:13" ht="17.25" customHeight="1">
      <c r="A80" s="376"/>
      <c r="B80" s="376"/>
      <c r="C80" s="377"/>
      <c r="D80" s="402"/>
      <c r="E80" s="375"/>
      <c r="F80" s="375"/>
      <c r="G80" s="178">
        <f t="shared" si="1"/>
        <v>50000000</v>
      </c>
      <c r="H80" s="375"/>
      <c r="I80" s="178">
        <v>50000000</v>
      </c>
      <c r="J80" s="179">
        <v>40588</v>
      </c>
      <c r="K80" s="180" t="s">
        <v>373</v>
      </c>
    </row>
    <row r="81" spans="1:12" ht="17.25" customHeight="1">
      <c r="A81" s="376"/>
      <c r="B81" s="376"/>
      <c r="C81" s="377"/>
      <c r="D81" s="402"/>
      <c r="E81" s="375"/>
      <c r="F81" s="375"/>
      <c r="G81" s="178">
        <f t="shared" si="1"/>
        <v>100000000</v>
      </c>
      <c r="H81" s="375"/>
      <c r="I81" s="178">
        <v>100000000</v>
      </c>
      <c r="J81" s="179">
        <v>40605</v>
      </c>
      <c r="K81" s="180" t="s">
        <v>373</v>
      </c>
    </row>
    <row r="82" spans="1:12" ht="17.25" customHeight="1">
      <c r="A82" s="376"/>
      <c r="B82" s="376"/>
      <c r="C82" s="377"/>
      <c r="D82" s="402"/>
      <c r="E82" s="375"/>
      <c r="F82" s="375"/>
      <c r="G82" s="178"/>
      <c r="H82" s="375"/>
      <c r="I82" s="178">
        <v>100000000</v>
      </c>
      <c r="J82" s="179">
        <v>40612</v>
      </c>
      <c r="K82" s="180" t="s">
        <v>388</v>
      </c>
    </row>
    <row r="83" spans="1:12" ht="17.25" customHeight="1">
      <c r="A83" s="376"/>
      <c r="B83" s="376"/>
      <c r="C83" s="377"/>
      <c r="D83" s="402"/>
      <c r="E83" s="375"/>
      <c r="F83" s="375"/>
      <c r="G83" s="178">
        <f t="shared" si="1"/>
        <v>200000000</v>
      </c>
      <c r="H83" s="375"/>
      <c r="I83" s="178">
        <v>200000000</v>
      </c>
      <c r="J83" s="179">
        <v>40623</v>
      </c>
      <c r="K83" s="180" t="s">
        <v>373</v>
      </c>
    </row>
    <row r="84" spans="1:12" ht="17.25" customHeight="1">
      <c r="A84" s="376"/>
      <c r="B84" s="376"/>
      <c r="C84" s="377"/>
      <c r="D84" s="402"/>
      <c r="E84" s="375"/>
      <c r="F84" s="375"/>
      <c r="G84" s="178">
        <f t="shared" si="1"/>
        <v>0</v>
      </c>
      <c r="H84" s="375"/>
      <c r="I84" s="178">
        <v>-91500000</v>
      </c>
      <c r="J84" s="179">
        <v>40627</v>
      </c>
      <c r="K84" s="180" t="s">
        <v>392</v>
      </c>
    </row>
    <row r="85" spans="1:12" ht="17.25" customHeight="1">
      <c r="A85" s="376"/>
      <c r="B85" s="376"/>
      <c r="C85" s="377"/>
      <c r="D85" s="402"/>
      <c r="E85" s="375"/>
      <c r="F85" s="375"/>
      <c r="G85" s="178">
        <f t="shared" si="1"/>
        <v>100000000</v>
      </c>
      <c r="H85" s="375"/>
      <c r="I85" s="178">
        <v>100000000</v>
      </c>
      <c r="J85" s="179">
        <v>40630</v>
      </c>
      <c r="K85" s="180" t="s">
        <v>373</v>
      </c>
    </row>
    <row r="86" spans="1:12" ht="17.25" customHeight="1">
      <c r="A86" s="376"/>
      <c r="B86" s="376"/>
      <c r="C86" s="377"/>
      <c r="D86" s="402"/>
      <c r="E86" s="375"/>
      <c r="F86" s="375"/>
      <c r="G86" s="178"/>
      <c r="H86" s="375"/>
      <c r="I86" s="178">
        <v>100000000</v>
      </c>
      <c r="J86" s="179">
        <v>40676</v>
      </c>
      <c r="K86" s="180" t="s">
        <v>388</v>
      </c>
    </row>
    <row r="87" spans="1:12" ht="17.25" customHeight="1">
      <c r="A87" s="376"/>
      <c r="B87" s="376"/>
      <c r="C87" s="377"/>
      <c r="D87" s="402"/>
      <c r="E87" s="375"/>
      <c r="F87" s="375"/>
      <c r="G87" s="178">
        <f t="shared" si="1"/>
        <v>100000000</v>
      </c>
      <c r="H87" s="375"/>
      <c r="I87" s="178">
        <v>100000000</v>
      </c>
      <c r="J87" s="179">
        <v>40686</v>
      </c>
      <c r="K87" s="180" t="s">
        <v>373</v>
      </c>
    </row>
    <row r="88" spans="1:12" s="186" customFormat="1" ht="17.25" customHeight="1">
      <c r="A88" s="376"/>
      <c r="B88" s="376"/>
      <c r="C88" s="377"/>
      <c r="D88" s="402"/>
      <c r="E88" s="375"/>
      <c r="F88" s="375"/>
      <c r="G88" s="178">
        <f t="shared" si="1"/>
        <v>50000000</v>
      </c>
      <c r="H88" s="375"/>
      <c r="I88" s="178">
        <v>50000000</v>
      </c>
      <c r="J88" s="179">
        <v>40690</v>
      </c>
      <c r="K88" s="180" t="s">
        <v>373</v>
      </c>
      <c r="L88" s="328"/>
    </row>
    <row r="89" spans="1:12" s="186" customFormat="1" ht="17.25" customHeight="1">
      <c r="A89" s="376"/>
      <c r="B89" s="376"/>
      <c r="C89" s="377"/>
      <c r="D89" s="402"/>
      <c r="E89" s="375"/>
      <c r="F89" s="375"/>
      <c r="G89" s="178">
        <f t="shared" si="1"/>
        <v>100000000</v>
      </c>
      <c r="H89" s="375"/>
      <c r="I89" s="178">
        <v>100000000</v>
      </c>
      <c r="J89" s="179">
        <v>40724</v>
      </c>
      <c r="K89" s="180" t="s">
        <v>373</v>
      </c>
      <c r="L89" s="328"/>
    </row>
    <row r="90" spans="1:12" s="186" customFormat="1" ht="17.25" customHeight="1">
      <c r="A90" s="376"/>
      <c r="B90" s="376"/>
      <c r="C90" s="377"/>
      <c r="D90" s="402"/>
      <c r="E90" s="375"/>
      <c r="F90" s="375"/>
      <c r="G90" s="178"/>
      <c r="H90" s="375"/>
      <c r="I90" s="178">
        <v>100000000</v>
      </c>
      <c r="J90" s="182">
        <v>40747</v>
      </c>
      <c r="K90" s="184" t="s">
        <v>388</v>
      </c>
      <c r="L90" s="328"/>
    </row>
    <row r="91" spans="1:12" ht="17.25" customHeight="1">
      <c r="A91" s="376"/>
      <c r="B91" s="376"/>
      <c r="C91" s="377"/>
      <c r="D91" s="402"/>
      <c r="E91" s="375"/>
      <c r="F91" s="375"/>
      <c r="G91" s="178">
        <f t="shared" si="1"/>
        <v>50000000</v>
      </c>
      <c r="H91" s="375"/>
      <c r="I91" s="178">
        <v>50000000</v>
      </c>
      <c r="J91" s="182">
        <v>41115</v>
      </c>
      <c r="K91" s="180" t="s">
        <v>373</v>
      </c>
    </row>
    <row r="92" spans="1:12" ht="17.25" customHeight="1">
      <c r="A92" s="376"/>
      <c r="B92" s="376"/>
      <c r="C92" s="377" t="s">
        <v>393</v>
      </c>
      <c r="D92" s="402">
        <v>41860</v>
      </c>
      <c r="E92" s="375">
        <v>7500000000</v>
      </c>
      <c r="F92" s="375">
        <v>10172555140</v>
      </c>
      <c r="G92" s="178">
        <f>IF(I92&gt;0,I92,0)</f>
        <v>800000000</v>
      </c>
      <c r="H92" s="375">
        <v>10172555140</v>
      </c>
      <c r="I92" s="178">
        <v>800000000</v>
      </c>
      <c r="J92" s="182">
        <v>41905</v>
      </c>
      <c r="K92" s="180" t="s">
        <v>373</v>
      </c>
    </row>
    <row r="93" spans="1:12" ht="17.25" customHeight="1">
      <c r="A93" s="376"/>
      <c r="B93" s="376"/>
      <c r="C93" s="377"/>
      <c r="D93" s="402"/>
      <c r="E93" s="375"/>
      <c r="F93" s="375"/>
      <c r="G93" s="178">
        <f t="shared" ref="G93:G103" si="2">IF(I93&gt;0,I93,0)</f>
        <v>1500000000</v>
      </c>
      <c r="H93" s="375"/>
      <c r="I93" s="178">
        <v>1500000000</v>
      </c>
      <c r="J93" s="182">
        <v>41935</v>
      </c>
      <c r="K93" s="180" t="s">
        <v>373</v>
      </c>
    </row>
    <row r="94" spans="1:12" ht="17.25" customHeight="1">
      <c r="A94" s="376"/>
      <c r="B94" s="376"/>
      <c r="C94" s="377"/>
      <c r="D94" s="402"/>
      <c r="E94" s="375"/>
      <c r="F94" s="375"/>
      <c r="G94" s="178">
        <f t="shared" si="2"/>
        <v>1000000000</v>
      </c>
      <c r="H94" s="375"/>
      <c r="I94" s="178">
        <v>1000000000</v>
      </c>
      <c r="J94" s="182">
        <v>41963</v>
      </c>
      <c r="K94" s="180" t="s">
        <v>373</v>
      </c>
    </row>
    <row r="95" spans="1:12" ht="17.25" customHeight="1">
      <c r="A95" s="376"/>
      <c r="B95" s="376"/>
      <c r="C95" s="377"/>
      <c r="D95" s="402"/>
      <c r="E95" s="375"/>
      <c r="F95" s="375"/>
      <c r="G95" s="178">
        <f t="shared" si="2"/>
        <v>1000000000</v>
      </c>
      <c r="H95" s="375"/>
      <c r="I95" s="178">
        <v>1000000000</v>
      </c>
      <c r="J95" s="182">
        <v>41984</v>
      </c>
      <c r="K95" s="180" t="s">
        <v>373</v>
      </c>
    </row>
    <row r="96" spans="1:12" ht="17.25" customHeight="1">
      <c r="A96" s="376"/>
      <c r="B96" s="376"/>
      <c r="C96" s="377"/>
      <c r="D96" s="402"/>
      <c r="E96" s="375"/>
      <c r="F96" s="375"/>
      <c r="G96" s="178">
        <f t="shared" si="2"/>
        <v>700000000</v>
      </c>
      <c r="H96" s="375"/>
      <c r="I96" s="178">
        <v>700000000</v>
      </c>
      <c r="J96" s="182">
        <v>42034</v>
      </c>
      <c r="K96" s="180" t="s">
        <v>373</v>
      </c>
      <c r="L96" s="205" t="s">
        <v>394</v>
      </c>
    </row>
    <row r="97" spans="1:12" ht="17.25" customHeight="1">
      <c r="A97" s="376"/>
      <c r="B97" s="376"/>
      <c r="C97" s="377"/>
      <c r="D97" s="402"/>
      <c r="E97" s="375"/>
      <c r="F97" s="375"/>
      <c r="G97" s="178">
        <f t="shared" si="2"/>
        <v>500000000</v>
      </c>
      <c r="H97" s="375"/>
      <c r="I97" s="178">
        <v>500000000</v>
      </c>
      <c r="J97" s="182">
        <v>42096</v>
      </c>
      <c r="K97" s="180" t="s">
        <v>373</v>
      </c>
    </row>
    <row r="98" spans="1:12" ht="17.25" customHeight="1">
      <c r="A98" s="376"/>
      <c r="B98" s="376"/>
      <c r="C98" s="377"/>
      <c r="D98" s="402"/>
      <c r="E98" s="375"/>
      <c r="F98" s="375"/>
      <c r="G98" s="178">
        <f t="shared" si="2"/>
        <v>500000000</v>
      </c>
      <c r="H98" s="375"/>
      <c r="I98" s="178">
        <v>500000000</v>
      </c>
      <c r="J98" s="182">
        <v>42116</v>
      </c>
      <c r="K98" s="180" t="s">
        <v>373</v>
      </c>
    </row>
    <row r="99" spans="1:12" ht="17.25" customHeight="1">
      <c r="A99" s="376"/>
      <c r="B99" s="376"/>
      <c r="C99" s="377"/>
      <c r="D99" s="402"/>
      <c r="E99" s="375"/>
      <c r="F99" s="375"/>
      <c r="G99" s="178">
        <f t="shared" si="2"/>
        <v>500000000</v>
      </c>
      <c r="H99" s="375"/>
      <c r="I99" s="178">
        <v>500000000</v>
      </c>
      <c r="J99" s="182">
        <v>42138</v>
      </c>
      <c r="K99" s="180" t="s">
        <v>373</v>
      </c>
    </row>
    <row r="100" spans="1:12" ht="17.25" customHeight="1">
      <c r="A100" s="376"/>
      <c r="B100" s="376"/>
      <c r="C100" s="377"/>
      <c r="D100" s="402"/>
      <c r="E100" s="375"/>
      <c r="F100" s="375"/>
      <c r="G100" s="178">
        <f t="shared" si="2"/>
        <v>1000000000</v>
      </c>
      <c r="H100" s="375"/>
      <c r="I100" s="144">
        <v>1000000000</v>
      </c>
      <c r="J100" s="182">
        <v>42187</v>
      </c>
      <c r="K100" s="180" t="s">
        <v>373</v>
      </c>
    </row>
    <row r="101" spans="1:12" ht="17.25" customHeight="1">
      <c r="A101" s="376"/>
      <c r="B101" s="376"/>
      <c r="C101" s="388"/>
      <c r="D101" s="404"/>
      <c r="E101" s="382"/>
      <c r="F101" s="382"/>
      <c r="G101" s="178">
        <f t="shared" si="2"/>
        <v>300000000</v>
      </c>
      <c r="H101" s="382"/>
      <c r="I101" s="231">
        <v>300000000</v>
      </c>
      <c r="J101" s="227">
        <v>42209</v>
      </c>
      <c r="K101" s="230" t="s">
        <v>373</v>
      </c>
    </row>
    <row r="102" spans="1:12" ht="17.25" customHeight="1">
      <c r="A102" s="376"/>
      <c r="B102" s="376"/>
      <c r="C102" s="388"/>
      <c r="D102" s="404"/>
      <c r="E102" s="382"/>
      <c r="F102" s="382"/>
      <c r="G102" s="178">
        <f t="shared" si="2"/>
        <v>0</v>
      </c>
      <c r="H102" s="382"/>
      <c r="I102" s="234"/>
      <c r="J102" s="236"/>
      <c r="K102" s="238"/>
    </row>
    <row r="103" spans="1:12" ht="17.25" customHeight="1">
      <c r="A103" s="376"/>
      <c r="B103" s="376"/>
      <c r="C103" s="403"/>
      <c r="D103" s="405"/>
      <c r="E103" s="387"/>
      <c r="F103" s="387"/>
      <c r="G103" s="178">
        <f t="shared" si="2"/>
        <v>0</v>
      </c>
      <c r="H103" s="387"/>
      <c r="I103" s="144"/>
      <c r="J103" s="182"/>
      <c r="K103" s="180"/>
    </row>
    <row r="104" spans="1:12" s="167" customFormat="1" ht="18" customHeight="1">
      <c r="A104" s="376"/>
      <c r="B104" s="376"/>
      <c r="C104" s="366" t="s">
        <v>94</v>
      </c>
      <c r="D104" s="367"/>
      <c r="E104" s="164">
        <f>SUM(E79:E103)</f>
        <v>8500000000</v>
      </c>
      <c r="F104" s="164">
        <f>SUM(F79:F103)</f>
        <v>11322555140</v>
      </c>
      <c r="G104" s="164">
        <f>SUM(G79:G103)</f>
        <v>8650000000</v>
      </c>
      <c r="H104" s="164">
        <f>SUM(H79:H103)</f>
        <v>11322555140</v>
      </c>
      <c r="I104" s="164">
        <f>SUM(I79:I103)</f>
        <v>8858500000</v>
      </c>
      <c r="J104" s="165"/>
      <c r="K104" s="166" t="s">
        <v>42</v>
      </c>
      <c r="L104" s="324"/>
    </row>
    <row r="105" spans="1:12" s="167" customFormat="1" ht="18" customHeight="1">
      <c r="A105" s="376"/>
      <c r="B105" s="376"/>
      <c r="C105" s="366" t="s">
        <v>380</v>
      </c>
      <c r="D105" s="367"/>
      <c r="E105" s="168"/>
      <c r="F105" s="168"/>
      <c r="G105" s="169">
        <f>E104-G104</f>
        <v>-150000000</v>
      </c>
      <c r="H105" s="168"/>
      <c r="I105" s="169">
        <f>H104-I104</f>
        <v>2464055140</v>
      </c>
      <c r="J105" s="165"/>
      <c r="K105" s="166"/>
      <c r="L105" s="324"/>
    </row>
    <row r="106" spans="1:12" ht="17.25" customHeight="1">
      <c r="A106" s="376">
        <v>15</v>
      </c>
      <c r="B106" s="376" t="s">
        <v>109</v>
      </c>
      <c r="C106" s="377" t="s">
        <v>390</v>
      </c>
      <c r="D106" s="378">
        <v>41353</v>
      </c>
      <c r="E106" s="375"/>
      <c r="F106" s="375">
        <v>200000000</v>
      </c>
      <c r="G106" s="178">
        <f>IF(I106&gt;0,I106,0)</f>
        <v>50000000</v>
      </c>
      <c r="H106" s="375">
        <v>200000000</v>
      </c>
      <c r="I106" s="183">
        <v>50000000</v>
      </c>
      <c r="J106" s="179">
        <v>41871</v>
      </c>
      <c r="K106" s="180" t="s">
        <v>373</v>
      </c>
    </row>
    <row r="107" spans="1:12" ht="17.25" customHeight="1">
      <c r="A107" s="376"/>
      <c r="B107" s="376"/>
      <c r="C107" s="377"/>
      <c r="D107" s="378"/>
      <c r="E107" s="375"/>
      <c r="F107" s="375"/>
      <c r="G107" s="178">
        <f t="shared" ref="G107:G109" si="3">IF(I107&gt;0,I107,0)</f>
        <v>50000000</v>
      </c>
      <c r="H107" s="375"/>
      <c r="I107" s="183">
        <v>50000000</v>
      </c>
      <c r="J107" s="182">
        <v>42034</v>
      </c>
      <c r="K107" s="180" t="s">
        <v>373</v>
      </c>
    </row>
    <row r="108" spans="1:12" ht="17.25" customHeight="1">
      <c r="A108" s="376"/>
      <c r="B108" s="376"/>
      <c r="C108" s="377"/>
      <c r="D108" s="378"/>
      <c r="E108" s="375"/>
      <c r="F108" s="375"/>
      <c r="G108" s="178">
        <f t="shared" si="3"/>
        <v>50000000</v>
      </c>
      <c r="H108" s="375"/>
      <c r="I108" s="183">
        <v>50000000</v>
      </c>
      <c r="J108" s="182">
        <v>42144</v>
      </c>
      <c r="K108" s="180" t="s">
        <v>373</v>
      </c>
    </row>
    <row r="109" spans="1:12" ht="17.25" customHeight="1">
      <c r="A109" s="376"/>
      <c r="B109" s="376"/>
      <c r="C109" s="377"/>
      <c r="D109" s="378"/>
      <c r="E109" s="375"/>
      <c r="F109" s="375"/>
      <c r="G109" s="178">
        <f t="shared" si="3"/>
        <v>0</v>
      </c>
      <c r="H109" s="375"/>
      <c r="I109" s="157"/>
      <c r="J109" s="189"/>
      <c r="K109" s="190"/>
    </row>
    <row r="110" spans="1:12" s="167" customFormat="1" ht="18" customHeight="1">
      <c r="A110" s="376"/>
      <c r="B110" s="376"/>
      <c r="C110" s="366" t="s">
        <v>94</v>
      </c>
      <c r="D110" s="367"/>
      <c r="E110" s="164">
        <f>SUM(E106:E109)</f>
        <v>0</v>
      </c>
      <c r="F110" s="164">
        <f>SUM(F106:F109)</f>
        <v>200000000</v>
      </c>
      <c r="G110" s="164">
        <f>SUM(G106:G109)</f>
        <v>150000000</v>
      </c>
      <c r="H110" s="164">
        <f>SUM(H106:H109)</f>
        <v>200000000</v>
      </c>
      <c r="I110" s="164">
        <f>SUM(I106:I109)</f>
        <v>150000000</v>
      </c>
      <c r="J110" s="165"/>
      <c r="K110" s="166" t="s">
        <v>42</v>
      </c>
      <c r="L110" s="324"/>
    </row>
    <row r="111" spans="1:12" s="167" customFormat="1" ht="18" customHeight="1">
      <c r="A111" s="376"/>
      <c r="B111" s="376"/>
      <c r="C111" s="366" t="s">
        <v>380</v>
      </c>
      <c r="D111" s="367"/>
      <c r="E111" s="168"/>
      <c r="F111" s="168"/>
      <c r="G111" s="169">
        <f>E110-G110</f>
        <v>-150000000</v>
      </c>
      <c r="H111" s="168"/>
      <c r="I111" s="169">
        <f>H110-I110</f>
        <v>50000000</v>
      </c>
      <c r="J111" s="165"/>
      <c r="K111" s="166"/>
      <c r="L111" s="324"/>
    </row>
    <row r="112" spans="1:12" ht="17.25" customHeight="1">
      <c r="A112" s="376">
        <v>16</v>
      </c>
      <c r="B112" s="376" t="s">
        <v>111</v>
      </c>
      <c r="C112" s="388" t="s">
        <v>395</v>
      </c>
      <c r="D112" s="390">
        <v>41871</v>
      </c>
      <c r="E112" s="382">
        <v>2200000000</v>
      </c>
      <c r="F112" s="382">
        <f>2508700000</f>
        <v>2508700000</v>
      </c>
      <c r="G112" s="178">
        <f>IF(I112&gt;0,I112,0)</f>
        <v>752610000</v>
      </c>
      <c r="H112" s="382">
        <v>1858000000</v>
      </c>
      <c r="I112" s="178">
        <v>752610000</v>
      </c>
      <c r="J112" s="179">
        <v>41905</v>
      </c>
      <c r="K112" s="180" t="s">
        <v>373</v>
      </c>
    </row>
    <row r="113" spans="1:12" s="186" customFormat="1" ht="17.25" customHeight="1">
      <c r="A113" s="376"/>
      <c r="B113" s="376"/>
      <c r="C113" s="389"/>
      <c r="D113" s="389"/>
      <c r="E113" s="383"/>
      <c r="F113" s="383"/>
      <c r="G113" s="178">
        <f t="shared" ref="G113:G123" si="4">IF(I113&gt;0,I113,0)</f>
        <v>0</v>
      </c>
      <c r="H113" s="383"/>
      <c r="I113" s="191">
        <v>-200000000</v>
      </c>
      <c r="J113" s="192">
        <v>41907</v>
      </c>
      <c r="K113" s="193" t="s">
        <v>392</v>
      </c>
      <c r="L113" s="328"/>
    </row>
    <row r="114" spans="1:12" ht="17.25" customHeight="1">
      <c r="A114" s="376"/>
      <c r="B114" s="376"/>
      <c r="C114" s="389"/>
      <c r="D114" s="389"/>
      <c r="E114" s="383"/>
      <c r="F114" s="383"/>
      <c r="G114" s="178">
        <f t="shared" si="4"/>
        <v>500000000</v>
      </c>
      <c r="H114" s="383"/>
      <c r="I114" s="178">
        <v>500000000</v>
      </c>
      <c r="J114" s="179">
        <v>41942</v>
      </c>
      <c r="K114" s="180" t="s">
        <v>373</v>
      </c>
    </row>
    <row r="115" spans="1:12" ht="17.25" customHeight="1">
      <c r="A115" s="376"/>
      <c r="B115" s="376"/>
      <c r="C115" s="389"/>
      <c r="D115" s="389"/>
      <c r="E115" s="383"/>
      <c r="F115" s="383"/>
      <c r="G115" s="178">
        <f t="shared" si="4"/>
        <v>0</v>
      </c>
      <c r="H115" s="383"/>
      <c r="I115" s="191">
        <v>-100000000</v>
      </c>
      <c r="J115" s="192">
        <v>41951</v>
      </c>
      <c r="K115" s="193" t="s">
        <v>392</v>
      </c>
    </row>
    <row r="116" spans="1:12" ht="17.25" customHeight="1">
      <c r="A116" s="376"/>
      <c r="B116" s="376"/>
      <c r="C116" s="389"/>
      <c r="D116" s="389"/>
      <c r="E116" s="383"/>
      <c r="F116" s="383"/>
      <c r="G116" s="178">
        <f t="shared" si="4"/>
        <v>500000000</v>
      </c>
      <c r="H116" s="383"/>
      <c r="I116" s="178">
        <v>500000000</v>
      </c>
      <c r="J116" s="179">
        <v>42010</v>
      </c>
      <c r="K116" s="180" t="s">
        <v>373</v>
      </c>
    </row>
    <row r="117" spans="1:12" ht="17.25" customHeight="1">
      <c r="A117" s="376"/>
      <c r="B117" s="376"/>
      <c r="C117" s="389" t="s">
        <v>396</v>
      </c>
      <c r="D117" s="398">
        <v>42139</v>
      </c>
      <c r="E117" s="399"/>
      <c r="F117" s="399">
        <f>184000000+317400000</f>
        <v>501400000</v>
      </c>
      <c r="G117" s="178">
        <f t="shared" si="4"/>
        <v>0</v>
      </c>
      <c r="H117" s="383">
        <f>139900000+250800000</f>
        <v>390700000</v>
      </c>
      <c r="I117" s="191">
        <v>-100000000</v>
      </c>
      <c r="J117" s="192">
        <v>42017</v>
      </c>
      <c r="K117" s="193" t="s">
        <v>392</v>
      </c>
    </row>
    <row r="118" spans="1:12" ht="17.25" customHeight="1">
      <c r="A118" s="376"/>
      <c r="B118" s="376"/>
      <c r="C118" s="389"/>
      <c r="D118" s="398"/>
      <c r="E118" s="399"/>
      <c r="F118" s="399"/>
      <c r="G118" s="178">
        <f t="shared" si="4"/>
        <v>251000000</v>
      </c>
      <c r="H118" s="383"/>
      <c r="I118" s="178">
        <v>251000000</v>
      </c>
      <c r="J118" s="179">
        <v>42094</v>
      </c>
      <c r="K118" s="180" t="s">
        <v>373</v>
      </c>
    </row>
    <row r="119" spans="1:12" ht="17.25" customHeight="1">
      <c r="A119" s="376"/>
      <c r="B119" s="376"/>
      <c r="C119" s="389"/>
      <c r="D119" s="398"/>
      <c r="E119" s="399"/>
      <c r="F119" s="399"/>
      <c r="G119" s="178">
        <f t="shared" si="4"/>
        <v>200000000</v>
      </c>
      <c r="H119" s="383"/>
      <c r="I119" s="178">
        <v>200000000</v>
      </c>
      <c r="J119" s="179">
        <v>42170</v>
      </c>
      <c r="K119" s="180" t="s">
        <v>373</v>
      </c>
    </row>
    <row r="120" spans="1:12" ht="17.25" customHeight="1">
      <c r="A120" s="376"/>
      <c r="B120" s="376"/>
      <c r="C120" s="389"/>
      <c r="D120" s="398"/>
      <c r="E120" s="399"/>
      <c r="F120" s="399"/>
      <c r="G120" s="178">
        <f t="shared" si="4"/>
        <v>400000000</v>
      </c>
      <c r="H120" s="383"/>
      <c r="I120" s="178">
        <v>400000000</v>
      </c>
      <c r="J120" s="179">
        <v>42199</v>
      </c>
      <c r="K120" s="180" t="s">
        <v>373</v>
      </c>
    </row>
    <row r="121" spans="1:12" ht="17.25" customHeight="1">
      <c r="A121" s="376"/>
      <c r="B121" s="376"/>
      <c r="C121" s="389"/>
      <c r="D121" s="398"/>
      <c r="E121" s="399"/>
      <c r="F121" s="399"/>
      <c r="G121" s="178">
        <f t="shared" si="4"/>
        <v>0</v>
      </c>
      <c r="H121" s="383"/>
      <c r="I121" s="191">
        <v>-200000000</v>
      </c>
      <c r="J121" s="179">
        <v>42202</v>
      </c>
      <c r="K121" s="193" t="s">
        <v>392</v>
      </c>
    </row>
    <row r="122" spans="1:12" ht="17.25" customHeight="1">
      <c r="A122" s="376"/>
      <c r="B122" s="376"/>
      <c r="C122" s="389"/>
      <c r="D122" s="398"/>
      <c r="E122" s="399"/>
      <c r="F122" s="399"/>
      <c r="G122" s="178">
        <f t="shared" si="4"/>
        <v>0</v>
      </c>
      <c r="H122" s="383"/>
      <c r="I122" s="157"/>
      <c r="J122" s="179"/>
      <c r="K122" s="180"/>
    </row>
    <row r="123" spans="1:12" ht="17.25" customHeight="1">
      <c r="A123" s="376"/>
      <c r="B123" s="376"/>
      <c r="C123" s="389"/>
      <c r="D123" s="398"/>
      <c r="E123" s="399"/>
      <c r="F123" s="399"/>
      <c r="G123" s="178">
        <f t="shared" si="4"/>
        <v>0</v>
      </c>
      <c r="H123" s="383"/>
      <c r="I123" s="157"/>
      <c r="J123" s="194"/>
      <c r="K123" s="195"/>
    </row>
    <row r="124" spans="1:12" s="167" customFormat="1" ht="18" customHeight="1">
      <c r="A124" s="376"/>
      <c r="B124" s="376"/>
      <c r="C124" s="366" t="s">
        <v>94</v>
      </c>
      <c r="D124" s="367"/>
      <c r="E124" s="164">
        <f>SUM(E112:E123)</f>
        <v>2200000000</v>
      </c>
      <c r="F124" s="164">
        <f>SUM(F112:F123)</f>
        <v>3010100000</v>
      </c>
      <c r="G124" s="164">
        <f>SUM(G112:G123)</f>
        <v>2603610000</v>
      </c>
      <c r="H124" s="164">
        <f>SUM(H112:H123)</f>
        <v>2248700000</v>
      </c>
      <c r="I124" s="164">
        <f>SUM(I112:I123)</f>
        <v>2003610000</v>
      </c>
      <c r="J124" s="165"/>
      <c r="K124" s="166" t="s">
        <v>42</v>
      </c>
      <c r="L124" s="324"/>
    </row>
    <row r="125" spans="1:12" s="167" customFormat="1" ht="18" customHeight="1">
      <c r="A125" s="376"/>
      <c r="B125" s="376"/>
      <c r="C125" s="366" t="s">
        <v>380</v>
      </c>
      <c r="D125" s="367"/>
      <c r="E125" s="168"/>
      <c r="F125" s="168"/>
      <c r="G125" s="169">
        <f>E124-G124</f>
        <v>-403610000</v>
      </c>
      <c r="H125" s="168"/>
      <c r="I125" s="169">
        <f>H124-I124</f>
        <v>245090000</v>
      </c>
      <c r="J125" s="165"/>
      <c r="K125" s="166"/>
      <c r="L125" s="324"/>
    </row>
    <row r="126" spans="1:12" ht="17.25" customHeight="1">
      <c r="A126" s="376">
        <v>17</v>
      </c>
      <c r="B126" s="376" t="s">
        <v>138</v>
      </c>
      <c r="C126" s="377" t="s">
        <v>397</v>
      </c>
      <c r="D126" s="378">
        <v>42014</v>
      </c>
      <c r="E126" s="375">
        <f>2200000000</f>
        <v>2200000000</v>
      </c>
      <c r="F126" s="375">
        <v>3500000000</v>
      </c>
      <c r="G126" s="178">
        <f>IF(I126&gt;0,I126,0)</f>
        <v>600000000</v>
      </c>
      <c r="H126" s="375">
        <v>2910000000</v>
      </c>
      <c r="I126" s="183">
        <v>600000000</v>
      </c>
      <c r="J126" s="179">
        <v>42034</v>
      </c>
      <c r="K126" s="180" t="s">
        <v>373</v>
      </c>
    </row>
    <row r="127" spans="1:12" ht="17.25" customHeight="1">
      <c r="A127" s="376"/>
      <c r="B127" s="376"/>
      <c r="C127" s="377"/>
      <c r="D127" s="377"/>
      <c r="E127" s="375"/>
      <c r="F127" s="375"/>
      <c r="G127" s="178">
        <f t="shared" ref="G127:G134" si="5">IF(I127&gt;0,I127,0)</f>
        <v>600000000</v>
      </c>
      <c r="H127" s="375"/>
      <c r="I127" s="183">
        <v>600000000</v>
      </c>
      <c r="J127" s="182">
        <v>42088</v>
      </c>
      <c r="K127" s="180" t="s">
        <v>373</v>
      </c>
    </row>
    <row r="128" spans="1:12" ht="17.25" customHeight="1">
      <c r="A128" s="376"/>
      <c r="B128" s="376"/>
      <c r="C128" s="377"/>
      <c r="D128" s="377"/>
      <c r="E128" s="375"/>
      <c r="F128" s="375"/>
      <c r="G128" s="178">
        <f t="shared" si="5"/>
        <v>500000000</v>
      </c>
      <c r="H128" s="375"/>
      <c r="I128" s="178">
        <v>500000000</v>
      </c>
      <c r="J128" s="182">
        <v>42131</v>
      </c>
      <c r="K128" s="180" t="s">
        <v>373</v>
      </c>
    </row>
    <row r="129" spans="1:12" ht="17.25" customHeight="1">
      <c r="A129" s="376"/>
      <c r="B129" s="376"/>
      <c r="C129" s="377"/>
      <c r="D129" s="377"/>
      <c r="E129" s="375"/>
      <c r="F129" s="375"/>
      <c r="G129" s="178">
        <f t="shared" si="5"/>
        <v>500000000</v>
      </c>
      <c r="H129" s="375"/>
      <c r="I129" s="178">
        <v>500000000</v>
      </c>
      <c r="J129" s="182">
        <v>42142</v>
      </c>
      <c r="K129" s="180" t="s">
        <v>373</v>
      </c>
    </row>
    <row r="130" spans="1:12" ht="17.25" customHeight="1">
      <c r="A130" s="376"/>
      <c r="B130" s="376"/>
      <c r="C130" s="377"/>
      <c r="D130" s="377"/>
      <c r="E130" s="375"/>
      <c r="F130" s="375"/>
      <c r="G130" s="178">
        <f t="shared" si="5"/>
        <v>0</v>
      </c>
      <c r="H130" s="375"/>
      <c r="I130" s="191">
        <v>-500000000</v>
      </c>
      <c r="J130" s="192">
        <v>42144</v>
      </c>
      <c r="K130" s="193" t="s">
        <v>392</v>
      </c>
    </row>
    <row r="131" spans="1:12" ht="17.25" customHeight="1">
      <c r="A131" s="376"/>
      <c r="B131" s="376"/>
      <c r="C131" s="377"/>
      <c r="D131" s="377"/>
      <c r="E131" s="375"/>
      <c r="F131" s="375"/>
      <c r="G131" s="178">
        <f t="shared" si="5"/>
        <v>500000000</v>
      </c>
      <c r="H131" s="375"/>
      <c r="I131" s="178">
        <v>500000000</v>
      </c>
      <c r="J131" s="182">
        <v>42164</v>
      </c>
      <c r="K131" s="180" t="s">
        <v>373</v>
      </c>
    </row>
    <row r="132" spans="1:12" ht="17.25" customHeight="1">
      <c r="A132" s="376"/>
      <c r="B132" s="376"/>
      <c r="C132" s="377"/>
      <c r="D132" s="377"/>
      <c r="E132" s="375"/>
      <c r="F132" s="375"/>
      <c r="G132" s="178">
        <f t="shared" si="5"/>
        <v>500000000</v>
      </c>
      <c r="H132" s="375"/>
      <c r="I132" s="178">
        <v>500000000</v>
      </c>
      <c r="J132" s="182">
        <v>42199</v>
      </c>
      <c r="K132" s="180" t="s">
        <v>373</v>
      </c>
    </row>
    <row r="133" spans="1:12" ht="17.25" customHeight="1">
      <c r="A133" s="376"/>
      <c r="B133" s="376"/>
      <c r="C133" s="377"/>
      <c r="D133" s="377"/>
      <c r="E133" s="375"/>
      <c r="F133" s="375"/>
      <c r="G133" s="178">
        <f t="shared" si="5"/>
        <v>0</v>
      </c>
      <c r="H133" s="375"/>
      <c r="I133" s="178">
        <v>-200000000</v>
      </c>
      <c r="J133" s="182">
        <v>42205</v>
      </c>
      <c r="K133" s="193" t="s">
        <v>392</v>
      </c>
    </row>
    <row r="134" spans="1:12" ht="17.25" customHeight="1">
      <c r="A134" s="376"/>
      <c r="B134" s="376"/>
      <c r="C134" s="377"/>
      <c r="D134" s="377"/>
      <c r="E134" s="375"/>
      <c r="F134" s="375"/>
      <c r="G134" s="178">
        <f t="shared" si="5"/>
        <v>0</v>
      </c>
      <c r="H134" s="375"/>
      <c r="I134" s="157"/>
      <c r="J134" s="182"/>
      <c r="K134" s="180"/>
    </row>
    <row r="135" spans="1:12" s="167" customFormat="1" ht="18" customHeight="1">
      <c r="A135" s="376"/>
      <c r="B135" s="376"/>
      <c r="C135" s="366" t="s">
        <v>94</v>
      </c>
      <c r="D135" s="367"/>
      <c r="E135" s="164">
        <f>SUM(E126:E134)</f>
        <v>2200000000</v>
      </c>
      <c r="F135" s="164">
        <f>SUM(F126:F134)</f>
        <v>3500000000</v>
      </c>
      <c r="G135" s="164">
        <f>SUM(G126:G134)</f>
        <v>3200000000</v>
      </c>
      <c r="H135" s="164">
        <f>SUM(H126:H134)</f>
        <v>2910000000</v>
      </c>
      <c r="I135" s="164">
        <f>SUM(I126:I134)</f>
        <v>2500000000</v>
      </c>
      <c r="J135" s="165"/>
      <c r="K135" s="166" t="s">
        <v>42</v>
      </c>
      <c r="L135" s="324"/>
    </row>
    <row r="136" spans="1:12" s="167" customFormat="1" ht="18" customHeight="1">
      <c r="A136" s="376"/>
      <c r="B136" s="376"/>
      <c r="C136" s="366" t="s">
        <v>380</v>
      </c>
      <c r="D136" s="367"/>
      <c r="E136" s="168"/>
      <c r="F136" s="168"/>
      <c r="G136" s="169">
        <f>E135-G135</f>
        <v>-1000000000</v>
      </c>
      <c r="H136" s="168"/>
      <c r="I136" s="169">
        <f>H135-I135</f>
        <v>410000000</v>
      </c>
      <c r="J136" s="165"/>
      <c r="K136" s="166"/>
      <c r="L136" s="324"/>
    </row>
    <row r="137" spans="1:12" ht="17.25" customHeight="1">
      <c r="A137" s="376">
        <v>18</v>
      </c>
      <c r="B137" s="376" t="s">
        <v>150</v>
      </c>
      <c r="C137" s="377" t="s">
        <v>398</v>
      </c>
      <c r="D137" s="378">
        <v>42088</v>
      </c>
      <c r="E137" s="375"/>
      <c r="F137" s="375">
        <v>1858997690</v>
      </c>
      <c r="G137" s="183">
        <v>360000000</v>
      </c>
      <c r="H137" s="375">
        <v>1300000000</v>
      </c>
      <c r="I137" s="183">
        <v>360000000</v>
      </c>
      <c r="J137" s="179">
        <v>42094</v>
      </c>
      <c r="K137" s="180" t="s">
        <v>373</v>
      </c>
    </row>
    <row r="138" spans="1:12" ht="17.25" customHeight="1">
      <c r="A138" s="376"/>
      <c r="B138" s="376"/>
      <c r="C138" s="377"/>
      <c r="D138" s="377"/>
      <c r="E138" s="375"/>
      <c r="F138" s="375"/>
      <c r="G138" s="144"/>
      <c r="H138" s="375"/>
      <c r="I138" s="157"/>
      <c r="J138" s="182"/>
      <c r="K138" s="180"/>
    </row>
    <row r="139" spans="1:12" s="167" customFormat="1" ht="18" customHeight="1">
      <c r="A139" s="376"/>
      <c r="B139" s="376"/>
      <c r="C139" s="366" t="s">
        <v>94</v>
      </c>
      <c r="D139" s="367"/>
      <c r="E139" s="164">
        <f>SUM(E137:E138)</f>
        <v>0</v>
      </c>
      <c r="F139" s="164">
        <f>SUM(F137:F138)</f>
        <v>1858997690</v>
      </c>
      <c r="G139" s="164">
        <f>SUM(G137:G138)</f>
        <v>360000000</v>
      </c>
      <c r="H139" s="164">
        <f>SUM(H137:H138)</f>
        <v>1300000000</v>
      </c>
      <c r="I139" s="164">
        <f>SUM(I137:I138)</f>
        <v>360000000</v>
      </c>
      <c r="J139" s="165"/>
      <c r="K139" s="166" t="s">
        <v>42</v>
      </c>
      <c r="L139" s="324"/>
    </row>
    <row r="140" spans="1:12" s="167" customFormat="1" ht="18" customHeight="1">
      <c r="A140" s="376"/>
      <c r="B140" s="376"/>
      <c r="C140" s="366" t="s">
        <v>380</v>
      </c>
      <c r="D140" s="367"/>
      <c r="E140" s="168"/>
      <c r="F140" s="168"/>
      <c r="G140" s="169">
        <f>E139-G139</f>
        <v>-360000000</v>
      </c>
      <c r="H140" s="168"/>
      <c r="I140" s="169">
        <f>H139-I139</f>
        <v>940000000</v>
      </c>
      <c r="J140" s="165"/>
      <c r="K140" s="166"/>
      <c r="L140" s="324"/>
    </row>
    <row r="141" spans="1:12" ht="17.25" customHeight="1">
      <c r="A141" s="376">
        <v>19</v>
      </c>
      <c r="B141" s="376" t="s">
        <v>151</v>
      </c>
      <c r="C141" s="377"/>
      <c r="D141" s="378">
        <v>42094</v>
      </c>
      <c r="E141" s="375"/>
      <c r="F141" s="375">
        <v>650650000</v>
      </c>
      <c r="G141" s="178">
        <v>195195000</v>
      </c>
      <c r="H141" s="375">
        <v>485650000</v>
      </c>
      <c r="I141" s="178">
        <v>195195000</v>
      </c>
      <c r="J141" s="182">
        <v>42103</v>
      </c>
      <c r="K141" s="180" t="s">
        <v>373</v>
      </c>
    </row>
    <row r="142" spans="1:12" ht="17.25" customHeight="1">
      <c r="A142" s="376"/>
      <c r="B142" s="376"/>
      <c r="C142" s="377"/>
      <c r="D142" s="378"/>
      <c r="E142" s="375"/>
      <c r="F142" s="375"/>
      <c r="G142" s="178">
        <v>140000000</v>
      </c>
      <c r="H142" s="375"/>
      <c r="I142" s="178">
        <v>140000000</v>
      </c>
      <c r="J142" s="182">
        <v>42170</v>
      </c>
      <c r="K142" s="180" t="s">
        <v>373</v>
      </c>
    </row>
    <row r="143" spans="1:12" ht="16.5" customHeight="1">
      <c r="A143" s="376"/>
      <c r="B143" s="376"/>
      <c r="C143" s="377"/>
      <c r="D143" s="378"/>
      <c r="E143" s="375"/>
      <c r="F143" s="375"/>
      <c r="G143" s="144"/>
      <c r="H143" s="375"/>
      <c r="I143" s="157"/>
      <c r="J143" s="182"/>
      <c r="K143" s="196"/>
    </row>
    <row r="144" spans="1:12" s="167" customFormat="1" ht="18" customHeight="1">
      <c r="A144" s="376"/>
      <c r="B144" s="376"/>
      <c r="C144" s="366" t="s">
        <v>94</v>
      </c>
      <c r="D144" s="367"/>
      <c r="E144" s="164">
        <f>SUM(E141:E143)</f>
        <v>0</v>
      </c>
      <c r="F144" s="164">
        <f>SUM(F141:F143)</f>
        <v>650650000</v>
      </c>
      <c r="G144" s="164">
        <f>SUM(G141:G143)</f>
        <v>335195000</v>
      </c>
      <c r="H144" s="164">
        <f>SUM(H141:H143)</f>
        <v>485650000</v>
      </c>
      <c r="I144" s="164">
        <f>SUM(I141:I143)</f>
        <v>335195000</v>
      </c>
      <c r="J144" s="165"/>
      <c r="K144" s="166" t="s">
        <v>42</v>
      </c>
      <c r="L144" s="324"/>
    </row>
    <row r="145" spans="1:12" s="167" customFormat="1" ht="18" customHeight="1">
      <c r="A145" s="376"/>
      <c r="B145" s="376"/>
      <c r="C145" s="366" t="s">
        <v>380</v>
      </c>
      <c r="D145" s="367"/>
      <c r="E145" s="168"/>
      <c r="F145" s="168"/>
      <c r="G145" s="169">
        <f>E144-G144</f>
        <v>-335195000</v>
      </c>
      <c r="H145" s="168"/>
      <c r="I145" s="169">
        <f>H144-I144</f>
        <v>150455000</v>
      </c>
      <c r="J145" s="165"/>
      <c r="K145" s="166"/>
      <c r="L145" s="324"/>
    </row>
    <row r="146" spans="1:12" ht="16.5" customHeight="1">
      <c r="A146" s="376">
        <v>20</v>
      </c>
      <c r="B146" s="376" t="s">
        <v>401</v>
      </c>
      <c r="C146" s="377" t="s">
        <v>402</v>
      </c>
      <c r="D146" s="378">
        <v>42118</v>
      </c>
      <c r="E146" s="375">
        <v>255297700</v>
      </c>
      <c r="F146" s="375">
        <v>255297700</v>
      </c>
      <c r="G146" s="178">
        <v>100000000</v>
      </c>
      <c r="H146" s="375">
        <v>255297700</v>
      </c>
      <c r="I146" s="178">
        <v>100000000</v>
      </c>
      <c r="J146" s="182">
        <v>42131</v>
      </c>
      <c r="K146" s="180" t="s">
        <v>373</v>
      </c>
    </row>
    <row r="147" spans="1:12" ht="16.5" customHeight="1">
      <c r="A147" s="376"/>
      <c r="B147" s="376"/>
      <c r="C147" s="377"/>
      <c r="D147" s="378"/>
      <c r="E147" s="375"/>
      <c r="F147" s="375"/>
      <c r="G147" s="178">
        <v>100000000</v>
      </c>
      <c r="H147" s="375"/>
      <c r="I147" s="178">
        <v>100000000</v>
      </c>
      <c r="J147" s="182">
        <v>42157</v>
      </c>
      <c r="K147" s="180" t="s">
        <v>373</v>
      </c>
    </row>
    <row r="148" spans="1:12" ht="16.5" customHeight="1">
      <c r="A148" s="376"/>
      <c r="B148" s="376"/>
      <c r="C148" s="377"/>
      <c r="D148" s="378"/>
      <c r="E148" s="375"/>
      <c r="F148" s="375"/>
      <c r="G148" s="178">
        <v>55297700</v>
      </c>
      <c r="H148" s="375"/>
      <c r="I148" s="178">
        <v>55297700</v>
      </c>
      <c r="J148" s="182">
        <v>42195</v>
      </c>
      <c r="K148" s="180" t="s">
        <v>373</v>
      </c>
    </row>
    <row r="149" spans="1:12" s="167" customFormat="1" ht="18" customHeight="1">
      <c r="A149" s="376"/>
      <c r="B149" s="376"/>
      <c r="C149" s="366" t="s">
        <v>94</v>
      </c>
      <c r="D149" s="367"/>
      <c r="E149" s="164">
        <f>SUM(E146:E148)</f>
        <v>255297700</v>
      </c>
      <c r="F149" s="164">
        <f>SUM(F146:F148)</f>
        <v>255297700</v>
      </c>
      <c r="G149" s="164">
        <f>SUM(G146:G148)</f>
        <v>255297700</v>
      </c>
      <c r="H149" s="164">
        <f>SUM(H146:H148)</f>
        <v>255297700</v>
      </c>
      <c r="I149" s="164">
        <f>SUM(I146:I148)</f>
        <v>255297700</v>
      </c>
      <c r="J149" s="165"/>
      <c r="K149" s="166" t="s">
        <v>42</v>
      </c>
      <c r="L149" s="324"/>
    </row>
    <row r="150" spans="1:12" s="167" customFormat="1" ht="18" customHeight="1">
      <c r="A150" s="376"/>
      <c r="B150" s="376"/>
      <c r="C150" s="366" t="s">
        <v>380</v>
      </c>
      <c r="D150" s="367"/>
      <c r="E150" s="168"/>
      <c r="F150" s="168"/>
      <c r="G150" s="169">
        <f>E149-G149</f>
        <v>0</v>
      </c>
      <c r="H150" s="168"/>
      <c r="I150" s="169">
        <f>H149-I149</f>
        <v>0</v>
      </c>
      <c r="J150" s="165"/>
      <c r="K150" s="166"/>
      <c r="L150" s="324"/>
    </row>
    <row r="151" spans="1:12" ht="16.5" customHeight="1">
      <c r="A151" s="376"/>
      <c r="B151" s="376"/>
      <c r="C151" s="377" t="s">
        <v>508</v>
      </c>
      <c r="D151" s="378">
        <v>42203</v>
      </c>
      <c r="E151" s="375">
        <f>188280000+102950000+150022500+59760000+114906620</f>
        <v>615919120</v>
      </c>
      <c r="F151" s="375">
        <f>188280000+102950000+150022500</f>
        <v>441252500</v>
      </c>
      <c r="G151" s="178">
        <v>100000000</v>
      </c>
      <c r="H151" s="375">
        <f>188280000+102950000+150022500+59760000+114906620</f>
        <v>615919120</v>
      </c>
      <c r="I151" s="178">
        <v>100000000</v>
      </c>
      <c r="J151" s="182">
        <v>42174</v>
      </c>
      <c r="K151" s="180" t="s">
        <v>373</v>
      </c>
    </row>
    <row r="152" spans="1:12" ht="16.5" customHeight="1">
      <c r="A152" s="376"/>
      <c r="B152" s="376"/>
      <c r="C152" s="377"/>
      <c r="D152" s="378"/>
      <c r="E152" s="375"/>
      <c r="F152" s="375"/>
      <c r="G152" s="178">
        <v>200000000</v>
      </c>
      <c r="H152" s="375"/>
      <c r="I152" s="178">
        <v>200000000</v>
      </c>
      <c r="J152" s="182">
        <v>42212</v>
      </c>
      <c r="K152" s="180" t="s">
        <v>373</v>
      </c>
    </row>
    <row r="153" spans="1:12" ht="16.5" customHeight="1">
      <c r="A153" s="376"/>
      <c r="B153" s="376"/>
      <c r="C153" s="377"/>
      <c r="D153" s="378"/>
      <c r="E153" s="375"/>
      <c r="F153" s="375"/>
      <c r="G153" s="178">
        <f>I153</f>
        <v>201012500</v>
      </c>
      <c r="H153" s="375"/>
      <c r="I153" s="178">
        <v>201012500</v>
      </c>
      <c r="J153" s="182">
        <v>42266</v>
      </c>
      <c r="K153" s="180" t="s">
        <v>373</v>
      </c>
    </row>
    <row r="154" spans="1:12" ht="16.5" customHeight="1">
      <c r="A154" s="376"/>
      <c r="B154" s="376"/>
      <c r="C154" s="290"/>
      <c r="D154" s="292"/>
      <c r="E154" s="287"/>
      <c r="F154" s="287"/>
      <c r="G154" s="293"/>
      <c r="H154" s="287"/>
      <c r="I154" s="293"/>
      <c r="J154" s="286"/>
      <c r="K154" s="285"/>
    </row>
    <row r="155" spans="1:12" s="167" customFormat="1" ht="18" customHeight="1">
      <c r="A155" s="376"/>
      <c r="B155" s="376"/>
      <c r="C155" s="366" t="s">
        <v>94</v>
      </c>
      <c r="D155" s="367"/>
      <c r="E155" s="164">
        <f>SUM(E151:E153)</f>
        <v>615919120</v>
      </c>
      <c r="F155" s="164">
        <f>SUM(F151:F153)</f>
        <v>441252500</v>
      </c>
      <c r="G155" s="164">
        <f>SUM(G151:G153)</f>
        <v>501012500</v>
      </c>
      <c r="H155" s="164">
        <f>SUM(H151:H153)</f>
        <v>615919120</v>
      </c>
      <c r="I155" s="164">
        <f>SUM(I151:I153)</f>
        <v>501012500</v>
      </c>
      <c r="J155" s="165"/>
      <c r="K155" s="166" t="s">
        <v>42</v>
      </c>
      <c r="L155" s="324"/>
    </row>
    <row r="156" spans="1:12" s="167" customFormat="1" ht="18" customHeight="1">
      <c r="A156" s="376"/>
      <c r="B156" s="376"/>
      <c r="C156" s="366" t="s">
        <v>380</v>
      </c>
      <c r="D156" s="367"/>
      <c r="E156" s="168"/>
      <c r="F156" s="168"/>
      <c r="G156" s="169">
        <f>E155-G155</f>
        <v>114906620</v>
      </c>
      <c r="H156" s="168"/>
      <c r="I156" s="169">
        <f>H155-I155</f>
        <v>114906620</v>
      </c>
      <c r="J156" s="165"/>
      <c r="K156" s="166"/>
      <c r="L156" s="324"/>
    </row>
    <row r="157" spans="1:12" ht="16.5" customHeight="1">
      <c r="A157" s="376">
        <v>21</v>
      </c>
      <c r="B157" s="376" t="s">
        <v>152</v>
      </c>
      <c r="C157" s="377" t="s">
        <v>399</v>
      </c>
      <c r="D157" s="378">
        <v>41618</v>
      </c>
      <c r="E157" s="375"/>
      <c r="F157" s="375">
        <v>394100000</v>
      </c>
      <c r="G157" s="178">
        <v>100000000</v>
      </c>
      <c r="H157" s="375">
        <v>298500000</v>
      </c>
      <c r="I157" s="178">
        <v>100000000</v>
      </c>
      <c r="J157" s="182">
        <v>42116</v>
      </c>
      <c r="K157" s="180" t="s">
        <v>373</v>
      </c>
    </row>
    <row r="158" spans="1:12" ht="16.5" customHeight="1">
      <c r="A158" s="376"/>
      <c r="B158" s="376"/>
      <c r="C158" s="377"/>
      <c r="D158" s="378"/>
      <c r="E158" s="375"/>
      <c r="F158" s="375"/>
      <c r="G158" s="144"/>
      <c r="H158" s="375"/>
      <c r="I158" s="157"/>
      <c r="J158" s="182"/>
      <c r="K158" s="196"/>
    </row>
    <row r="159" spans="1:12" s="167" customFormat="1" ht="18" customHeight="1">
      <c r="A159" s="376"/>
      <c r="B159" s="376"/>
      <c r="C159" s="366" t="s">
        <v>94</v>
      </c>
      <c r="D159" s="367"/>
      <c r="E159" s="164">
        <f>SUM(E157:E158)</f>
        <v>0</v>
      </c>
      <c r="F159" s="164">
        <f>SUM(F157:F158)</f>
        <v>394100000</v>
      </c>
      <c r="G159" s="164">
        <f>SUM(G157:G158)</f>
        <v>100000000</v>
      </c>
      <c r="H159" s="164">
        <f>SUM(H157:H158)</f>
        <v>298500000</v>
      </c>
      <c r="I159" s="164">
        <f>SUM(I157:I158)</f>
        <v>100000000</v>
      </c>
      <c r="J159" s="165"/>
      <c r="K159" s="166" t="s">
        <v>42</v>
      </c>
      <c r="L159" s="324"/>
    </row>
    <row r="160" spans="1:12" s="167" customFormat="1" ht="18" customHeight="1">
      <c r="A160" s="376"/>
      <c r="B160" s="376"/>
      <c r="C160" s="366" t="s">
        <v>380</v>
      </c>
      <c r="D160" s="367"/>
      <c r="E160" s="168"/>
      <c r="F160" s="168"/>
      <c r="G160" s="169">
        <f>E159-G159</f>
        <v>-100000000</v>
      </c>
      <c r="H160" s="168"/>
      <c r="I160" s="169">
        <f>H159-I159</f>
        <v>198500000</v>
      </c>
      <c r="J160" s="165"/>
      <c r="K160" s="166"/>
      <c r="L160" s="324"/>
    </row>
    <row r="161" spans="1:12" ht="16.5" customHeight="1">
      <c r="A161" s="376">
        <v>22</v>
      </c>
      <c r="B161" s="376" t="s">
        <v>172</v>
      </c>
      <c r="C161" s="377" t="s">
        <v>400</v>
      </c>
      <c r="D161" s="378"/>
      <c r="E161" s="375"/>
      <c r="F161" s="375">
        <v>898744036</v>
      </c>
      <c r="G161" s="178">
        <f>IF(I161&gt;0,I161,0)</f>
        <v>150000000</v>
      </c>
      <c r="H161" s="375">
        <f>663683801</f>
        <v>663683801</v>
      </c>
      <c r="I161" s="178">
        <v>150000000</v>
      </c>
      <c r="J161" s="182">
        <v>42132</v>
      </c>
      <c r="K161" s="180" t="s">
        <v>373</v>
      </c>
    </row>
    <row r="162" spans="1:12" ht="16.5" customHeight="1">
      <c r="A162" s="376"/>
      <c r="B162" s="376"/>
      <c r="C162" s="377"/>
      <c r="D162" s="378"/>
      <c r="E162" s="375"/>
      <c r="F162" s="375"/>
      <c r="G162" s="178">
        <f t="shared" ref="G162:G168" si="6">IF(I162&gt;0,I162,0)</f>
        <v>150000000</v>
      </c>
      <c r="H162" s="375"/>
      <c r="I162" s="178">
        <v>150000000</v>
      </c>
      <c r="J162" s="182">
        <v>42144</v>
      </c>
      <c r="K162" s="180" t="s">
        <v>373</v>
      </c>
    </row>
    <row r="163" spans="1:12" ht="16.5" customHeight="1">
      <c r="A163" s="376"/>
      <c r="B163" s="376"/>
      <c r="C163" s="377"/>
      <c r="D163" s="378"/>
      <c r="E163" s="375"/>
      <c r="F163" s="375"/>
      <c r="G163" s="178">
        <f t="shared" si="6"/>
        <v>50000000</v>
      </c>
      <c r="H163" s="375"/>
      <c r="I163" s="178">
        <v>50000000</v>
      </c>
      <c r="J163" s="182">
        <v>42157</v>
      </c>
      <c r="K163" s="180" t="s">
        <v>373</v>
      </c>
    </row>
    <row r="164" spans="1:12" ht="16.5" customHeight="1">
      <c r="A164" s="376"/>
      <c r="B164" s="376"/>
      <c r="C164" s="377"/>
      <c r="D164" s="378"/>
      <c r="E164" s="375"/>
      <c r="F164" s="375"/>
      <c r="G164" s="178">
        <f t="shared" si="6"/>
        <v>200000000</v>
      </c>
      <c r="H164" s="375"/>
      <c r="I164" s="178">
        <v>200000000</v>
      </c>
      <c r="J164" s="182">
        <v>42167</v>
      </c>
      <c r="K164" s="180" t="s">
        <v>373</v>
      </c>
    </row>
    <row r="165" spans="1:12" ht="16.5" customHeight="1">
      <c r="A165" s="376"/>
      <c r="B165" s="376"/>
      <c r="C165" s="377"/>
      <c r="D165" s="378"/>
      <c r="E165" s="375"/>
      <c r="F165" s="375"/>
      <c r="G165" s="178">
        <f t="shared" si="6"/>
        <v>100000000</v>
      </c>
      <c r="H165" s="375"/>
      <c r="I165" s="178">
        <v>100000000</v>
      </c>
      <c r="J165" s="182">
        <v>42198</v>
      </c>
      <c r="K165" s="180" t="s">
        <v>373</v>
      </c>
    </row>
    <row r="166" spans="1:12" ht="16.5" customHeight="1">
      <c r="A166" s="376"/>
      <c r="B166" s="376"/>
      <c r="C166" s="377" t="s">
        <v>428</v>
      </c>
      <c r="D166" s="378"/>
      <c r="E166" s="375"/>
      <c r="F166" s="375">
        <v>627830692</v>
      </c>
      <c r="G166" s="178">
        <f t="shared" si="6"/>
        <v>400000000</v>
      </c>
      <c r="H166" s="375">
        <v>304043967</v>
      </c>
      <c r="I166" s="178">
        <v>400000000</v>
      </c>
      <c r="J166" s="182">
        <v>42219</v>
      </c>
      <c r="K166" s="180" t="s">
        <v>373</v>
      </c>
    </row>
    <row r="167" spans="1:12" ht="16.5" customHeight="1">
      <c r="A167" s="376"/>
      <c r="B167" s="376"/>
      <c r="C167" s="377"/>
      <c r="D167" s="378"/>
      <c r="E167" s="375"/>
      <c r="F167" s="375"/>
      <c r="G167" s="178">
        <f t="shared" si="6"/>
        <v>0</v>
      </c>
      <c r="H167" s="375"/>
      <c r="I167" s="201">
        <v>-200000000</v>
      </c>
      <c r="J167" s="202">
        <v>42220</v>
      </c>
      <c r="K167" s="203" t="s">
        <v>392</v>
      </c>
    </row>
    <row r="168" spans="1:12" ht="16.5" customHeight="1">
      <c r="A168" s="376"/>
      <c r="B168" s="376"/>
      <c r="C168" s="377"/>
      <c r="D168" s="378"/>
      <c r="E168" s="375"/>
      <c r="F168" s="375"/>
      <c r="G168" s="178">
        <f t="shared" si="6"/>
        <v>0</v>
      </c>
      <c r="H168" s="375"/>
      <c r="I168" s="178"/>
      <c r="J168" s="182"/>
      <c r="K168" s="180"/>
    </row>
    <row r="169" spans="1:12" s="167" customFormat="1" ht="18" customHeight="1">
      <c r="A169" s="376"/>
      <c r="B169" s="376"/>
      <c r="C169" s="366" t="s">
        <v>94</v>
      </c>
      <c r="D169" s="367"/>
      <c r="E169" s="164">
        <f>SUM(E161:E168)</f>
        <v>0</v>
      </c>
      <c r="F169" s="164">
        <f>SUM(F161:F168)</f>
        <v>1526574728</v>
      </c>
      <c r="G169" s="164">
        <f>SUM(G161:G168)</f>
        <v>1050000000</v>
      </c>
      <c r="H169" s="164">
        <f>SUM(H161:H168)</f>
        <v>967727768</v>
      </c>
      <c r="I169" s="164">
        <f>SUM(I161:I168)</f>
        <v>850000000</v>
      </c>
      <c r="J169" s="165"/>
      <c r="K169" s="166" t="s">
        <v>42</v>
      </c>
      <c r="L169" s="324"/>
    </row>
    <row r="170" spans="1:12" s="167" customFormat="1" ht="18" customHeight="1">
      <c r="A170" s="376"/>
      <c r="B170" s="376"/>
      <c r="C170" s="366" t="s">
        <v>380</v>
      </c>
      <c r="D170" s="367"/>
      <c r="E170" s="168"/>
      <c r="F170" s="168"/>
      <c r="G170" s="169">
        <f>E169-G169</f>
        <v>-1050000000</v>
      </c>
      <c r="H170" s="168"/>
      <c r="I170" s="169">
        <f>H169-I169</f>
        <v>117727768</v>
      </c>
      <c r="J170" s="165"/>
      <c r="K170" s="166"/>
      <c r="L170" s="324"/>
    </row>
    <row r="171" spans="1:12" ht="16.5" customHeight="1">
      <c r="A171" s="376">
        <v>23</v>
      </c>
      <c r="B171" s="406" t="s">
        <v>190</v>
      </c>
      <c r="C171" s="407" t="s">
        <v>403</v>
      </c>
      <c r="D171" s="409">
        <v>42125</v>
      </c>
      <c r="E171" s="411">
        <f>99315638+525544049+60382018+295513229+100001957+81027109</f>
        <v>1161784000</v>
      </c>
      <c r="F171" s="411">
        <v>893000000</v>
      </c>
      <c r="G171" s="178">
        <f>IF(I171&gt;0,I171,0)</f>
        <v>200000000</v>
      </c>
      <c r="H171" s="411">
        <f>99315000+278359000+247185000+61180000+303311000+82240000+19689000</f>
        <v>1091279000</v>
      </c>
      <c r="I171" s="185">
        <v>200000000</v>
      </c>
      <c r="J171" s="197">
        <v>42144</v>
      </c>
      <c r="K171" s="198" t="s">
        <v>373</v>
      </c>
    </row>
    <row r="172" spans="1:12" ht="16.5" customHeight="1">
      <c r="A172" s="376"/>
      <c r="B172" s="406"/>
      <c r="C172" s="389"/>
      <c r="D172" s="398"/>
      <c r="E172" s="383"/>
      <c r="F172" s="383"/>
      <c r="G172" s="178">
        <f t="shared" ref="G172:G177" si="7">IF(I172&gt;0,I172,0)</f>
        <v>250000000</v>
      </c>
      <c r="H172" s="383"/>
      <c r="I172" s="178">
        <v>250000000</v>
      </c>
      <c r="J172" s="182">
        <v>42188</v>
      </c>
      <c r="K172" s="184" t="s">
        <v>373</v>
      </c>
    </row>
    <row r="173" spans="1:12" ht="16.5" customHeight="1">
      <c r="A173" s="376"/>
      <c r="B173" s="406"/>
      <c r="C173" s="389"/>
      <c r="D173" s="398"/>
      <c r="E173" s="383"/>
      <c r="F173" s="383"/>
      <c r="G173" s="178">
        <f t="shared" si="7"/>
        <v>300000000</v>
      </c>
      <c r="H173" s="383"/>
      <c r="I173" s="187">
        <v>300000000</v>
      </c>
      <c r="J173" s="182">
        <v>42219</v>
      </c>
      <c r="K173" s="184" t="s">
        <v>373</v>
      </c>
    </row>
    <row r="174" spans="1:12" ht="16.5" customHeight="1">
      <c r="A174" s="376"/>
      <c r="B174" s="406"/>
      <c r="C174" s="389"/>
      <c r="D174" s="398"/>
      <c r="E174" s="383"/>
      <c r="F174" s="383"/>
      <c r="G174" s="178">
        <f t="shared" si="7"/>
        <v>0</v>
      </c>
      <c r="H174" s="383"/>
      <c r="I174" s="187">
        <v>-100000000</v>
      </c>
      <c r="J174" s="182">
        <v>42220</v>
      </c>
      <c r="K174" s="193" t="s">
        <v>392</v>
      </c>
    </row>
    <row r="175" spans="1:12" ht="16.5" customHeight="1">
      <c r="A175" s="376"/>
      <c r="B175" s="406"/>
      <c r="C175" s="389"/>
      <c r="D175" s="398"/>
      <c r="E175" s="383"/>
      <c r="F175" s="383"/>
      <c r="G175" s="178">
        <f t="shared" si="7"/>
        <v>150000000</v>
      </c>
      <c r="H175" s="383"/>
      <c r="I175" s="233">
        <v>150000000</v>
      </c>
      <c r="J175" s="237">
        <v>42251</v>
      </c>
      <c r="K175" s="250" t="s">
        <v>373</v>
      </c>
    </row>
    <row r="176" spans="1:12" ht="16.5" customHeight="1">
      <c r="A176" s="376"/>
      <c r="B176" s="406"/>
      <c r="C176" s="389"/>
      <c r="D176" s="398"/>
      <c r="E176" s="383"/>
      <c r="F176" s="383"/>
      <c r="G176" s="178">
        <f t="shared" si="7"/>
        <v>150000000</v>
      </c>
      <c r="H176" s="383"/>
      <c r="I176" s="304">
        <v>150000000</v>
      </c>
      <c r="J176" s="305">
        <v>42279</v>
      </c>
      <c r="K176" s="302" t="s">
        <v>373</v>
      </c>
    </row>
    <row r="177" spans="1:12" ht="16.5" customHeight="1">
      <c r="A177" s="376"/>
      <c r="B177" s="406"/>
      <c r="C177" s="408"/>
      <c r="D177" s="410"/>
      <c r="E177" s="412"/>
      <c r="F177" s="412"/>
      <c r="G177" s="178">
        <f t="shared" si="7"/>
        <v>0</v>
      </c>
      <c r="H177" s="412"/>
      <c r="I177" s="188"/>
      <c r="J177" s="199"/>
      <c r="K177" s="200"/>
    </row>
    <row r="178" spans="1:12" s="167" customFormat="1" ht="18" customHeight="1">
      <c r="A178" s="376"/>
      <c r="B178" s="406"/>
      <c r="C178" s="366" t="s">
        <v>94</v>
      </c>
      <c r="D178" s="367"/>
      <c r="E178" s="164">
        <f>SUM(E171:E177)</f>
        <v>1161784000</v>
      </c>
      <c r="F178" s="164">
        <f>SUM(F171:F177)</f>
        <v>893000000</v>
      </c>
      <c r="G178" s="164">
        <f t="shared" ref="G178:I178" si="8">SUM(G171:G177)</f>
        <v>1050000000</v>
      </c>
      <c r="H178" s="164">
        <f t="shared" si="8"/>
        <v>1091279000</v>
      </c>
      <c r="I178" s="164">
        <f t="shared" si="8"/>
        <v>950000000</v>
      </c>
      <c r="J178" s="165"/>
      <c r="K178" s="166" t="s">
        <v>42</v>
      </c>
      <c r="L178" s="324"/>
    </row>
    <row r="179" spans="1:12" s="167" customFormat="1" ht="18" customHeight="1">
      <c r="A179" s="376"/>
      <c r="B179" s="406"/>
      <c r="C179" s="366" t="s">
        <v>380</v>
      </c>
      <c r="D179" s="367"/>
      <c r="E179" s="168"/>
      <c r="F179" s="168"/>
      <c r="G179" s="169">
        <f>E178-G178</f>
        <v>111784000</v>
      </c>
      <c r="H179" s="168"/>
      <c r="I179" s="169">
        <f>H178-I178</f>
        <v>141279000</v>
      </c>
      <c r="J179" s="165"/>
      <c r="K179" s="166"/>
      <c r="L179" s="324"/>
    </row>
    <row r="180" spans="1:12" ht="16.5" customHeight="1">
      <c r="A180" s="376">
        <v>24</v>
      </c>
      <c r="B180" s="406" t="s">
        <v>269</v>
      </c>
      <c r="C180" s="388" t="s">
        <v>404</v>
      </c>
      <c r="D180" s="390">
        <v>42125</v>
      </c>
      <c r="E180" s="382"/>
      <c r="F180" s="382">
        <v>1489950000</v>
      </c>
      <c r="G180" s="178">
        <f>IF(I180&gt;0,I180,0)</f>
        <v>200000000</v>
      </c>
      <c r="H180" s="382">
        <v>868450000</v>
      </c>
      <c r="I180" s="178">
        <v>200000000</v>
      </c>
      <c r="J180" s="182">
        <v>42150</v>
      </c>
      <c r="K180" s="180" t="s">
        <v>373</v>
      </c>
    </row>
    <row r="181" spans="1:12" ht="16.5" customHeight="1">
      <c r="A181" s="376"/>
      <c r="B181" s="406"/>
      <c r="C181" s="389"/>
      <c r="D181" s="389"/>
      <c r="E181" s="383"/>
      <c r="F181" s="383"/>
      <c r="G181" s="178">
        <f t="shared" ref="G181:G187" si="9">IF(I181&gt;0,I181,0)</f>
        <v>500000000</v>
      </c>
      <c r="H181" s="383"/>
      <c r="I181" s="178">
        <v>500000000</v>
      </c>
      <c r="J181" s="182">
        <v>42198</v>
      </c>
      <c r="K181" s="180" t="s">
        <v>373</v>
      </c>
    </row>
    <row r="182" spans="1:12" ht="16.5" customHeight="1">
      <c r="A182" s="376"/>
      <c r="B182" s="406"/>
      <c r="C182" s="389"/>
      <c r="D182" s="389"/>
      <c r="E182" s="383"/>
      <c r="F182" s="383"/>
      <c r="G182" s="178">
        <f t="shared" si="9"/>
        <v>0</v>
      </c>
      <c r="H182" s="383"/>
      <c r="I182" s="201">
        <v>-300000000</v>
      </c>
      <c r="J182" s="202">
        <v>42199</v>
      </c>
      <c r="K182" s="203" t="s">
        <v>392</v>
      </c>
    </row>
    <row r="183" spans="1:12" ht="16.5" customHeight="1">
      <c r="A183" s="376"/>
      <c r="B183" s="406"/>
      <c r="C183" s="389"/>
      <c r="D183" s="389"/>
      <c r="E183" s="383"/>
      <c r="F183" s="383"/>
      <c r="G183" s="178">
        <f t="shared" si="9"/>
        <v>500000000</v>
      </c>
      <c r="H183" s="383"/>
      <c r="I183" s="178">
        <v>500000000</v>
      </c>
      <c r="J183" s="241">
        <v>42241</v>
      </c>
      <c r="K183" s="240" t="s">
        <v>373</v>
      </c>
    </row>
    <row r="184" spans="1:12" ht="16.5" customHeight="1">
      <c r="A184" s="376"/>
      <c r="B184" s="406"/>
      <c r="C184" s="389"/>
      <c r="D184" s="389"/>
      <c r="E184" s="383"/>
      <c r="F184" s="383"/>
      <c r="G184" s="178">
        <f t="shared" si="9"/>
        <v>0</v>
      </c>
      <c r="H184" s="383"/>
      <c r="I184" s="201">
        <v>-300000000</v>
      </c>
      <c r="J184" s="202">
        <v>42242</v>
      </c>
      <c r="K184" s="203" t="s">
        <v>392</v>
      </c>
    </row>
    <row r="185" spans="1:12" ht="16.5" customHeight="1">
      <c r="A185" s="376"/>
      <c r="B185" s="406"/>
      <c r="C185" s="389"/>
      <c r="D185" s="389"/>
      <c r="E185" s="383"/>
      <c r="F185" s="383"/>
      <c r="G185" s="178">
        <f t="shared" si="9"/>
        <v>400000000</v>
      </c>
      <c r="H185" s="383"/>
      <c r="I185" s="178">
        <v>400000000</v>
      </c>
      <c r="J185" s="303">
        <v>42279</v>
      </c>
      <c r="K185" s="306" t="s">
        <v>373</v>
      </c>
    </row>
    <row r="186" spans="1:12" ht="16.5" customHeight="1">
      <c r="A186" s="376"/>
      <c r="B186" s="406"/>
      <c r="C186" s="389"/>
      <c r="D186" s="389"/>
      <c r="E186" s="383"/>
      <c r="F186" s="383"/>
      <c r="G186" s="178">
        <f t="shared" si="9"/>
        <v>0</v>
      </c>
      <c r="H186" s="383"/>
      <c r="I186" s="201"/>
      <c r="J186" s="202"/>
      <c r="K186" s="203"/>
    </row>
    <row r="187" spans="1:12" ht="16.5" customHeight="1">
      <c r="A187" s="376"/>
      <c r="B187" s="406"/>
      <c r="C187" s="389"/>
      <c r="D187" s="389"/>
      <c r="E187" s="383"/>
      <c r="F187" s="383"/>
      <c r="G187" s="178">
        <f t="shared" si="9"/>
        <v>0</v>
      </c>
      <c r="H187" s="383"/>
      <c r="I187" s="157"/>
      <c r="J187" s="182"/>
      <c r="K187" s="196"/>
    </row>
    <row r="188" spans="1:12" s="167" customFormat="1" ht="18" customHeight="1">
      <c r="A188" s="376"/>
      <c r="B188" s="406"/>
      <c r="C188" s="366" t="s">
        <v>94</v>
      </c>
      <c r="D188" s="367"/>
      <c r="E188" s="164">
        <f>SUM(E180:E187)</f>
        <v>0</v>
      </c>
      <c r="F188" s="164">
        <f>SUM(F180:F187)</f>
        <v>1489950000</v>
      </c>
      <c r="G188" s="164">
        <f>SUM(G180:G187)</f>
        <v>1600000000</v>
      </c>
      <c r="H188" s="164">
        <f>SUM(H180:H187)</f>
        <v>868450000</v>
      </c>
      <c r="I188" s="164">
        <f>SUM(I180:I187)</f>
        <v>1000000000</v>
      </c>
      <c r="J188" s="165"/>
      <c r="K188" s="166" t="s">
        <v>42</v>
      </c>
      <c r="L188" s="324"/>
    </row>
    <row r="189" spans="1:12" s="167" customFormat="1" ht="18" customHeight="1">
      <c r="A189" s="376"/>
      <c r="B189" s="406"/>
      <c r="C189" s="366" t="s">
        <v>380</v>
      </c>
      <c r="D189" s="367"/>
      <c r="E189" s="168"/>
      <c r="F189" s="168"/>
      <c r="G189" s="169">
        <f>E188-G188</f>
        <v>-1600000000</v>
      </c>
      <c r="H189" s="168"/>
      <c r="I189" s="169">
        <f>H188-I188</f>
        <v>-131550000</v>
      </c>
      <c r="J189" s="165"/>
      <c r="K189" s="166"/>
      <c r="L189" s="324"/>
    </row>
    <row r="190" spans="1:12" ht="16.5" customHeight="1">
      <c r="A190" s="376">
        <v>25</v>
      </c>
      <c r="B190" s="406" t="s">
        <v>302</v>
      </c>
      <c r="C190" s="388" t="s">
        <v>405</v>
      </c>
      <c r="D190" s="390"/>
      <c r="E190" s="382">
        <f>399000000</f>
        <v>399000000</v>
      </c>
      <c r="F190" s="382">
        <v>570000000</v>
      </c>
      <c r="G190" s="178">
        <v>171000000</v>
      </c>
      <c r="H190" s="382">
        <v>570000000</v>
      </c>
      <c r="I190" s="178">
        <v>171000000</v>
      </c>
      <c r="J190" s="182">
        <v>42174</v>
      </c>
      <c r="K190" s="180" t="s">
        <v>373</v>
      </c>
    </row>
    <row r="191" spans="1:12" ht="16.5" customHeight="1">
      <c r="A191" s="376"/>
      <c r="B191" s="406"/>
      <c r="C191" s="389"/>
      <c r="D191" s="398"/>
      <c r="E191" s="383"/>
      <c r="F191" s="383"/>
      <c r="G191" s="178">
        <v>228000000</v>
      </c>
      <c r="H191" s="383"/>
      <c r="I191" s="178">
        <v>228000000</v>
      </c>
      <c r="J191" s="182">
        <v>42251</v>
      </c>
      <c r="K191" s="251" t="s">
        <v>373</v>
      </c>
    </row>
    <row r="192" spans="1:12" ht="16.5" customHeight="1">
      <c r="A192" s="376"/>
      <c r="B192" s="406"/>
      <c r="C192" s="389"/>
      <c r="D192" s="389"/>
      <c r="E192" s="383"/>
      <c r="F192" s="383"/>
      <c r="G192" s="144"/>
      <c r="H192" s="383"/>
      <c r="I192" s="157"/>
      <c r="J192" s="182"/>
      <c r="K192" s="196"/>
    </row>
    <row r="193" spans="1:12" s="167" customFormat="1" ht="18" customHeight="1">
      <c r="A193" s="376"/>
      <c r="B193" s="406"/>
      <c r="C193" s="366" t="s">
        <v>94</v>
      </c>
      <c r="D193" s="367"/>
      <c r="E193" s="164">
        <f>SUM(E190:E192)</f>
        <v>399000000</v>
      </c>
      <c r="F193" s="164">
        <f>SUM(F190:F192)</f>
        <v>570000000</v>
      </c>
      <c r="G193" s="164">
        <f>SUM(G190:G192)</f>
        <v>399000000</v>
      </c>
      <c r="H193" s="164">
        <f>SUM(H190:H192)</f>
        <v>570000000</v>
      </c>
      <c r="I193" s="164">
        <f>SUM(I190:I192)</f>
        <v>399000000</v>
      </c>
      <c r="J193" s="165"/>
      <c r="K193" s="166" t="s">
        <v>42</v>
      </c>
      <c r="L193" s="324"/>
    </row>
    <row r="194" spans="1:12" s="167" customFormat="1" ht="18" customHeight="1">
      <c r="A194" s="376"/>
      <c r="B194" s="406"/>
      <c r="C194" s="366" t="s">
        <v>380</v>
      </c>
      <c r="D194" s="367"/>
      <c r="E194" s="168"/>
      <c r="F194" s="168"/>
      <c r="G194" s="169">
        <f>E193-G193</f>
        <v>0</v>
      </c>
      <c r="H194" s="168"/>
      <c r="I194" s="169">
        <f>H193-I193</f>
        <v>171000000</v>
      </c>
      <c r="J194" s="165"/>
      <c r="K194" s="166"/>
      <c r="L194" s="324"/>
    </row>
    <row r="195" spans="1:12" ht="16.5" customHeight="1">
      <c r="A195" s="376">
        <v>26</v>
      </c>
      <c r="B195" s="406" t="s">
        <v>306</v>
      </c>
      <c r="C195" s="388" t="s">
        <v>407</v>
      </c>
      <c r="D195" s="390">
        <v>42173</v>
      </c>
      <c r="E195" s="382"/>
      <c r="F195" s="382">
        <v>3652000000</v>
      </c>
      <c r="G195" s="178">
        <f>IF(I195&gt;0,I195,0)</f>
        <v>100000000</v>
      </c>
      <c r="H195" s="382">
        <v>2255000000</v>
      </c>
      <c r="I195" s="178">
        <v>100000000</v>
      </c>
      <c r="J195" s="182">
        <v>42185</v>
      </c>
      <c r="K195" s="180" t="s">
        <v>373</v>
      </c>
    </row>
    <row r="196" spans="1:12" ht="16.5" customHeight="1">
      <c r="A196" s="376"/>
      <c r="B196" s="406"/>
      <c r="C196" s="389"/>
      <c r="D196" s="389"/>
      <c r="E196" s="383"/>
      <c r="F196" s="383"/>
      <c r="G196" s="178">
        <f t="shared" ref="G196:G206" si="10">IF(I196&gt;0,I196,0)</f>
        <v>200000000</v>
      </c>
      <c r="H196" s="383"/>
      <c r="I196" s="178">
        <v>200000000</v>
      </c>
      <c r="J196" s="182">
        <v>42187</v>
      </c>
      <c r="K196" s="180" t="s">
        <v>373</v>
      </c>
    </row>
    <row r="197" spans="1:12" ht="16.5" customHeight="1">
      <c r="A197" s="376"/>
      <c r="B197" s="406"/>
      <c r="C197" s="389"/>
      <c r="D197" s="389"/>
      <c r="E197" s="383"/>
      <c r="F197" s="383"/>
      <c r="G197" s="178">
        <f t="shared" si="10"/>
        <v>500000000</v>
      </c>
      <c r="H197" s="383"/>
      <c r="I197" s="178">
        <v>500000000</v>
      </c>
      <c r="J197" s="225">
        <v>42221</v>
      </c>
      <c r="K197" s="224" t="s">
        <v>373</v>
      </c>
    </row>
    <row r="198" spans="1:12" ht="16.5" customHeight="1">
      <c r="A198" s="376"/>
      <c r="B198" s="406"/>
      <c r="C198" s="389"/>
      <c r="D198" s="389"/>
      <c r="E198" s="383"/>
      <c r="F198" s="383"/>
      <c r="G198" s="178">
        <f t="shared" si="10"/>
        <v>0</v>
      </c>
      <c r="H198" s="383"/>
      <c r="I198" s="201">
        <v>-300000000</v>
      </c>
      <c r="J198" s="202">
        <v>42234</v>
      </c>
      <c r="K198" s="203" t="s">
        <v>392</v>
      </c>
    </row>
    <row r="199" spans="1:12" ht="16.5" customHeight="1">
      <c r="A199" s="376"/>
      <c r="B199" s="406"/>
      <c r="C199" s="389"/>
      <c r="D199" s="389"/>
      <c r="E199" s="383"/>
      <c r="F199" s="383"/>
      <c r="G199" s="178">
        <f t="shared" si="10"/>
        <v>400000000</v>
      </c>
      <c r="H199" s="383"/>
      <c r="I199" s="178">
        <v>400000000</v>
      </c>
      <c r="J199" s="294">
        <v>42275</v>
      </c>
      <c r="K199" s="295" t="s">
        <v>373</v>
      </c>
    </row>
    <row r="200" spans="1:12" ht="16.5" customHeight="1">
      <c r="A200" s="376"/>
      <c r="B200" s="406"/>
      <c r="C200" s="389"/>
      <c r="D200" s="389"/>
      <c r="E200" s="383"/>
      <c r="F200" s="383"/>
      <c r="G200" s="178">
        <f t="shared" si="10"/>
        <v>0</v>
      </c>
      <c r="H200" s="383"/>
      <c r="I200" s="201">
        <v>-200000000</v>
      </c>
      <c r="J200" s="202">
        <v>42279</v>
      </c>
      <c r="K200" s="203" t="s">
        <v>392</v>
      </c>
    </row>
    <row r="201" spans="1:12" ht="16.5" customHeight="1">
      <c r="A201" s="376"/>
      <c r="B201" s="406"/>
      <c r="C201" s="389"/>
      <c r="D201" s="389"/>
      <c r="E201" s="383"/>
      <c r="F201" s="383"/>
      <c r="G201" s="178">
        <f t="shared" si="10"/>
        <v>150000000</v>
      </c>
      <c r="H201" s="383"/>
      <c r="I201" s="178">
        <v>150000000</v>
      </c>
      <c r="J201" s="310">
        <v>42291</v>
      </c>
      <c r="K201" s="309" t="s">
        <v>373</v>
      </c>
    </row>
    <row r="202" spans="1:12" ht="16.5" customHeight="1">
      <c r="A202" s="376"/>
      <c r="B202" s="406"/>
      <c r="C202" s="389"/>
      <c r="D202" s="389"/>
      <c r="E202" s="383"/>
      <c r="F202" s="383"/>
      <c r="G202" s="178">
        <f t="shared" si="10"/>
        <v>400000000</v>
      </c>
      <c r="H202" s="383"/>
      <c r="I202" s="178">
        <v>400000000</v>
      </c>
      <c r="J202" s="310">
        <v>42305</v>
      </c>
      <c r="K202" s="309" t="s">
        <v>373</v>
      </c>
    </row>
    <row r="203" spans="1:12" ht="16.5" customHeight="1">
      <c r="A203" s="376"/>
      <c r="B203" s="406"/>
      <c r="C203" s="389"/>
      <c r="D203" s="389"/>
      <c r="E203" s="383"/>
      <c r="F203" s="383"/>
      <c r="G203" s="178">
        <f t="shared" si="10"/>
        <v>0</v>
      </c>
      <c r="H203" s="383"/>
      <c r="I203" s="178"/>
      <c r="J203" s="310"/>
      <c r="K203" s="309"/>
    </row>
    <row r="204" spans="1:12" ht="16.5" customHeight="1">
      <c r="A204" s="376"/>
      <c r="B204" s="406"/>
      <c r="C204" s="389"/>
      <c r="D204" s="389"/>
      <c r="E204" s="383"/>
      <c r="F204" s="383"/>
      <c r="G204" s="178">
        <f t="shared" si="10"/>
        <v>0</v>
      </c>
      <c r="H204" s="383"/>
      <c r="I204" s="178"/>
      <c r="J204" s="310"/>
      <c r="K204" s="309"/>
    </row>
    <row r="205" spans="1:12" ht="16.5" customHeight="1">
      <c r="A205" s="376"/>
      <c r="B205" s="406"/>
      <c r="C205" s="389"/>
      <c r="D205" s="389"/>
      <c r="E205" s="383"/>
      <c r="F205" s="383"/>
      <c r="G205" s="178">
        <f t="shared" si="10"/>
        <v>0</v>
      </c>
      <c r="H205" s="383"/>
      <c r="I205" s="178"/>
      <c r="J205" s="310"/>
      <c r="K205" s="309"/>
    </row>
    <row r="206" spans="1:12" ht="16.5" customHeight="1">
      <c r="A206" s="376"/>
      <c r="B206" s="406"/>
      <c r="C206" s="413"/>
      <c r="D206" s="413"/>
      <c r="E206" s="384"/>
      <c r="F206" s="384"/>
      <c r="G206" s="178">
        <f t="shared" si="10"/>
        <v>0</v>
      </c>
      <c r="H206" s="384"/>
      <c r="I206" s="178"/>
      <c r="J206" s="307"/>
      <c r="K206" s="308"/>
    </row>
    <row r="207" spans="1:12" s="167" customFormat="1" ht="18" customHeight="1">
      <c r="A207" s="376"/>
      <c r="B207" s="406"/>
      <c r="C207" s="366" t="s">
        <v>94</v>
      </c>
      <c r="D207" s="367"/>
      <c r="E207" s="164">
        <f>SUM(E195:E206)</f>
        <v>0</v>
      </c>
      <c r="F207" s="164">
        <f>SUM(F195:F206)</f>
        <v>3652000000</v>
      </c>
      <c r="G207" s="164">
        <f>SUM(G195:G206)</f>
        <v>1750000000</v>
      </c>
      <c r="H207" s="164">
        <f>SUM(H195:H206)</f>
        <v>2255000000</v>
      </c>
      <c r="I207" s="164">
        <f>SUM(I195:I206)</f>
        <v>1250000000</v>
      </c>
      <c r="J207" s="165"/>
      <c r="K207" s="166" t="s">
        <v>42</v>
      </c>
      <c r="L207" s="324"/>
    </row>
    <row r="208" spans="1:12" s="167" customFormat="1" ht="18" customHeight="1">
      <c r="A208" s="376"/>
      <c r="B208" s="406"/>
      <c r="C208" s="366" t="s">
        <v>380</v>
      </c>
      <c r="D208" s="367"/>
      <c r="E208" s="168"/>
      <c r="F208" s="168"/>
      <c r="G208" s="169">
        <f>E207-G207</f>
        <v>-1750000000</v>
      </c>
      <c r="H208" s="168"/>
      <c r="I208" s="169">
        <f>H207-I207</f>
        <v>1005000000</v>
      </c>
      <c r="J208" s="165"/>
      <c r="K208" s="166"/>
      <c r="L208" s="324"/>
    </row>
    <row r="209" spans="1:12" ht="16.5" customHeight="1">
      <c r="A209" s="376">
        <v>27</v>
      </c>
      <c r="B209" s="406" t="s">
        <v>408</v>
      </c>
      <c r="C209" s="388" t="s">
        <v>409</v>
      </c>
      <c r="D209" s="390">
        <v>42205</v>
      </c>
      <c r="E209" s="382"/>
      <c r="F209" s="382">
        <v>282530000</v>
      </c>
      <c r="G209" s="178">
        <f t="shared" ref="G209:G215" si="11">IF(I209&gt;0,I209,0)</f>
        <v>90000000</v>
      </c>
      <c r="H209" s="382">
        <v>282530000</v>
      </c>
      <c r="I209" s="157">
        <v>90000000</v>
      </c>
      <c r="J209" s="182">
        <v>42212</v>
      </c>
      <c r="K209" s="180" t="s">
        <v>373</v>
      </c>
    </row>
    <row r="210" spans="1:12" ht="16.5" customHeight="1">
      <c r="A210" s="376"/>
      <c r="B210" s="406"/>
      <c r="C210" s="389"/>
      <c r="D210" s="398"/>
      <c r="E210" s="383"/>
      <c r="F210" s="383"/>
      <c r="G210" s="178">
        <f t="shared" si="11"/>
        <v>50000000</v>
      </c>
      <c r="H210" s="383"/>
      <c r="I210" s="157">
        <v>50000000</v>
      </c>
      <c r="J210" s="222">
        <v>42229</v>
      </c>
      <c r="K210" s="223" t="s">
        <v>373</v>
      </c>
    </row>
    <row r="211" spans="1:12" ht="16.5" customHeight="1">
      <c r="A211" s="376"/>
      <c r="B211" s="406"/>
      <c r="C211" s="389"/>
      <c r="D211" s="398"/>
      <c r="E211" s="383"/>
      <c r="F211" s="383"/>
      <c r="G211" s="178">
        <f t="shared" si="11"/>
        <v>50000000</v>
      </c>
      <c r="H211" s="383"/>
      <c r="I211" s="157">
        <v>50000000</v>
      </c>
      <c r="J211" s="241">
        <v>42241</v>
      </c>
      <c r="K211" s="240" t="s">
        <v>373</v>
      </c>
    </row>
    <row r="212" spans="1:12" ht="16.5" customHeight="1">
      <c r="A212" s="376"/>
      <c r="B212" s="406"/>
      <c r="C212" s="389"/>
      <c r="D212" s="398"/>
      <c r="E212" s="383"/>
      <c r="F212" s="383"/>
      <c r="G212" s="178">
        <f t="shared" si="11"/>
        <v>50000000</v>
      </c>
      <c r="H212" s="383"/>
      <c r="I212" s="157">
        <v>50000000</v>
      </c>
      <c r="J212" s="289">
        <v>42251</v>
      </c>
      <c r="K212" s="288" t="s">
        <v>373</v>
      </c>
    </row>
    <row r="213" spans="1:12" ht="16.5" customHeight="1">
      <c r="A213" s="376"/>
      <c r="B213" s="406"/>
      <c r="C213" s="389"/>
      <c r="D213" s="398"/>
      <c r="E213" s="383"/>
      <c r="F213" s="383"/>
      <c r="G213" s="178">
        <f t="shared" si="11"/>
        <v>30000000</v>
      </c>
      <c r="H213" s="383"/>
      <c r="I213" s="157">
        <v>30000000</v>
      </c>
      <c r="J213" s="330">
        <v>42285</v>
      </c>
      <c r="K213" s="331" t="s">
        <v>373</v>
      </c>
    </row>
    <row r="214" spans="1:12" ht="16.5" customHeight="1">
      <c r="A214" s="376"/>
      <c r="B214" s="406"/>
      <c r="C214" s="389"/>
      <c r="D214" s="398"/>
      <c r="E214" s="383"/>
      <c r="F214" s="383"/>
      <c r="G214" s="178"/>
      <c r="H214" s="383"/>
      <c r="I214" s="157">
        <v>10000000</v>
      </c>
      <c r="J214" s="330">
        <v>42306</v>
      </c>
      <c r="K214" s="331" t="s">
        <v>388</v>
      </c>
    </row>
    <row r="215" spans="1:12" ht="16.5" customHeight="1">
      <c r="A215" s="376"/>
      <c r="B215" s="406"/>
      <c r="C215" s="389"/>
      <c r="D215" s="389"/>
      <c r="E215" s="383"/>
      <c r="F215" s="383"/>
      <c r="G215" s="178">
        <f t="shared" si="11"/>
        <v>0</v>
      </c>
      <c r="H215" s="383"/>
      <c r="I215" s="157"/>
      <c r="J215" s="182"/>
      <c r="K215" s="308"/>
    </row>
    <row r="216" spans="1:12" s="167" customFormat="1" ht="18" customHeight="1">
      <c r="A216" s="376"/>
      <c r="B216" s="406"/>
      <c r="C216" s="366" t="s">
        <v>94</v>
      </c>
      <c r="D216" s="367"/>
      <c r="E216" s="164">
        <f>SUM(E209:E215)</f>
        <v>0</v>
      </c>
      <c r="F216" s="164">
        <f>SUM(F209:F215)</f>
        <v>282530000</v>
      </c>
      <c r="G216" s="164">
        <f>SUM(G209:G215)</f>
        <v>270000000</v>
      </c>
      <c r="H216" s="164">
        <f>SUM(H209:H215)</f>
        <v>282530000</v>
      </c>
      <c r="I216" s="164">
        <f>SUM(I209:I215)</f>
        <v>280000000</v>
      </c>
      <c r="J216" s="165"/>
      <c r="K216" s="166" t="s">
        <v>42</v>
      </c>
      <c r="L216" s="324"/>
    </row>
    <row r="217" spans="1:12" s="167" customFormat="1" ht="18" customHeight="1">
      <c r="A217" s="376"/>
      <c r="B217" s="406"/>
      <c r="C217" s="366" t="s">
        <v>380</v>
      </c>
      <c r="D217" s="367"/>
      <c r="E217" s="168"/>
      <c r="F217" s="168"/>
      <c r="G217" s="169">
        <f>E216-G216</f>
        <v>-270000000</v>
      </c>
      <c r="H217" s="168"/>
      <c r="I217" s="169">
        <f>H216-I216</f>
        <v>2530000</v>
      </c>
      <c r="J217" s="165"/>
      <c r="K217" s="166"/>
      <c r="L217" s="324"/>
    </row>
    <row r="218" spans="1:12" ht="16.5" customHeight="1">
      <c r="A218" s="376">
        <v>28</v>
      </c>
      <c r="B218" s="406" t="s">
        <v>468</v>
      </c>
      <c r="C218" s="417" t="s">
        <v>456</v>
      </c>
      <c r="D218" s="390">
        <v>42230</v>
      </c>
      <c r="E218" s="382">
        <v>599632000</v>
      </c>
      <c r="F218" s="382">
        <f>E218</f>
        <v>599632000</v>
      </c>
      <c r="G218" s="157">
        <v>200000000</v>
      </c>
      <c r="H218" s="382">
        <v>599632000</v>
      </c>
      <c r="I218" s="157">
        <v>200000000</v>
      </c>
      <c r="J218" s="236">
        <v>42236</v>
      </c>
      <c r="K218" s="238" t="s">
        <v>373</v>
      </c>
    </row>
    <row r="219" spans="1:12" ht="16.5" customHeight="1">
      <c r="A219" s="376"/>
      <c r="B219" s="406"/>
      <c r="C219" s="389"/>
      <c r="D219" s="398"/>
      <c r="E219" s="383"/>
      <c r="F219" s="383"/>
      <c r="G219" s="170"/>
      <c r="H219" s="383"/>
      <c r="I219" s="157"/>
      <c r="J219" s="236"/>
      <c r="K219" s="238"/>
    </row>
    <row r="220" spans="1:12" s="167" customFormat="1" ht="18" customHeight="1">
      <c r="A220" s="376"/>
      <c r="B220" s="406"/>
      <c r="C220" s="366" t="s">
        <v>94</v>
      </c>
      <c r="D220" s="367"/>
      <c r="E220" s="164">
        <f>SUM(E218:E219)</f>
        <v>599632000</v>
      </c>
      <c r="F220" s="164">
        <f>SUM(F218:F219)</f>
        <v>599632000</v>
      </c>
      <c r="G220" s="164">
        <f>SUM(G218:G219)</f>
        <v>200000000</v>
      </c>
      <c r="H220" s="164">
        <f>SUM(H218:H219)</f>
        <v>599632000</v>
      </c>
      <c r="I220" s="164">
        <f>SUM(I218:I219)</f>
        <v>200000000</v>
      </c>
      <c r="J220" s="165"/>
      <c r="K220" s="166" t="s">
        <v>42</v>
      </c>
      <c r="L220" s="324"/>
    </row>
    <row r="221" spans="1:12" s="167" customFormat="1" ht="18" customHeight="1">
      <c r="A221" s="376"/>
      <c r="B221" s="406"/>
      <c r="C221" s="366" t="s">
        <v>380</v>
      </c>
      <c r="D221" s="367"/>
      <c r="E221" s="168"/>
      <c r="F221" s="168"/>
      <c r="G221" s="169">
        <f>E220-G220</f>
        <v>399632000</v>
      </c>
      <c r="H221" s="168"/>
      <c r="I221" s="169">
        <f>H220-I220</f>
        <v>399632000</v>
      </c>
      <c r="J221" s="165"/>
      <c r="K221" s="166"/>
      <c r="L221" s="324"/>
    </row>
    <row r="222" spans="1:12" ht="16.5" customHeight="1">
      <c r="A222" s="376">
        <v>29</v>
      </c>
      <c r="B222" s="406" t="s">
        <v>442</v>
      </c>
      <c r="C222" s="215" t="str">
        <f ca="1">"Chi phí TM (có HĐ) đến "&amp; TEXT(NOW(),"dd/MM/yy")</f>
        <v>Chi phí TM (có HĐ) đến 05/11/15</v>
      </c>
      <c r="D222" s="197"/>
      <c r="E222" s="220">
        <f t="array" ref="E222">SUM(IF(KHN&amp;KHC="642"&amp;"1111",TH))</f>
        <v>47562486</v>
      </c>
      <c r="F222" s="231">
        <f t="array" ref="F222">SUM(IF(KHN&amp;KHC="642"&amp;"1111",TH))</f>
        <v>47562486</v>
      </c>
      <c r="G222" s="220">
        <f>F222</f>
        <v>47562486</v>
      </c>
      <c r="H222" s="234">
        <f t="shared" ref="H222:I222" si="12">G222</f>
        <v>47562486</v>
      </c>
      <c r="I222" s="234">
        <f t="shared" si="12"/>
        <v>47562486</v>
      </c>
      <c r="J222" s="213" t="str">
        <f>IF(D222&lt;&gt;"",D222,"")</f>
        <v/>
      </c>
      <c r="K222" s="219" t="s">
        <v>388</v>
      </c>
    </row>
    <row r="223" spans="1:12" ht="16.5" customHeight="1">
      <c r="A223" s="376"/>
      <c r="B223" s="406"/>
      <c r="C223" s="219" t="str">
        <f ca="1">"CP lãi vay ( 09/2014 - "&amp;MONTH(NOW())&amp;"/"&amp;YEAR(NOW())&amp;" )"</f>
        <v>CP lãi vay ( 09/2014 - 11/2015 )</v>
      </c>
      <c r="D223" s="179"/>
      <c r="E223" s="220">
        <f t="array" ref="E223">SUM(IF(KHN&amp;KHC="635"&amp;"1121",TH))</f>
        <v>1210608255</v>
      </c>
      <c r="F223" s="231">
        <f t="array" ref="F223">SUM(IF(KHN&amp;KHC="635"&amp;"1121",TH))</f>
        <v>1210608255</v>
      </c>
      <c r="G223" s="234">
        <f t="shared" ref="G223:I226" si="13">F223</f>
        <v>1210608255</v>
      </c>
      <c r="H223" s="234">
        <f t="shared" si="13"/>
        <v>1210608255</v>
      </c>
      <c r="I223" s="234">
        <f t="shared" si="13"/>
        <v>1210608255</v>
      </c>
      <c r="J223" s="213" t="str">
        <f t="shared" ref="J223" si="14">IF(D223&lt;&gt;"",D223,"")</f>
        <v/>
      </c>
      <c r="K223" s="219" t="s">
        <v>388</v>
      </c>
    </row>
    <row r="224" spans="1:12" ht="16.5" customHeight="1">
      <c r="A224" s="376"/>
      <c r="B224" s="406"/>
      <c r="C224" s="219" t="s">
        <v>441</v>
      </c>
      <c r="D224" s="179">
        <v>42130</v>
      </c>
      <c r="E224" s="234"/>
      <c r="F224" s="231">
        <v>23000000</v>
      </c>
      <c r="G224" s="234">
        <f t="shared" si="13"/>
        <v>23000000</v>
      </c>
      <c r="H224" s="234">
        <f t="shared" si="13"/>
        <v>23000000</v>
      </c>
      <c r="I224" s="234">
        <f t="shared" si="13"/>
        <v>23000000</v>
      </c>
      <c r="J224" s="213">
        <f t="shared" ref="J224:J226" si="15">IF(D224&lt;&gt;"",D224,"")</f>
        <v>42130</v>
      </c>
      <c r="K224" s="219" t="s">
        <v>388</v>
      </c>
    </row>
    <row r="225" spans="1:13" ht="16.5" customHeight="1">
      <c r="A225" s="376"/>
      <c r="B225" s="406"/>
      <c r="C225" s="212" t="s">
        <v>443</v>
      </c>
      <c r="D225" s="213">
        <v>42224</v>
      </c>
      <c r="E225" s="214"/>
      <c r="F225" s="228">
        <v>3740000</v>
      </c>
      <c r="G225" s="234">
        <f t="shared" si="13"/>
        <v>3740000</v>
      </c>
      <c r="H225" s="234">
        <f t="shared" si="13"/>
        <v>3740000</v>
      </c>
      <c r="I225" s="234">
        <f t="shared" si="13"/>
        <v>3740000</v>
      </c>
      <c r="J225" s="213">
        <f t="shared" si="15"/>
        <v>42224</v>
      </c>
      <c r="K225" s="219" t="s">
        <v>388</v>
      </c>
    </row>
    <row r="226" spans="1:13" ht="16.5" customHeight="1">
      <c r="A226" s="376"/>
      <c r="B226" s="406"/>
      <c r="C226" s="212"/>
      <c r="D226" s="213"/>
      <c r="E226" s="214"/>
      <c r="F226" s="228"/>
      <c r="G226" s="234">
        <f t="shared" si="13"/>
        <v>0</v>
      </c>
      <c r="H226" s="234">
        <f t="shared" si="13"/>
        <v>0</v>
      </c>
      <c r="I226" s="234">
        <f t="shared" si="13"/>
        <v>0</v>
      </c>
      <c r="J226" s="213" t="str">
        <f t="shared" si="15"/>
        <v/>
      </c>
      <c r="K226" s="219"/>
    </row>
    <row r="227" spans="1:13" s="167" customFormat="1" ht="18" customHeight="1">
      <c r="A227" s="376"/>
      <c r="B227" s="406"/>
      <c r="C227" s="366" t="s">
        <v>94</v>
      </c>
      <c r="D227" s="367"/>
      <c r="E227" s="164">
        <f>SUM(E222:E226)</f>
        <v>1258170741</v>
      </c>
      <c r="F227" s="164">
        <f>SUM(F222:F226)</f>
        <v>1284910741</v>
      </c>
      <c r="G227" s="164">
        <f>SUM(G222:G226)</f>
        <v>1284910741</v>
      </c>
      <c r="H227" s="164">
        <f>SUM(H222:H226)</f>
        <v>1284910741</v>
      </c>
      <c r="I227" s="164">
        <f>SUM(I222:I226)</f>
        <v>1284910741</v>
      </c>
      <c r="J227" s="165"/>
      <c r="K227" s="166" t="s">
        <v>42</v>
      </c>
      <c r="L227" s="324"/>
    </row>
    <row r="228" spans="1:13" s="167" customFormat="1" ht="18" customHeight="1">
      <c r="A228" s="376"/>
      <c r="B228" s="406"/>
      <c r="C228" s="366" t="s">
        <v>380</v>
      </c>
      <c r="D228" s="367"/>
      <c r="E228" s="168"/>
      <c r="F228" s="168"/>
      <c r="G228" s="169"/>
      <c r="H228" s="168"/>
      <c r="I228" s="169">
        <f>H227-I227</f>
        <v>0</v>
      </c>
      <c r="J228" s="165"/>
      <c r="K228" s="166"/>
      <c r="L228" s="324"/>
    </row>
    <row r="229" spans="1:13" ht="28.5" customHeight="1">
      <c r="A229" s="414" t="s">
        <v>410</v>
      </c>
      <c r="B229" s="415"/>
      <c r="C229" s="415"/>
      <c r="D229" s="416"/>
      <c r="E229" s="152">
        <f>SUMIF(DSTT,"x",$E$7:$E$228)</f>
        <v>19808077915</v>
      </c>
      <c r="F229" s="152">
        <f>SUMIF(DSTT,"x",$F$7:$F$228)</f>
        <v>35152624853</v>
      </c>
      <c r="G229" s="152">
        <f>SUMIF(DSTT,"x",$G$7:$G$228)</f>
        <v>26640500295</v>
      </c>
      <c r="H229" s="152">
        <f>SUMIF(DSTT,"x",$H$7:$H$228)</f>
        <v>30687243659</v>
      </c>
      <c r="I229" s="152">
        <f>SUMIF(DSTT,"x",$I$7:$I$228)</f>
        <v>24143818131</v>
      </c>
      <c r="J229" s="204"/>
      <c r="K229" s="204"/>
      <c r="M229" s="205"/>
    </row>
    <row r="230" spans="1:13" ht="17.25" customHeight="1"/>
    <row r="231" spans="1:13" ht="17.25" customHeight="1"/>
    <row r="232" spans="1:13" ht="17.25" customHeight="1"/>
    <row r="233" spans="1:13" ht="17.25" customHeight="1">
      <c r="J233" s="206" t="s">
        <v>388</v>
      </c>
      <c r="K233" s="207">
        <f>SUMIF(DSTT,J233,DSTT1)</f>
        <v>1646400741</v>
      </c>
    </row>
    <row r="234" spans="1:13" ht="17.25" customHeight="1">
      <c r="J234" s="206" t="s">
        <v>373</v>
      </c>
      <c r="K234" s="207">
        <f>SUMIF(DSTT,J234,DSTT1)</f>
        <v>25244037390</v>
      </c>
      <c r="L234" s="205">
        <f>'331'!E37</f>
        <v>25281697509</v>
      </c>
      <c r="M234" s="208">
        <f>K234-L234+L235</f>
        <v>-37332519</v>
      </c>
    </row>
    <row r="235" spans="1:13" ht="17.25" customHeight="1">
      <c r="J235" s="209" t="s">
        <v>392</v>
      </c>
      <c r="K235" s="207">
        <f>SUMIF(DSTT,J235,DSTT1)</f>
        <v>-2791500000</v>
      </c>
      <c r="L235" s="205">
        <f>327600</f>
        <v>327600</v>
      </c>
    </row>
    <row r="236" spans="1:13" ht="17.25" customHeight="1"/>
    <row r="237" spans="1:13" ht="17.25" customHeight="1">
      <c r="K237" s="210"/>
    </row>
  </sheetData>
  <autoFilter ref="A4:M206">
    <filterColumn colId="5"/>
    <filterColumn colId="6"/>
    <filterColumn colId="8"/>
  </autoFilter>
  <mergeCells count="264">
    <mergeCell ref="A229:D229"/>
    <mergeCell ref="A209:A217"/>
    <mergeCell ref="B209:B217"/>
    <mergeCell ref="C209:C215"/>
    <mergeCell ref="D209:D215"/>
    <mergeCell ref="E209:E215"/>
    <mergeCell ref="H209:H215"/>
    <mergeCell ref="C216:D216"/>
    <mergeCell ref="C217:D217"/>
    <mergeCell ref="A222:A228"/>
    <mergeCell ref="B222:B228"/>
    <mergeCell ref="C227:D227"/>
    <mergeCell ref="C228:D228"/>
    <mergeCell ref="A218:A221"/>
    <mergeCell ref="B218:B221"/>
    <mergeCell ref="C218:C219"/>
    <mergeCell ref="D218:D219"/>
    <mergeCell ref="E218:E219"/>
    <mergeCell ref="F218:F219"/>
    <mergeCell ref="H218:H219"/>
    <mergeCell ref="C220:D220"/>
    <mergeCell ref="C221:D221"/>
    <mergeCell ref="A195:A208"/>
    <mergeCell ref="B195:B208"/>
    <mergeCell ref="C195:C206"/>
    <mergeCell ref="D195:D206"/>
    <mergeCell ref="E195:E206"/>
    <mergeCell ref="H195:H206"/>
    <mergeCell ref="C207:D207"/>
    <mergeCell ref="C208:D208"/>
    <mergeCell ref="A59:A63"/>
    <mergeCell ref="B59:B63"/>
    <mergeCell ref="C59:C60"/>
    <mergeCell ref="D59:D60"/>
    <mergeCell ref="E59:E60"/>
    <mergeCell ref="H59:H60"/>
    <mergeCell ref="C62:D62"/>
    <mergeCell ref="C63:D63"/>
    <mergeCell ref="A64:A66"/>
    <mergeCell ref="B64:B66"/>
    <mergeCell ref="C65:D65"/>
    <mergeCell ref="C66:D66"/>
    <mergeCell ref="A190:A194"/>
    <mergeCell ref="B190:B194"/>
    <mergeCell ref="C190:C192"/>
    <mergeCell ref="D190:D192"/>
    <mergeCell ref="E190:E192"/>
    <mergeCell ref="H190:H192"/>
    <mergeCell ref="C193:D193"/>
    <mergeCell ref="C194:D194"/>
    <mergeCell ref="A180:A189"/>
    <mergeCell ref="B180:B189"/>
    <mergeCell ref="C180:C187"/>
    <mergeCell ref="D180:D187"/>
    <mergeCell ref="E180:E187"/>
    <mergeCell ref="H180:H187"/>
    <mergeCell ref="C188:D188"/>
    <mergeCell ref="C189:D189"/>
    <mergeCell ref="F180:F187"/>
    <mergeCell ref="F190:F192"/>
    <mergeCell ref="A171:A179"/>
    <mergeCell ref="B171:B179"/>
    <mergeCell ref="C171:C177"/>
    <mergeCell ref="D171:D177"/>
    <mergeCell ref="E171:E177"/>
    <mergeCell ref="H171:H177"/>
    <mergeCell ref="C178:D178"/>
    <mergeCell ref="C179:D179"/>
    <mergeCell ref="E146:E148"/>
    <mergeCell ref="H146:H148"/>
    <mergeCell ref="C149:D149"/>
    <mergeCell ref="C150:D150"/>
    <mergeCell ref="C151:C153"/>
    <mergeCell ref="D151:D153"/>
    <mergeCell ref="E151:E153"/>
    <mergeCell ref="H151:H153"/>
    <mergeCell ref="F146:F148"/>
    <mergeCell ref="F151:F153"/>
    <mergeCell ref="F171:F177"/>
    <mergeCell ref="C169:D169"/>
    <mergeCell ref="C170:D170"/>
    <mergeCell ref="A146:A156"/>
    <mergeCell ref="B146:B156"/>
    <mergeCell ref="C146:C148"/>
    <mergeCell ref="D146:D148"/>
    <mergeCell ref="C155:D155"/>
    <mergeCell ref="C156:D156"/>
    <mergeCell ref="A161:A170"/>
    <mergeCell ref="B161:B170"/>
    <mergeCell ref="C161:C165"/>
    <mergeCell ref="D161:D165"/>
    <mergeCell ref="E161:E165"/>
    <mergeCell ref="H161:H165"/>
    <mergeCell ref="C166:C168"/>
    <mergeCell ref="D166:D168"/>
    <mergeCell ref="E166:E168"/>
    <mergeCell ref="H166:H168"/>
    <mergeCell ref="A157:A160"/>
    <mergeCell ref="B157:B160"/>
    <mergeCell ref="C157:C158"/>
    <mergeCell ref="D157:D158"/>
    <mergeCell ref="E157:E158"/>
    <mergeCell ref="H157:H158"/>
    <mergeCell ref="C159:D159"/>
    <mergeCell ref="C160:D160"/>
    <mergeCell ref="F157:F158"/>
    <mergeCell ref="F161:F165"/>
    <mergeCell ref="F166:F168"/>
    <mergeCell ref="F126:F134"/>
    <mergeCell ref="A141:A145"/>
    <mergeCell ref="B141:B145"/>
    <mergeCell ref="C141:C143"/>
    <mergeCell ref="D141:D143"/>
    <mergeCell ref="E141:E143"/>
    <mergeCell ref="H141:H143"/>
    <mergeCell ref="C144:D144"/>
    <mergeCell ref="C145:D145"/>
    <mergeCell ref="A137:A140"/>
    <mergeCell ref="B137:B140"/>
    <mergeCell ref="C137:C138"/>
    <mergeCell ref="D137:D138"/>
    <mergeCell ref="E137:E138"/>
    <mergeCell ref="H137:H138"/>
    <mergeCell ref="C139:D139"/>
    <mergeCell ref="C140:D140"/>
    <mergeCell ref="F137:F138"/>
    <mergeCell ref="F141:F143"/>
    <mergeCell ref="H126:H134"/>
    <mergeCell ref="C135:D135"/>
    <mergeCell ref="C136:D136"/>
    <mergeCell ref="F59:F60"/>
    <mergeCell ref="F67:F68"/>
    <mergeCell ref="C106:C109"/>
    <mergeCell ref="D106:D109"/>
    <mergeCell ref="F79:F91"/>
    <mergeCell ref="F92:F103"/>
    <mergeCell ref="F106:F109"/>
    <mergeCell ref="C77:D77"/>
    <mergeCell ref="C78:D78"/>
    <mergeCell ref="C79:C91"/>
    <mergeCell ref="D79:D91"/>
    <mergeCell ref="E79:E91"/>
    <mergeCell ref="C92:C103"/>
    <mergeCell ref="D92:D103"/>
    <mergeCell ref="E92:E103"/>
    <mergeCell ref="C104:D104"/>
    <mergeCell ref="C105:D105"/>
    <mergeCell ref="A106:A111"/>
    <mergeCell ref="B106:B111"/>
    <mergeCell ref="C111:D111"/>
    <mergeCell ref="C117:C123"/>
    <mergeCell ref="D117:D123"/>
    <mergeCell ref="E117:E123"/>
    <mergeCell ref="H117:H123"/>
    <mergeCell ref="C124:D124"/>
    <mergeCell ref="C125:D125"/>
    <mergeCell ref="F112:F116"/>
    <mergeCell ref="F117:F123"/>
    <mergeCell ref="E106:E109"/>
    <mergeCell ref="E50:E56"/>
    <mergeCell ref="H50:H56"/>
    <mergeCell ref="C57:D57"/>
    <mergeCell ref="C58:D58"/>
    <mergeCell ref="A50:A58"/>
    <mergeCell ref="B50:B58"/>
    <mergeCell ref="C50:C56"/>
    <mergeCell ref="D50:D56"/>
    <mergeCell ref="F50:F56"/>
    <mergeCell ref="A5:A17"/>
    <mergeCell ref="B5:B17"/>
    <mergeCell ref="C16:D16"/>
    <mergeCell ref="C17:D17"/>
    <mergeCell ref="E71:E72"/>
    <mergeCell ref="C71:C72"/>
    <mergeCell ref="D71:D72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B21:B23"/>
    <mergeCell ref="C22:D22"/>
    <mergeCell ref="A45:A49"/>
    <mergeCell ref="B45:B49"/>
    <mergeCell ref="C45:C47"/>
    <mergeCell ref="D45:D47"/>
    <mergeCell ref="E45:E47"/>
    <mergeCell ref="H45:H47"/>
    <mergeCell ref="A18:A20"/>
    <mergeCell ref="B18:B20"/>
    <mergeCell ref="C19:D19"/>
    <mergeCell ref="C20:D20"/>
    <mergeCell ref="F71:F72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C48:D48"/>
    <mergeCell ref="C49:D49"/>
    <mergeCell ref="E36:E42"/>
    <mergeCell ref="C43:D43"/>
    <mergeCell ref="C44:D44"/>
    <mergeCell ref="A71:A78"/>
    <mergeCell ref="B71:B78"/>
    <mergeCell ref="F195:F206"/>
    <mergeCell ref="F209:F215"/>
    <mergeCell ref="H71:H72"/>
    <mergeCell ref="C73:D73"/>
    <mergeCell ref="C74:D74"/>
    <mergeCell ref="H106:H109"/>
    <mergeCell ref="C110:D110"/>
    <mergeCell ref="H79:H91"/>
    <mergeCell ref="H92:H103"/>
    <mergeCell ref="A112:A125"/>
    <mergeCell ref="B112:B125"/>
    <mergeCell ref="C112:C116"/>
    <mergeCell ref="D112:D116"/>
    <mergeCell ref="E112:E116"/>
    <mergeCell ref="H112:H116"/>
    <mergeCell ref="A126:A136"/>
    <mergeCell ref="B126:B136"/>
    <mergeCell ref="C126:C134"/>
    <mergeCell ref="D126:D134"/>
    <mergeCell ref="E126:E134"/>
    <mergeCell ref="A79:A105"/>
    <mergeCell ref="B79:B105"/>
    <mergeCell ref="A30:A32"/>
    <mergeCell ref="B30:B32"/>
    <mergeCell ref="C31:D31"/>
    <mergeCell ref="C32:D32"/>
    <mergeCell ref="C75:C76"/>
    <mergeCell ref="D75:D76"/>
    <mergeCell ref="E75:E76"/>
    <mergeCell ref="F75:F76"/>
    <mergeCell ref="H75:H76"/>
    <mergeCell ref="H36:H42"/>
    <mergeCell ref="A36:A44"/>
    <mergeCell ref="B36:B44"/>
    <mergeCell ref="C36:C42"/>
    <mergeCell ref="D36:D42"/>
    <mergeCell ref="F36:F42"/>
    <mergeCell ref="F45:F47"/>
    <mergeCell ref="A67:A70"/>
    <mergeCell ref="B67:B70"/>
    <mergeCell ref="C67:C68"/>
    <mergeCell ref="D67:D68"/>
    <mergeCell ref="E67:E68"/>
    <mergeCell ref="H67:H68"/>
    <mergeCell ref="C69:D69"/>
    <mergeCell ref="C70:D70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5" sqref="H5"/>
    </sheetView>
  </sheetViews>
  <sheetFormatPr defaultColWidth="9.140625" defaultRowHeight="30" customHeight="1"/>
  <cols>
    <col min="1" max="1" width="4.7109375" style="312" customWidth="1"/>
    <col min="2" max="2" width="28" style="312" customWidth="1"/>
    <col min="3" max="3" width="33.42578125" style="312" customWidth="1"/>
    <col min="4" max="4" width="34.140625" style="312" customWidth="1"/>
    <col min="5" max="8" width="13.85546875" style="312" customWidth="1"/>
    <col min="9" max="255" width="8.85546875" style="312"/>
    <col min="256" max="256" width="4.7109375" style="312" customWidth="1"/>
    <col min="257" max="257" width="28" style="312" customWidth="1"/>
    <col min="258" max="258" width="33.42578125" style="312" customWidth="1"/>
    <col min="259" max="259" width="19.7109375" style="312" customWidth="1"/>
    <col min="260" max="263" width="13.85546875" style="312" customWidth="1"/>
    <col min="264" max="264" width="12.28515625" style="312" customWidth="1"/>
    <col min="265" max="511" width="8.85546875" style="312"/>
    <col min="512" max="512" width="4.7109375" style="312" customWidth="1"/>
    <col min="513" max="513" width="28" style="312" customWidth="1"/>
    <col min="514" max="514" width="33.42578125" style="312" customWidth="1"/>
    <col min="515" max="515" width="19.7109375" style="312" customWidth="1"/>
    <col min="516" max="519" width="13.85546875" style="312" customWidth="1"/>
    <col min="520" max="520" width="12.28515625" style="312" customWidth="1"/>
    <col min="521" max="767" width="8.85546875" style="312"/>
    <col min="768" max="768" width="4.7109375" style="312" customWidth="1"/>
    <col min="769" max="769" width="28" style="312" customWidth="1"/>
    <col min="770" max="770" width="33.42578125" style="312" customWidth="1"/>
    <col min="771" max="771" width="19.7109375" style="312" customWidth="1"/>
    <col min="772" max="775" width="13.85546875" style="312" customWidth="1"/>
    <col min="776" max="776" width="12.28515625" style="312" customWidth="1"/>
    <col min="777" max="1023" width="8.85546875" style="312"/>
    <col min="1024" max="1024" width="4.7109375" style="312" customWidth="1"/>
    <col min="1025" max="1025" width="28" style="312" customWidth="1"/>
    <col min="1026" max="1026" width="33.42578125" style="312" customWidth="1"/>
    <col min="1027" max="1027" width="19.7109375" style="312" customWidth="1"/>
    <col min="1028" max="1031" width="13.85546875" style="312" customWidth="1"/>
    <col min="1032" max="1032" width="12.28515625" style="312" customWidth="1"/>
    <col min="1033" max="1279" width="8.85546875" style="312"/>
    <col min="1280" max="1280" width="4.7109375" style="312" customWidth="1"/>
    <col min="1281" max="1281" width="28" style="312" customWidth="1"/>
    <col min="1282" max="1282" width="33.42578125" style="312" customWidth="1"/>
    <col min="1283" max="1283" width="19.7109375" style="312" customWidth="1"/>
    <col min="1284" max="1287" width="13.85546875" style="312" customWidth="1"/>
    <col min="1288" max="1288" width="12.28515625" style="312" customWidth="1"/>
    <col min="1289" max="1535" width="8.85546875" style="312"/>
    <col min="1536" max="1536" width="4.7109375" style="312" customWidth="1"/>
    <col min="1537" max="1537" width="28" style="312" customWidth="1"/>
    <col min="1538" max="1538" width="33.42578125" style="312" customWidth="1"/>
    <col min="1539" max="1539" width="19.7109375" style="312" customWidth="1"/>
    <col min="1540" max="1543" width="13.85546875" style="312" customWidth="1"/>
    <col min="1544" max="1544" width="12.28515625" style="312" customWidth="1"/>
    <col min="1545" max="1791" width="8.85546875" style="312"/>
    <col min="1792" max="1792" width="4.7109375" style="312" customWidth="1"/>
    <col min="1793" max="1793" width="28" style="312" customWidth="1"/>
    <col min="1794" max="1794" width="33.42578125" style="312" customWidth="1"/>
    <col min="1795" max="1795" width="19.7109375" style="312" customWidth="1"/>
    <col min="1796" max="1799" width="13.85546875" style="312" customWidth="1"/>
    <col min="1800" max="1800" width="12.28515625" style="312" customWidth="1"/>
    <col min="1801" max="2047" width="8.85546875" style="312"/>
    <col min="2048" max="2048" width="4.7109375" style="312" customWidth="1"/>
    <col min="2049" max="2049" width="28" style="312" customWidth="1"/>
    <col min="2050" max="2050" width="33.42578125" style="312" customWidth="1"/>
    <col min="2051" max="2051" width="19.7109375" style="312" customWidth="1"/>
    <col min="2052" max="2055" width="13.85546875" style="312" customWidth="1"/>
    <col min="2056" max="2056" width="12.28515625" style="312" customWidth="1"/>
    <col min="2057" max="2303" width="8.85546875" style="312"/>
    <col min="2304" max="2304" width="4.7109375" style="312" customWidth="1"/>
    <col min="2305" max="2305" width="28" style="312" customWidth="1"/>
    <col min="2306" max="2306" width="33.42578125" style="312" customWidth="1"/>
    <col min="2307" max="2307" width="19.7109375" style="312" customWidth="1"/>
    <col min="2308" max="2311" width="13.85546875" style="312" customWidth="1"/>
    <col min="2312" max="2312" width="12.28515625" style="312" customWidth="1"/>
    <col min="2313" max="2559" width="8.85546875" style="312"/>
    <col min="2560" max="2560" width="4.7109375" style="312" customWidth="1"/>
    <col min="2561" max="2561" width="28" style="312" customWidth="1"/>
    <col min="2562" max="2562" width="33.42578125" style="312" customWidth="1"/>
    <col min="2563" max="2563" width="19.7109375" style="312" customWidth="1"/>
    <col min="2564" max="2567" width="13.85546875" style="312" customWidth="1"/>
    <col min="2568" max="2568" width="12.28515625" style="312" customWidth="1"/>
    <col min="2569" max="2815" width="8.85546875" style="312"/>
    <col min="2816" max="2816" width="4.7109375" style="312" customWidth="1"/>
    <col min="2817" max="2817" width="28" style="312" customWidth="1"/>
    <col min="2818" max="2818" width="33.42578125" style="312" customWidth="1"/>
    <col min="2819" max="2819" width="19.7109375" style="312" customWidth="1"/>
    <col min="2820" max="2823" width="13.85546875" style="312" customWidth="1"/>
    <col min="2824" max="2824" width="12.28515625" style="312" customWidth="1"/>
    <col min="2825" max="3071" width="8.85546875" style="312"/>
    <col min="3072" max="3072" width="4.7109375" style="312" customWidth="1"/>
    <col min="3073" max="3073" width="28" style="312" customWidth="1"/>
    <col min="3074" max="3074" width="33.42578125" style="312" customWidth="1"/>
    <col min="3075" max="3075" width="19.7109375" style="312" customWidth="1"/>
    <col min="3076" max="3079" width="13.85546875" style="312" customWidth="1"/>
    <col min="3080" max="3080" width="12.28515625" style="312" customWidth="1"/>
    <col min="3081" max="3327" width="8.85546875" style="312"/>
    <col min="3328" max="3328" width="4.7109375" style="312" customWidth="1"/>
    <col min="3329" max="3329" width="28" style="312" customWidth="1"/>
    <col min="3330" max="3330" width="33.42578125" style="312" customWidth="1"/>
    <col min="3331" max="3331" width="19.7109375" style="312" customWidth="1"/>
    <col min="3332" max="3335" width="13.85546875" style="312" customWidth="1"/>
    <col min="3336" max="3336" width="12.28515625" style="312" customWidth="1"/>
    <col min="3337" max="3583" width="8.85546875" style="312"/>
    <col min="3584" max="3584" width="4.7109375" style="312" customWidth="1"/>
    <col min="3585" max="3585" width="28" style="312" customWidth="1"/>
    <col min="3586" max="3586" width="33.42578125" style="312" customWidth="1"/>
    <col min="3587" max="3587" width="19.7109375" style="312" customWidth="1"/>
    <col min="3588" max="3591" width="13.85546875" style="312" customWidth="1"/>
    <col min="3592" max="3592" width="12.28515625" style="312" customWidth="1"/>
    <col min="3593" max="3839" width="8.85546875" style="312"/>
    <col min="3840" max="3840" width="4.7109375" style="312" customWidth="1"/>
    <col min="3841" max="3841" width="28" style="312" customWidth="1"/>
    <col min="3842" max="3842" width="33.42578125" style="312" customWidth="1"/>
    <col min="3843" max="3843" width="19.7109375" style="312" customWidth="1"/>
    <col min="3844" max="3847" width="13.85546875" style="312" customWidth="1"/>
    <col min="3848" max="3848" width="12.28515625" style="312" customWidth="1"/>
    <col min="3849" max="4095" width="8.85546875" style="312"/>
    <col min="4096" max="4096" width="4.7109375" style="312" customWidth="1"/>
    <col min="4097" max="4097" width="28" style="312" customWidth="1"/>
    <col min="4098" max="4098" width="33.42578125" style="312" customWidth="1"/>
    <col min="4099" max="4099" width="19.7109375" style="312" customWidth="1"/>
    <col min="4100" max="4103" width="13.85546875" style="312" customWidth="1"/>
    <col min="4104" max="4104" width="12.28515625" style="312" customWidth="1"/>
    <col min="4105" max="4351" width="8.85546875" style="312"/>
    <col min="4352" max="4352" width="4.7109375" style="312" customWidth="1"/>
    <col min="4353" max="4353" width="28" style="312" customWidth="1"/>
    <col min="4354" max="4354" width="33.42578125" style="312" customWidth="1"/>
    <col min="4355" max="4355" width="19.7109375" style="312" customWidth="1"/>
    <col min="4356" max="4359" width="13.85546875" style="312" customWidth="1"/>
    <col min="4360" max="4360" width="12.28515625" style="312" customWidth="1"/>
    <col min="4361" max="4607" width="8.85546875" style="312"/>
    <col min="4608" max="4608" width="4.7109375" style="312" customWidth="1"/>
    <col min="4609" max="4609" width="28" style="312" customWidth="1"/>
    <col min="4610" max="4610" width="33.42578125" style="312" customWidth="1"/>
    <col min="4611" max="4611" width="19.7109375" style="312" customWidth="1"/>
    <col min="4612" max="4615" width="13.85546875" style="312" customWidth="1"/>
    <col min="4616" max="4616" width="12.28515625" style="312" customWidth="1"/>
    <col min="4617" max="4863" width="8.85546875" style="312"/>
    <col min="4864" max="4864" width="4.7109375" style="312" customWidth="1"/>
    <col min="4865" max="4865" width="28" style="312" customWidth="1"/>
    <col min="4866" max="4866" width="33.42578125" style="312" customWidth="1"/>
    <col min="4867" max="4867" width="19.7109375" style="312" customWidth="1"/>
    <col min="4868" max="4871" width="13.85546875" style="312" customWidth="1"/>
    <col min="4872" max="4872" width="12.28515625" style="312" customWidth="1"/>
    <col min="4873" max="5119" width="8.85546875" style="312"/>
    <col min="5120" max="5120" width="4.7109375" style="312" customWidth="1"/>
    <col min="5121" max="5121" width="28" style="312" customWidth="1"/>
    <col min="5122" max="5122" width="33.42578125" style="312" customWidth="1"/>
    <col min="5123" max="5123" width="19.7109375" style="312" customWidth="1"/>
    <col min="5124" max="5127" width="13.85546875" style="312" customWidth="1"/>
    <col min="5128" max="5128" width="12.28515625" style="312" customWidth="1"/>
    <col min="5129" max="5375" width="8.85546875" style="312"/>
    <col min="5376" max="5376" width="4.7109375" style="312" customWidth="1"/>
    <col min="5377" max="5377" width="28" style="312" customWidth="1"/>
    <col min="5378" max="5378" width="33.42578125" style="312" customWidth="1"/>
    <col min="5379" max="5379" width="19.7109375" style="312" customWidth="1"/>
    <col min="5380" max="5383" width="13.85546875" style="312" customWidth="1"/>
    <col min="5384" max="5384" width="12.28515625" style="312" customWidth="1"/>
    <col min="5385" max="5631" width="8.85546875" style="312"/>
    <col min="5632" max="5632" width="4.7109375" style="312" customWidth="1"/>
    <col min="5633" max="5633" width="28" style="312" customWidth="1"/>
    <col min="5634" max="5634" width="33.42578125" style="312" customWidth="1"/>
    <col min="5635" max="5635" width="19.7109375" style="312" customWidth="1"/>
    <col min="5636" max="5639" width="13.85546875" style="312" customWidth="1"/>
    <col min="5640" max="5640" width="12.28515625" style="312" customWidth="1"/>
    <col min="5641" max="5887" width="8.85546875" style="312"/>
    <col min="5888" max="5888" width="4.7109375" style="312" customWidth="1"/>
    <col min="5889" max="5889" width="28" style="312" customWidth="1"/>
    <col min="5890" max="5890" width="33.42578125" style="312" customWidth="1"/>
    <col min="5891" max="5891" width="19.7109375" style="312" customWidth="1"/>
    <col min="5892" max="5895" width="13.85546875" style="312" customWidth="1"/>
    <col min="5896" max="5896" width="12.28515625" style="312" customWidth="1"/>
    <col min="5897" max="6143" width="8.85546875" style="312"/>
    <col min="6144" max="6144" width="4.7109375" style="312" customWidth="1"/>
    <col min="6145" max="6145" width="28" style="312" customWidth="1"/>
    <col min="6146" max="6146" width="33.42578125" style="312" customWidth="1"/>
    <col min="6147" max="6147" width="19.7109375" style="312" customWidth="1"/>
    <col min="6148" max="6151" width="13.85546875" style="312" customWidth="1"/>
    <col min="6152" max="6152" width="12.28515625" style="312" customWidth="1"/>
    <col min="6153" max="6399" width="8.85546875" style="312"/>
    <col min="6400" max="6400" width="4.7109375" style="312" customWidth="1"/>
    <col min="6401" max="6401" width="28" style="312" customWidth="1"/>
    <col min="6402" max="6402" width="33.42578125" style="312" customWidth="1"/>
    <col min="6403" max="6403" width="19.7109375" style="312" customWidth="1"/>
    <col min="6404" max="6407" width="13.85546875" style="312" customWidth="1"/>
    <col min="6408" max="6408" width="12.28515625" style="312" customWidth="1"/>
    <col min="6409" max="6655" width="8.85546875" style="312"/>
    <col min="6656" max="6656" width="4.7109375" style="312" customWidth="1"/>
    <col min="6657" max="6657" width="28" style="312" customWidth="1"/>
    <col min="6658" max="6658" width="33.42578125" style="312" customWidth="1"/>
    <col min="6659" max="6659" width="19.7109375" style="312" customWidth="1"/>
    <col min="6660" max="6663" width="13.85546875" style="312" customWidth="1"/>
    <col min="6664" max="6664" width="12.28515625" style="312" customWidth="1"/>
    <col min="6665" max="6911" width="8.85546875" style="312"/>
    <col min="6912" max="6912" width="4.7109375" style="312" customWidth="1"/>
    <col min="6913" max="6913" width="28" style="312" customWidth="1"/>
    <col min="6914" max="6914" width="33.42578125" style="312" customWidth="1"/>
    <col min="6915" max="6915" width="19.7109375" style="312" customWidth="1"/>
    <col min="6916" max="6919" width="13.85546875" style="312" customWidth="1"/>
    <col min="6920" max="6920" width="12.28515625" style="312" customWidth="1"/>
    <col min="6921" max="7167" width="8.85546875" style="312"/>
    <col min="7168" max="7168" width="4.7109375" style="312" customWidth="1"/>
    <col min="7169" max="7169" width="28" style="312" customWidth="1"/>
    <col min="7170" max="7170" width="33.42578125" style="312" customWidth="1"/>
    <col min="7171" max="7171" width="19.7109375" style="312" customWidth="1"/>
    <col min="7172" max="7175" width="13.85546875" style="312" customWidth="1"/>
    <col min="7176" max="7176" width="12.28515625" style="312" customWidth="1"/>
    <col min="7177" max="7423" width="8.85546875" style="312"/>
    <col min="7424" max="7424" width="4.7109375" style="312" customWidth="1"/>
    <col min="7425" max="7425" width="28" style="312" customWidth="1"/>
    <col min="7426" max="7426" width="33.42578125" style="312" customWidth="1"/>
    <col min="7427" max="7427" width="19.7109375" style="312" customWidth="1"/>
    <col min="7428" max="7431" width="13.85546875" style="312" customWidth="1"/>
    <col min="7432" max="7432" width="12.28515625" style="312" customWidth="1"/>
    <col min="7433" max="7679" width="8.85546875" style="312"/>
    <col min="7680" max="7680" width="4.7109375" style="312" customWidth="1"/>
    <col min="7681" max="7681" width="28" style="312" customWidth="1"/>
    <col min="7682" max="7682" width="33.42578125" style="312" customWidth="1"/>
    <col min="7683" max="7683" width="19.7109375" style="312" customWidth="1"/>
    <col min="7684" max="7687" width="13.85546875" style="312" customWidth="1"/>
    <col min="7688" max="7688" width="12.28515625" style="312" customWidth="1"/>
    <col min="7689" max="7935" width="8.85546875" style="312"/>
    <col min="7936" max="7936" width="4.7109375" style="312" customWidth="1"/>
    <col min="7937" max="7937" width="28" style="312" customWidth="1"/>
    <col min="7938" max="7938" width="33.42578125" style="312" customWidth="1"/>
    <col min="7939" max="7939" width="19.7109375" style="312" customWidth="1"/>
    <col min="7940" max="7943" width="13.85546875" style="312" customWidth="1"/>
    <col min="7944" max="7944" width="12.28515625" style="312" customWidth="1"/>
    <col min="7945" max="8191" width="8.85546875" style="312"/>
    <col min="8192" max="8192" width="4.7109375" style="312" customWidth="1"/>
    <col min="8193" max="8193" width="28" style="312" customWidth="1"/>
    <col min="8194" max="8194" width="33.42578125" style="312" customWidth="1"/>
    <col min="8195" max="8195" width="19.7109375" style="312" customWidth="1"/>
    <col min="8196" max="8199" width="13.85546875" style="312" customWidth="1"/>
    <col min="8200" max="8200" width="12.28515625" style="312" customWidth="1"/>
    <col min="8201" max="8447" width="8.85546875" style="312"/>
    <col min="8448" max="8448" width="4.7109375" style="312" customWidth="1"/>
    <col min="8449" max="8449" width="28" style="312" customWidth="1"/>
    <col min="8450" max="8450" width="33.42578125" style="312" customWidth="1"/>
    <col min="8451" max="8451" width="19.7109375" style="312" customWidth="1"/>
    <col min="8452" max="8455" width="13.85546875" style="312" customWidth="1"/>
    <col min="8456" max="8456" width="12.28515625" style="312" customWidth="1"/>
    <col min="8457" max="8703" width="8.85546875" style="312"/>
    <col min="8704" max="8704" width="4.7109375" style="312" customWidth="1"/>
    <col min="8705" max="8705" width="28" style="312" customWidth="1"/>
    <col min="8706" max="8706" width="33.42578125" style="312" customWidth="1"/>
    <col min="8707" max="8707" width="19.7109375" style="312" customWidth="1"/>
    <col min="8708" max="8711" width="13.85546875" style="312" customWidth="1"/>
    <col min="8712" max="8712" width="12.28515625" style="312" customWidth="1"/>
    <col min="8713" max="8959" width="8.85546875" style="312"/>
    <col min="8960" max="8960" width="4.7109375" style="312" customWidth="1"/>
    <col min="8961" max="8961" width="28" style="312" customWidth="1"/>
    <col min="8962" max="8962" width="33.42578125" style="312" customWidth="1"/>
    <col min="8963" max="8963" width="19.7109375" style="312" customWidth="1"/>
    <col min="8964" max="8967" width="13.85546875" style="312" customWidth="1"/>
    <col min="8968" max="8968" width="12.28515625" style="312" customWidth="1"/>
    <col min="8969" max="9215" width="8.85546875" style="312"/>
    <col min="9216" max="9216" width="4.7109375" style="312" customWidth="1"/>
    <col min="9217" max="9217" width="28" style="312" customWidth="1"/>
    <col min="9218" max="9218" width="33.42578125" style="312" customWidth="1"/>
    <col min="9219" max="9219" width="19.7109375" style="312" customWidth="1"/>
    <col min="9220" max="9223" width="13.85546875" style="312" customWidth="1"/>
    <col min="9224" max="9224" width="12.28515625" style="312" customWidth="1"/>
    <col min="9225" max="9471" width="8.85546875" style="312"/>
    <col min="9472" max="9472" width="4.7109375" style="312" customWidth="1"/>
    <col min="9473" max="9473" width="28" style="312" customWidth="1"/>
    <col min="9474" max="9474" width="33.42578125" style="312" customWidth="1"/>
    <col min="9475" max="9475" width="19.7109375" style="312" customWidth="1"/>
    <col min="9476" max="9479" width="13.85546875" style="312" customWidth="1"/>
    <col min="9480" max="9480" width="12.28515625" style="312" customWidth="1"/>
    <col min="9481" max="9727" width="8.85546875" style="312"/>
    <col min="9728" max="9728" width="4.7109375" style="312" customWidth="1"/>
    <col min="9729" max="9729" width="28" style="312" customWidth="1"/>
    <col min="9730" max="9730" width="33.42578125" style="312" customWidth="1"/>
    <col min="9731" max="9731" width="19.7109375" style="312" customWidth="1"/>
    <col min="9732" max="9735" width="13.85546875" style="312" customWidth="1"/>
    <col min="9736" max="9736" width="12.28515625" style="312" customWidth="1"/>
    <col min="9737" max="9983" width="8.85546875" style="312"/>
    <col min="9984" max="9984" width="4.7109375" style="312" customWidth="1"/>
    <col min="9985" max="9985" width="28" style="312" customWidth="1"/>
    <col min="9986" max="9986" width="33.42578125" style="312" customWidth="1"/>
    <col min="9987" max="9987" width="19.7109375" style="312" customWidth="1"/>
    <col min="9988" max="9991" width="13.85546875" style="312" customWidth="1"/>
    <col min="9992" max="9992" width="12.28515625" style="312" customWidth="1"/>
    <col min="9993" max="10239" width="8.85546875" style="312"/>
    <col min="10240" max="10240" width="4.7109375" style="312" customWidth="1"/>
    <col min="10241" max="10241" width="28" style="312" customWidth="1"/>
    <col min="10242" max="10242" width="33.42578125" style="312" customWidth="1"/>
    <col min="10243" max="10243" width="19.7109375" style="312" customWidth="1"/>
    <col min="10244" max="10247" width="13.85546875" style="312" customWidth="1"/>
    <col min="10248" max="10248" width="12.28515625" style="312" customWidth="1"/>
    <col min="10249" max="10495" width="8.85546875" style="312"/>
    <col min="10496" max="10496" width="4.7109375" style="312" customWidth="1"/>
    <col min="10497" max="10497" width="28" style="312" customWidth="1"/>
    <col min="10498" max="10498" width="33.42578125" style="312" customWidth="1"/>
    <col min="10499" max="10499" width="19.7109375" style="312" customWidth="1"/>
    <col min="10500" max="10503" width="13.85546875" style="312" customWidth="1"/>
    <col min="10504" max="10504" width="12.28515625" style="312" customWidth="1"/>
    <col min="10505" max="10751" width="8.85546875" style="312"/>
    <col min="10752" max="10752" width="4.7109375" style="312" customWidth="1"/>
    <col min="10753" max="10753" width="28" style="312" customWidth="1"/>
    <col min="10754" max="10754" width="33.42578125" style="312" customWidth="1"/>
    <col min="10755" max="10755" width="19.7109375" style="312" customWidth="1"/>
    <col min="10756" max="10759" width="13.85546875" style="312" customWidth="1"/>
    <col min="10760" max="10760" width="12.28515625" style="312" customWidth="1"/>
    <col min="10761" max="11007" width="8.85546875" style="312"/>
    <col min="11008" max="11008" width="4.7109375" style="312" customWidth="1"/>
    <col min="11009" max="11009" width="28" style="312" customWidth="1"/>
    <col min="11010" max="11010" width="33.42578125" style="312" customWidth="1"/>
    <col min="11011" max="11011" width="19.7109375" style="312" customWidth="1"/>
    <col min="11012" max="11015" width="13.85546875" style="312" customWidth="1"/>
    <col min="11016" max="11016" width="12.28515625" style="312" customWidth="1"/>
    <col min="11017" max="11263" width="8.85546875" style="312"/>
    <col min="11264" max="11264" width="4.7109375" style="312" customWidth="1"/>
    <col min="11265" max="11265" width="28" style="312" customWidth="1"/>
    <col min="11266" max="11266" width="33.42578125" style="312" customWidth="1"/>
    <col min="11267" max="11267" width="19.7109375" style="312" customWidth="1"/>
    <col min="11268" max="11271" width="13.85546875" style="312" customWidth="1"/>
    <col min="11272" max="11272" width="12.28515625" style="312" customWidth="1"/>
    <col min="11273" max="11519" width="8.85546875" style="312"/>
    <col min="11520" max="11520" width="4.7109375" style="312" customWidth="1"/>
    <col min="11521" max="11521" width="28" style="312" customWidth="1"/>
    <col min="11522" max="11522" width="33.42578125" style="312" customWidth="1"/>
    <col min="11523" max="11523" width="19.7109375" style="312" customWidth="1"/>
    <col min="11524" max="11527" width="13.85546875" style="312" customWidth="1"/>
    <col min="11528" max="11528" width="12.28515625" style="312" customWidth="1"/>
    <col min="11529" max="11775" width="8.85546875" style="312"/>
    <col min="11776" max="11776" width="4.7109375" style="312" customWidth="1"/>
    <col min="11777" max="11777" width="28" style="312" customWidth="1"/>
    <col min="11778" max="11778" width="33.42578125" style="312" customWidth="1"/>
    <col min="11779" max="11779" width="19.7109375" style="312" customWidth="1"/>
    <col min="11780" max="11783" width="13.85546875" style="312" customWidth="1"/>
    <col min="11784" max="11784" width="12.28515625" style="312" customWidth="1"/>
    <col min="11785" max="12031" width="8.85546875" style="312"/>
    <col min="12032" max="12032" width="4.7109375" style="312" customWidth="1"/>
    <col min="12033" max="12033" width="28" style="312" customWidth="1"/>
    <col min="12034" max="12034" width="33.42578125" style="312" customWidth="1"/>
    <col min="12035" max="12035" width="19.7109375" style="312" customWidth="1"/>
    <col min="12036" max="12039" width="13.85546875" style="312" customWidth="1"/>
    <col min="12040" max="12040" width="12.28515625" style="312" customWidth="1"/>
    <col min="12041" max="12287" width="8.85546875" style="312"/>
    <col min="12288" max="12288" width="4.7109375" style="312" customWidth="1"/>
    <col min="12289" max="12289" width="28" style="312" customWidth="1"/>
    <col min="12290" max="12290" width="33.42578125" style="312" customWidth="1"/>
    <col min="12291" max="12291" width="19.7109375" style="312" customWidth="1"/>
    <col min="12292" max="12295" width="13.85546875" style="312" customWidth="1"/>
    <col min="12296" max="12296" width="12.28515625" style="312" customWidth="1"/>
    <col min="12297" max="12543" width="8.85546875" style="312"/>
    <col min="12544" max="12544" width="4.7109375" style="312" customWidth="1"/>
    <col min="12545" max="12545" width="28" style="312" customWidth="1"/>
    <col min="12546" max="12546" width="33.42578125" style="312" customWidth="1"/>
    <col min="12547" max="12547" width="19.7109375" style="312" customWidth="1"/>
    <col min="12548" max="12551" width="13.85546875" style="312" customWidth="1"/>
    <col min="12552" max="12552" width="12.28515625" style="312" customWidth="1"/>
    <col min="12553" max="12799" width="8.85546875" style="312"/>
    <col min="12800" max="12800" width="4.7109375" style="312" customWidth="1"/>
    <col min="12801" max="12801" width="28" style="312" customWidth="1"/>
    <col min="12802" max="12802" width="33.42578125" style="312" customWidth="1"/>
    <col min="12803" max="12803" width="19.7109375" style="312" customWidth="1"/>
    <col min="12804" max="12807" width="13.85546875" style="312" customWidth="1"/>
    <col min="12808" max="12808" width="12.28515625" style="312" customWidth="1"/>
    <col min="12809" max="13055" width="8.85546875" style="312"/>
    <col min="13056" max="13056" width="4.7109375" style="312" customWidth="1"/>
    <col min="13057" max="13057" width="28" style="312" customWidth="1"/>
    <col min="13058" max="13058" width="33.42578125" style="312" customWidth="1"/>
    <col min="13059" max="13059" width="19.7109375" style="312" customWidth="1"/>
    <col min="13060" max="13063" width="13.85546875" style="312" customWidth="1"/>
    <col min="13064" max="13064" width="12.28515625" style="312" customWidth="1"/>
    <col min="13065" max="13311" width="8.85546875" style="312"/>
    <col min="13312" max="13312" width="4.7109375" style="312" customWidth="1"/>
    <col min="13313" max="13313" width="28" style="312" customWidth="1"/>
    <col min="13314" max="13314" width="33.42578125" style="312" customWidth="1"/>
    <col min="13315" max="13315" width="19.7109375" style="312" customWidth="1"/>
    <col min="13316" max="13319" width="13.85546875" style="312" customWidth="1"/>
    <col min="13320" max="13320" width="12.28515625" style="312" customWidth="1"/>
    <col min="13321" max="13567" width="8.85546875" style="312"/>
    <col min="13568" max="13568" width="4.7109375" style="312" customWidth="1"/>
    <col min="13569" max="13569" width="28" style="312" customWidth="1"/>
    <col min="13570" max="13570" width="33.42578125" style="312" customWidth="1"/>
    <col min="13571" max="13571" width="19.7109375" style="312" customWidth="1"/>
    <col min="13572" max="13575" width="13.85546875" style="312" customWidth="1"/>
    <col min="13576" max="13576" width="12.28515625" style="312" customWidth="1"/>
    <col min="13577" max="13823" width="8.85546875" style="312"/>
    <col min="13824" max="13824" width="4.7109375" style="312" customWidth="1"/>
    <col min="13825" max="13825" width="28" style="312" customWidth="1"/>
    <col min="13826" max="13826" width="33.42578125" style="312" customWidth="1"/>
    <col min="13827" max="13827" width="19.7109375" style="312" customWidth="1"/>
    <col min="13828" max="13831" width="13.85546875" style="312" customWidth="1"/>
    <col min="13832" max="13832" width="12.28515625" style="312" customWidth="1"/>
    <col min="13833" max="14079" width="8.85546875" style="312"/>
    <col min="14080" max="14080" width="4.7109375" style="312" customWidth="1"/>
    <col min="14081" max="14081" width="28" style="312" customWidth="1"/>
    <col min="14082" max="14082" width="33.42578125" style="312" customWidth="1"/>
    <col min="14083" max="14083" width="19.7109375" style="312" customWidth="1"/>
    <col min="14084" max="14087" width="13.85546875" style="312" customWidth="1"/>
    <col min="14088" max="14088" width="12.28515625" style="312" customWidth="1"/>
    <col min="14089" max="14335" width="8.85546875" style="312"/>
    <col min="14336" max="14336" width="4.7109375" style="312" customWidth="1"/>
    <col min="14337" max="14337" width="28" style="312" customWidth="1"/>
    <col min="14338" max="14338" width="33.42578125" style="312" customWidth="1"/>
    <col min="14339" max="14339" width="19.7109375" style="312" customWidth="1"/>
    <col min="14340" max="14343" width="13.85546875" style="312" customWidth="1"/>
    <col min="14344" max="14344" width="12.28515625" style="312" customWidth="1"/>
    <col min="14345" max="14591" width="8.85546875" style="312"/>
    <col min="14592" max="14592" width="4.7109375" style="312" customWidth="1"/>
    <col min="14593" max="14593" width="28" style="312" customWidth="1"/>
    <col min="14594" max="14594" width="33.42578125" style="312" customWidth="1"/>
    <col min="14595" max="14595" width="19.7109375" style="312" customWidth="1"/>
    <col min="14596" max="14599" width="13.85546875" style="312" customWidth="1"/>
    <col min="14600" max="14600" width="12.28515625" style="312" customWidth="1"/>
    <col min="14601" max="14847" width="8.85546875" style="312"/>
    <col min="14848" max="14848" width="4.7109375" style="312" customWidth="1"/>
    <col min="14849" max="14849" width="28" style="312" customWidth="1"/>
    <col min="14850" max="14850" width="33.42578125" style="312" customWidth="1"/>
    <col min="14851" max="14851" width="19.7109375" style="312" customWidth="1"/>
    <col min="14852" max="14855" width="13.85546875" style="312" customWidth="1"/>
    <col min="14856" max="14856" width="12.28515625" style="312" customWidth="1"/>
    <col min="14857" max="15103" width="8.85546875" style="312"/>
    <col min="15104" max="15104" width="4.7109375" style="312" customWidth="1"/>
    <col min="15105" max="15105" width="28" style="312" customWidth="1"/>
    <col min="15106" max="15106" width="33.42578125" style="312" customWidth="1"/>
    <col min="15107" max="15107" width="19.7109375" style="312" customWidth="1"/>
    <col min="15108" max="15111" width="13.85546875" style="312" customWidth="1"/>
    <col min="15112" max="15112" width="12.28515625" style="312" customWidth="1"/>
    <col min="15113" max="15359" width="8.85546875" style="312"/>
    <col min="15360" max="15360" width="4.7109375" style="312" customWidth="1"/>
    <col min="15361" max="15361" width="28" style="312" customWidth="1"/>
    <col min="15362" max="15362" width="33.42578125" style="312" customWidth="1"/>
    <col min="15363" max="15363" width="19.7109375" style="312" customWidth="1"/>
    <col min="15364" max="15367" width="13.85546875" style="312" customWidth="1"/>
    <col min="15368" max="15368" width="12.28515625" style="312" customWidth="1"/>
    <col min="15369" max="15615" width="8.85546875" style="312"/>
    <col min="15616" max="15616" width="4.7109375" style="312" customWidth="1"/>
    <col min="15617" max="15617" width="28" style="312" customWidth="1"/>
    <col min="15618" max="15618" width="33.42578125" style="312" customWidth="1"/>
    <col min="15619" max="15619" width="19.7109375" style="312" customWidth="1"/>
    <col min="15620" max="15623" width="13.85546875" style="312" customWidth="1"/>
    <col min="15624" max="15624" width="12.28515625" style="312" customWidth="1"/>
    <col min="15625" max="15871" width="8.85546875" style="312"/>
    <col min="15872" max="15872" width="4.7109375" style="312" customWidth="1"/>
    <col min="15873" max="15873" width="28" style="312" customWidth="1"/>
    <col min="15874" max="15874" width="33.42578125" style="312" customWidth="1"/>
    <col min="15875" max="15875" width="19.7109375" style="312" customWidth="1"/>
    <col min="15876" max="15879" width="13.85546875" style="312" customWidth="1"/>
    <col min="15880" max="15880" width="12.28515625" style="312" customWidth="1"/>
    <col min="15881" max="16127" width="8.85546875" style="312"/>
    <col min="16128" max="16128" width="4.7109375" style="312" customWidth="1"/>
    <col min="16129" max="16129" width="28" style="312" customWidth="1"/>
    <col min="16130" max="16130" width="33.42578125" style="312" customWidth="1"/>
    <col min="16131" max="16131" width="19.7109375" style="312" customWidth="1"/>
    <col min="16132" max="16135" width="13.85546875" style="312" customWidth="1"/>
    <col min="16136" max="16136" width="12.28515625" style="312" customWidth="1"/>
    <col min="16137" max="16137" width="8.85546875" style="312"/>
    <col min="16138" max="16384" width="9.140625" style="312"/>
  </cols>
  <sheetData>
    <row r="1" spans="1:8" ht="18.75" hidden="1" customHeight="1">
      <c r="A1" s="311"/>
    </row>
    <row r="2" spans="1:8" ht="18.75" hidden="1" customHeight="1">
      <c r="H2" s="313"/>
    </row>
    <row r="3" spans="1:8" ht="21.75" customHeight="1">
      <c r="A3" s="418" t="s">
        <v>79</v>
      </c>
      <c r="B3" s="418" t="s">
        <v>682</v>
      </c>
      <c r="C3" s="418" t="s">
        <v>683</v>
      </c>
      <c r="D3" s="418" t="s">
        <v>684</v>
      </c>
      <c r="E3" s="418" t="s">
        <v>685</v>
      </c>
      <c r="F3" s="418" t="s">
        <v>686</v>
      </c>
      <c r="G3" s="418" t="s">
        <v>687</v>
      </c>
      <c r="H3" s="418" t="s">
        <v>760</v>
      </c>
    </row>
    <row r="4" spans="1:8" ht="21.75" customHeight="1">
      <c r="A4" s="418"/>
      <c r="B4" s="418"/>
      <c r="C4" s="418"/>
      <c r="D4" s="418"/>
      <c r="E4" s="418"/>
      <c r="F4" s="418"/>
      <c r="G4" s="418"/>
      <c r="H4" s="418"/>
    </row>
    <row r="5" spans="1:8" ht="30" customHeight="1">
      <c r="A5" s="314">
        <v>1</v>
      </c>
      <c r="B5" s="315" t="s">
        <v>382</v>
      </c>
      <c r="C5" s="315" t="s">
        <v>688</v>
      </c>
      <c r="D5" s="315" t="s">
        <v>689</v>
      </c>
      <c r="E5" s="316">
        <v>80000000</v>
      </c>
      <c r="F5" s="316">
        <v>80000000</v>
      </c>
      <c r="G5" s="316">
        <f>'TH - TT'!G19</f>
        <v>80000000</v>
      </c>
      <c r="H5" s="316">
        <f t="shared" ref="H5:H29" si="0">IF(E5&gt;F5,E5,F5)</f>
        <v>80000000</v>
      </c>
    </row>
    <row r="6" spans="1:8" ht="30" customHeight="1">
      <c r="A6" s="317">
        <v>2</v>
      </c>
      <c r="B6" s="318" t="s">
        <v>748</v>
      </c>
      <c r="C6" s="7" t="s">
        <v>86</v>
      </c>
      <c r="D6" s="318" t="s">
        <v>749</v>
      </c>
      <c r="E6" s="319">
        <f>60500000+428000000</f>
        <v>488500000</v>
      </c>
      <c r="F6" s="319">
        <v>60500000</v>
      </c>
      <c r="G6" s="316">
        <f>'TH - TT'!G77+'TH - TT'!G73</f>
        <v>188900000</v>
      </c>
      <c r="H6" s="316">
        <f t="shared" si="0"/>
        <v>488500000</v>
      </c>
    </row>
    <row r="7" spans="1:8" ht="30" customHeight="1">
      <c r="A7" s="314">
        <v>3</v>
      </c>
      <c r="B7" s="318" t="s">
        <v>690</v>
      </c>
      <c r="C7" s="318" t="s">
        <v>691</v>
      </c>
      <c r="D7" s="318" t="s">
        <v>692</v>
      </c>
      <c r="E7" s="319"/>
      <c r="F7" s="319">
        <v>30800005</v>
      </c>
      <c r="G7" s="316">
        <f>'TH - TT'!G22</f>
        <v>30800005</v>
      </c>
      <c r="H7" s="316">
        <f t="shared" si="0"/>
        <v>30800005</v>
      </c>
    </row>
    <row r="8" spans="1:8" ht="30" customHeight="1">
      <c r="A8" s="317">
        <v>4</v>
      </c>
      <c r="B8" s="318" t="s">
        <v>385</v>
      </c>
      <c r="C8" s="318" t="s">
        <v>693</v>
      </c>
      <c r="D8" s="318" t="s">
        <v>694</v>
      </c>
      <c r="E8" s="319">
        <v>16327199</v>
      </c>
      <c r="F8" s="319">
        <v>16327199</v>
      </c>
      <c r="G8" s="316">
        <f>'TH - TT'!G34</f>
        <v>16327199</v>
      </c>
      <c r="H8" s="316">
        <f t="shared" si="0"/>
        <v>16327199</v>
      </c>
    </row>
    <row r="9" spans="1:8" ht="30" customHeight="1">
      <c r="A9" s="314">
        <v>5</v>
      </c>
      <c r="B9" s="318" t="s">
        <v>695</v>
      </c>
      <c r="C9" s="318" t="s">
        <v>696</v>
      </c>
      <c r="D9" s="318" t="s">
        <v>697</v>
      </c>
      <c r="E9" s="319">
        <f>1262599800+324737600</f>
        <v>1587337400</v>
      </c>
      <c r="F9" s="319">
        <f>324737600+1262599800</f>
        <v>1587337400</v>
      </c>
      <c r="G9" s="316">
        <f>'TH - TT'!G43</f>
        <v>1587337400</v>
      </c>
      <c r="H9" s="316">
        <f t="shared" si="0"/>
        <v>1587337400</v>
      </c>
    </row>
    <row r="10" spans="1:8" ht="30" customHeight="1">
      <c r="A10" s="317">
        <v>6</v>
      </c>
      <c r="B10" s="318" t="s">
        <v>389</v>
      </c>
      <c r="C10" s="318" t="s">
        <v>698</v>
      </c>
      <c r="D10" s="318" t="s">
        <v>699</v>
      </c>
      <c r="E10" s="319">
        <v>230800000</v>
      </c>
      <c r="F10" s="319">
        <v>289000000</v>
      </c>
      <c r="G10" s="316">
        <f>'TH - TT'!G57</f>
        <v>289000000</v>
      </c>
      <c r="H10" s="316">
        <f t="shared" si="0"/>
        <v>289000000</v>
      </c>
    </row>
    <row r="11" spans="1:8" ht="30" customHeight="1">
      <c r="A11" s="314">
        <v>7</v>
      </c>
      <c r="B11" s="318" t="s">
        <v>700</v>
      </c>
      <c r="C11" s="318" t="s">
        <v>701</v>
      </c>
      <c r="D11" s="318" t="s">
        <v>702</v>
      </c>
      <c r="E11" s="319">
        <v>200000000</v>
      </c>
      <c r="F11" s="319"/>
      <c r="G11" s="316">
        <f>'TH - TT'!G110</f>
        <v>150000000</v>
      </c>
      <c r="H11" s="316">
        <f t="shared" si="0"/>
        <v>200000000</v>
      </c>
    </row>
    <row r="12" spans="1:8" ht="30" customHeight="1">
      <c r="A12" s="317">
        <v>8</v>
      </c>
      <c r="B12" s="318" t="s">
        <v>703</v>
      </c>
      <c r="C12" s="318" t="s">
        <v>704</v>
      </c>
      <c r="D12" s="318" t="s">
        <v>705</v>
      </c>
      <c r="E12" s="319">
        <v>12322555140</v>
      </c>
      <c r="F12" s="319">
        <v>8500000000</v>
      </c>
      <c r="G12" s="316">
        <f>'TH - TT'!G104</f>
        <v>8650000000</v>
      </c>
      <c r="H12" s="316">
        <f t="shared" si="0"/>
        <v>12322555140</v>
      </c>
    </row>
    <row r="13" spans="1:8" ht="30" customHeight="1">
      <c r="A13" s="332">
        <v>9</v>
      </c>
      <c r="B13" s="333" t="s">
        <v>706</v>
      </c>
      <c r="C13" s="333" t="s">
        <v>707</v>
      </c>
      <c r="D13" s="333" t="s">
        <v>745</v>
      </c>
      <c r="E13" s="334">
        <f>2508700000+501400000</f>
        <v>3010100000</v>
      </c>
      <c r="F13" s="334">
        <v>2200000000</v>
      </c>
      <c r="G13" s="335">
        <f>'TH - TT'!G124</f>
        <v>2603610000</v>
      </c>
      <c r="H13" s="335">
        <f t="shared" si="0"/>
        <v>3010100000</v>
      </c>
    </row>
    <row r="14" spans="1:8" ht="30" customHeight="1">
      <c r="A14" s="317">
        <v>10</v>
      </c>
      <c r="B14" s="318" t="s">
        <v>708</v>
      </c>
      <c r="C14" s="318" t="s">
        <v>138</v>
      </c>
      <c r="D14" s="318" t="s">
        <v>709</v>
      </c>
      <c r="E14" s="319">
        <v>3500000000</v>
      </c>
      <c r="F14" s="319">
        <v>2200000000</v>
      </c>
      <c r="G14" s="316">
        <f>'TH - TT'!G135</f>
        <v>3200000000</v>
      </c>
      <c r="H14" s="316">
        <f t="shared" si="0"/>
        <v>3500000000</v>
      </c>
    </row>
    <row r="15" spans="1:8" ht="30" customHeight="1">
      <c r="A15" s="314">
        <v>11</v>
      </c>
      <c r="B15" s="318" t="s">
        <v>398</v>
      </c>
      <c r="C15" s="318" t="s">
        <v>710</v>
      </c>
      <c r="D15" s="318" t="s">
        <v>711</v>
      </c>
      <c r="E15" s="319">
        <v>1858997690</v>
      </c>
      <c r="F15" s="319"/>
      <c r="G15" s="316">
        <f>'TH - TT'!G139</f>
        <v>360000000</v>
      </c>
      <c r="H15" s="316">
        <f t="shared" si="0"/>
        <v>1858997690</v>
      </c>
    </row>
    <row r="16" spans="1:8" ht="30" customHeight="1">
      <c r="A16" s="317">
        <v>12</v>
      </c>
      <c r="B16" s="318" t="s">
        <v>407</v>
      </c>
      <c r="C16" s="318" t="s">
        <v>712</v>
      </c>
      <c r="D16" s="318" t="s">
        <v>713</v>
      </c>
      <c r="E16" s="319">
        <v>3652000000</v>
      </c>
      <c r="F16" s="319"/>
      <c r="G16" s="316">
        <f>'TH - TT'!G207</f>
        <v>1750000000</v>
      </c>
      <c r="H16" s="316">
        <f t="shared" si="0"/>
        <v>3652000000</v>
      </c>
    </row>
    <row r="17" spans="1:8" ht="30" customHeight="1">
      <c r="A17" s="314">
        <v>13</v>
      </c>
      <c r="B17" s="318" t="s">
        <v>714</v>
      </c>
      <c r="C17" s="318" t="s">
        <v>715</v>
      </c>
      <c r="D17" s="318" t="s">
        <v>716</v>
      </c>
      <c r="E17" s="319">
        <v>650650000</v>
      </c>
      <c r="F17" s="319"/>
      <c r="G17" s="316">
        <f>'TH - TT'!G144</f>
        <v>335195000</v>
      </c>
      <c r="H17" s="316">
        <f t="shared" si="0"/>
        <v>650650000</v>
      </c>
    </row>
    <row r="18" spans="1:8" ht="30" customHeight="1">
      <c r="A18" s="317">
        <v>14</v>
      </c>
      <c r="B18" s="318" t="s">
        <v>717</v>
      </c>
      <c r="C18" s="318" t="s">
        <v>718</v>
      </c>
      <c r="D18" s="318" t="s">
        <v>719</v>
      </c>
      <c r="E18" s="319">
        <v>394100000</v>
      </c>
      <c r="F18" s="319"/>
      <c r="G18" s="316">
        <f>'TH - TT'!G159</f>
        <v>100000000</v>
      </c>
      <c r="H18" s="316">
        <f t="shared" si="0"/>
        <v>394100000</v>
      </c>
    </row>
    <row r="19" spans="1:8" ht="30" customHeight="1">
      <c r="A19" s="314">
        <v>15</v>
      </c>
      <c r="B19" s="318" t="s">
        <v>720</v>
      </c>
      <c r="C19" s="318" t="s">
        <v>721</v>
      </c>
      <c r="D19" s="318" t="s">
        <v>722</v>
      </c>
      <c r="E19" s="319">
        <f>898744036+627830692</f>
        <v>1526574728</v>
      </c>
      <c r="F19" s="319"/>
      <c r="G19" s="316">
        <f>'TH - TT'!G169</f>
        <v>1050000000</v>
      </c>
      <c r="H19" s="316">
        <f t="shared" si="0"/>
        <v>1526574728</v>
      </c>
    </row>
    <row r="20" spans="1:8" ht="30" customHeight="1">
      <c r="A20" s="317">
        <v>16</v>
      </c>
      <c r="B20" s="318" t="s">
        <v>402</v>
      </c>
      <c r="C20" s="318" t="s">
        <v>401</v>
      </c>
      <c r="D20" s="318" t="s">
        <v>723</v>
      </c>
      <c r="E20" s="319">
        <v>226999800</v>
      </c>
      <c r="F20" s="319">
        <v>255297700</v>
      </c>
      <c r="G20" s="316">
        <f>'TH - TT'!G149</f>
        <v>255297700</v>
      </c>
      <c r="H20" s="316">
        <f t="shared" si="0"/>
        <v>255297700</v>
      </c>
    </row>
    <row r="21" spans="1:8" ht="30" customHeight="1">
      <c r="A21" s="314">
        <v>17</v>
      </c>
      <c r="B21" s="318" t="s">
        <v>724</v>
      </c>
      <c r="C21" s="318" t="s">
        <v>401</v>
      </c>
      <c r="D21" s="318" t="s">
        <v>725</v>
      </c>
      <c r="E21" s="319">
        <v>866000000</v>
      </c>
      <c r="F21" s="319">
        <v>615919120</v>
      </c>
      <c r="G21" s="316">
        <f>'TH - TT'!G155</f>
        <v>501012500</v>
      </c>
      <c r="H21" s="316">
        <f t="shared" si="0"/>
        <v>866000000</v>
      </c>
    </row>
    <row r="22" spans="1:8" ht="30" customHeight="1">
      <c r="A22" s="317">
        <v>18</v>
      </c>
      <c r="B22" s="318" t="s">
        <v>726</v>
      </c>
      <c r="C22" s="318" t="s">
        <v>190</v>
      </c>
      <c r="D22" s="318" t="s">
        <v>727</v>
      </c>
      <c r="E22" s="319">
        <v>893000000</v>
      </c>
      <c r="F22" s="319">
        <v>1161784000</v>
      </c>
      <c r="G22" s="316">
        <f>'TH - TT'!G178</f>
        <v>1050000000</v>
      </c>
      <c r="H22" s="316">
        <f t="shared" si="0"/>
        <v>1161784000</v>
      </c>
    </row>
    <row r="23" spans="1:8" ht="30" customHeight="1">
      <c r="A23" s="314">
        <v>19</v>
      </c>
      <c r="B23" s="318" t="s">
        <v>728</v>
      </c>
      <c r="C23" s="318" t="s">
        <v>269</v>
      </c>
      <c r="D23" s="318" t="s">
        <v>729</v>
      </c>
      <c r="E23" s="319">
        <v>1489950000</v>
      </c>
      <c r="F23" s="319"/>
      <c r="G23" s="316">
        <f>'TH - TT'!G188</f>
        <v>1600000000</v>
      </c>
      <c r="H23" s="316">
        <f t="shared" si="0"/>
        <v>1489950000</v>
      </c>
    </row>
    <row r="24" spans="1:8" ht="30" customHeight="1">
      <c r="A24" s="317">
        <v>20</v>
      </c>
      <c r="B24" s="318" t="s">
        <v>730</v>
      </c>
      <c r="C24" s="318" t="s">
        <v>731</v>
      </c>
      <c r="D24" s="318" t="s">
        <v>732</v>
      </c>
      <c r="E24" s="319">
        <v>570000000</v>
      </c>
      <c r="F24" s="319">
        <v>399000000</v>
      </c>
      <c r="G24" s="316">
        <f>'TH - TT'!G193</f>
        <v>399000000</v>
      </c>
      <c r="H24" s="316">
        <f t="shared" si="0"/>
        <v>570000000</v>
      </c>
    </row>
    <row r="25" spans="1:8" ht="30" customHeight="1">
      <c r="A25" s="314">
        <v>21</v>
      </c>
      <c r="B25" s="318" t="s">
        <v>733</v>
      </c>
      <c r="C25" s="318" t="s">
        <v>285</v>
      </c>
      <c r="D25" s="318" t="s">
        <v>734</v>
      </c>
      <c r="E25" s="319"/>
      <c r="F25" s="319">
        <v>30440000</v>
      </c>
      <c r="G25" s="316">
        <f>'TH - TT'!G25</f>
        <v>30440000</v>
      </c>
      <c r="H25" s="316">
        <f t="shared" si="0"/>
        <v>30440000</v>
      </c>
    </row>
    <row r="26" spans="1:8" ht="30" customHeight="1">
      <c r="A26" s="317">
        <v>22</v>
      </c>
      <c r="B26" s="318" t="s">
        <v>735</v>
      </c>
      <c r="C26" s="318" t="s">
        <v>736</v>
      </c>
      <c r="D26" s="318" t="s">
        <v>737</v>
      </c>
      <c r="E26" s="319"/>
      <c r="F26" s="319">
        <v>53060000</v>
      </c>
      <c r="G26" s="316">
        <f>'TH - TT'!G65</f>
        <v>53060000</v>
      </c>
      <c r="H26" s="316">
        <f t="shared" si="0"/>
        <v>53060000</v>
      </c>
    </row>
    <row r="27" spans="1:8" ht="30" customHeight="1">
      <c r="A27" s="314">
        <v>23</v>
      </c>
      <c r="B27" s="318" t="s">
        <v>738</v>
      </c>
      <c r="C27" s="318" t="s">
        <v>739</v>
      </c>
      <c r="D27" s="318" t="s">
        <v>740</v>
      </c>
      <c r="E27" s="319">
        <v>282530000</v>
      </c>
      <c r="F27" s="319"/>
      <c r="G27" s="316">
        <f>'TH - TT'!G216</f>
        <v>270000000</v>
      </c>
      <c r="H27" s="316">
        <f t="shared" si="0"/>
        <v>282530000</v>
      </c>
    </row>
    <row r="28" spans="1:8" ht="30" customHeight="1">
      <c r="A28" s="317">
        <v>24</v>
      </c>
      <c r="B28" s="318" t="s">
        <v>741</v>
      </c>
      <c r="C28" s="318" t="s">
        <v>742</v>
      </c>
      <c r="D28" s="318" t="s">
        <v>743</v>
      </c>
      <c r="E28" s="319">
        <v>150126466</v>
      </c>
      <c r="F28" s="319">
        <v>150126466</v>
      </c>
      <c r="G28" s="316">
        <f>'TH - TT'!G62</f>
        <v>150126466</v>
      </c>
      <c r="H28" s="316">
        <f t="shared" si="0"/>
        <v>150126466</v>
      </c>
    </row>
    <row r="29" spans="1:8" ht="30" customHeight="1">
      <c r="A29" s="314">
        <v>25</v>
      </c>
      <c r="B29" s="318" t="s">
        <v>746</v>
      </c>
      <c r="C29" s="318" t="s">
        <v>495</v>
      </c>
      <c r="D29" s="318" t="s">
        <v>747</v>
      </c>
      <c r="E29" s="319">
        <v>599632000</v>
      </c>
      <c r="F29" s="319">
        <v>599632000</v>
      </c>
      <c r="G29" s="316">
        <f>'TH - TT'!G220</f>
        <v>200000000</v>
      </c>
      <c r="H29" s="316">
        <f t="shared" si="0"/>
        <v>599632000</v>
      </c>
    </row>
    <row r="30" spans="1:8" ht="30" customHeight="1">
      <c r="A30" s="320"/>
      <c r="B30" s="318"/>
      <c r="C30" s="318"/>
      <c r="D30" s="318"/>
      <c r="E30" s="319"/>
      <c r="F30" s="319"/>
      <c r="G30" s="316"/>
      <c r="H30" s="316"/>
    </row>
    <row r="31" spans="1:8" s="322" customFormat="1" ht="30" customHeight="1">
      <c r="A31" s="419" t="s">
        <v>744</v>
      </c>
      <c r="B31" s="419"/>
      <c r="C31" s="419"/>
      <c r="D31" s="419"/>
      <c r="E31" s="321">
        <f>SUM(E5:E30)</f>
        <v>34596180423</v>
      </c>
      <c r="F31" s="321">
        <f>SUM(F5:F30)</f>
        <v>18229223890</v>
      </c>
      <c r="G31" s="321">
        <f>SUM(G5:G30)</f>
        <v>24900106270</v>
      </c>
      <c r="H31" s="321">
        <f>SUM(H5:H30)</f>
        <v>35065762328</v>
      </c>
    </row>
  </sheetData>
  <mergeCells count="9">
    <mergeCell ref="G3:G4"/>
    <mergeCell ref="H3:H4"/>
    <mergeCell ref="A31:D31"/>
    <mergeCell ref="A3:A4"/>
    <mergeCell ref="B3:B4"/>
    <mergeCell ref="C3:C4"/>
    <mergeCell ref="D3:D4"/>
    <mergeCell ref="E3:E4"/>
    <mergeCell ref="F3:F4"/>
  </mergeCells>
  <pageMargins left="0.17" right="0.13" top="0.24" bottom="0.16" header="0.3" footer="0.16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CDPS</vt:lpstr>
      <vt:lpstr>TH</vt:lpstr>
      <vt:lpstr>331</vt:lpstr>
      <vt:lpstr>331-CT</vt:lpstr>
      <vt:lpstr>TH - TT</vt:lpstr>
      <vt:lpstr>tra vinh</vt:lpstr>
      <vt:lpstr>DSKH</vt:lpstr>
      <vt:lpstr>DSTK</vt:lpstr>
      <vt:lpstr>DSTT</vt:lpstr>
      <vt:lpstr>DSTT1</vt:lpstr>
      <vt:lpstr>KH</vt:lpstr>
      <vt:lpstr>KHC</vt:lpstr>
      <vt:lpstr>KHN</vt:lpstr>
      <vt:lpstr>'TH - TT'!Print_Area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2015-11-03T06:34:21Z</cp:lastPrinted>
  <dcterms:created xsi:type="dcterms:W3CDTF">1996-10-14T23:33:28Z</dcterms:created>
  <dcterms:modified xsi:type="dcterms:W3CDTF">2015-11-05T04:02:47Z</dcterms:modified>
</cp:coreProperties>
</file>