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05" windowWidth="14940" windowHeight="8745" tabRatio="968" firstSheet="10" activeTab="23"/>
  </bookViews>
  <sheets>
    <sheet name="T.KẾT" sheetId="26" r:id="rId1"/>
    <sheet name="Q.TIÊN" sheetId="6" r:id="rId2"/>
    <sheet name="TỶ LIÊN" sheetId="8" r:id="rId3"/>
    <sheet name="DŨNG KG1" sheetId="111" r:id="rId4"/>
    <sheet name="CƠ HT" sheetId="1" r:id="rId5"/>
    <sheet name="SÁCH VT" sheetId="100" r:id="rId6"/>
    <sheet name="THANH KG" sheetId="103" r:id="rId7"/>
    <sheet name="NHÂN CM" sheetId="114" r:id="rId8"/>
    <sheet name="HIỆP (PT)" sheetId="80" r:id="rId9"/>
    <sheet name="THANHMN" sheetId="2" r:id="rId10"/>
    <sheet name="A.LỢI BC" sheetId="105" r:id="rId11"/>
    <sheet name="HƯƠNG ST" sheetId="104" r:id="rId12"/>
    <sheet name="TRÍ HẢO VT" sheetId="101" r:id="rId13"/>
    <sheet name="MẠNH VT" sheetId="112" r:id="rId14"/>
    <sheet name="D.ĐIỂM" sheetId="41" r:id="rId15"/>
    <sheet name="TRẮNG (VL)" sheetId="102" r:id="rId16"/>
    <sheet name="RUÔNG (CL)" sheetId="106" r:id="rId17"/>
    <sheet name="6 NHẦM" sheetId="88" r:id="rId18"/>
    <sheet name="DŨNG KG" sheetId="107" r:id="rId19"/>
    <sheet name="CÚC VT" sheetId="108" r:id="rId20"/>
    <sheet name="THỦY KG" sheetId="109" r:id="rId21"/>
    <sheet name="PHÁN VT" sheetId="113" r:id="rId22"/>
    <sheet name="7 NGHĨA" sheetId="115" r:id="rId23"/>
    <sheet name="8 LẬP" sheetId="116" r:id="rId24"/>
    <sheet name="Sheet1" sheetId="62" r:id="rId25"/>
  </sheets>
  <externalReferences>
    <externalReference r:id="rId26"/>
  </externalReferences>
  <definedNames>
    <definedName name="_xlnm._FilterDatabase" localSheetId="17" hidden="1">'6 NHẦM'!$A$9:$I$9</definedName>
    <definedName name="_xlnm._FilterDatabase" localSheetId="22" hidden="1">'7 NGHĨA'!$A$9:$I$9</definedName>
    <definedName name="_xlnm._FilterDatabase" localSheetId="23" hidden="1">'8 LẬP'!$A$9:$I$9</definedName>
    <definedName name="_xlnm._FilterDatabase" localSheetId="10" hidden="1">'A.LỢI BC'!$A$9:$H$9</definedName>
    <definedName name="_xlnm._FilterDatabase" localSheetId="4" hidden="1">'CƠ HT'!$A$9:$I$9</definedName>
    <definedName name="_xlnm._FilterDatabase" localSheetId="19" hidden="1">'CÚC VT'!$A$9:$I$9</definedName>
    <definedName name="_xlnm._FilterDatabase" localSheetId="14" hidden="1">D.ĐIỂM!$A$9:$H$9</definedName>
    <definedName name="_xlnm._FilterDatabase" localSheetId="18" hidden="1">'DŨNG KG'!$A$9:$I$9</definedName>
    <definedName name="_xlnm._FilterDatabase" localSheetId="3" hidden="1">'DŨNG KG1'!$A$9:$I$9</definedName>
    <definedName name="_xlnm._FilterDatabase" localSheetId="8" hidden="1">'HIỆP (PT)'!$A$9:$I$143</definedName>
    <definedName name="_xlnm._FilterDatabase" localSheetId="11" hidden="1">'HƯƠNG ST'!$A$9:$H$9</definedName>
    <definedName name="_xlnm._FilterDatabase" localSheetId="13" hidden="1">'MẠNH VT'!$A$9:$J$9</definedName>
    <definedName name="_xlnm._FilterDatabase" localSheetId="7" hidden="1">'NHÂN CM'!$A$9:$I$39</definedName>
    <definedName name="_xlnm._FilterDatabase" localSheetId="21" hidden="1">'PHÁN VT'!$A$9:$J$9</definedName>
    <definedName name="_xlnm._FilterDatabase" localSheetId="1" hidden="1">Q.TIÊN!$A$9:$I$9</definedName>
    <definedName name="_xlnm._FilterDatabase" localSheetId="16" hidden="1">'RUÔNG (CL)'!$A$9:$H$9</definedName>
    <definedName name="_xlnm._FilterDatabase" localSheetId="5" hidden="1">'SÁCH VT'!$A$9:$H$9</definedName>
    <definedName name="_xlnm._FilterDatabase" localSheetId="6" hidden="1">'THANH KG'!$A$9:$I$39</definedName>
    <definedName name="_xlnm._FilterDatabase" localSheetId="9" hidden="1">THANHMN!$A$9:$H$9</definedName>
    <definedName name="_xlnm._FilterDatabase" localSheetId="20" hidden="1">'THỦY KG'!$A$9:$I$9</definedName>
    <definedName name="_xlnm._FilterDatabase" localSheetId="15" hidden="1">'TRẮNG (VL)'!$A$9:$I$9</definedName>
    <definedName name="_xlnm._FilterDatabase" localSheetId="12" hidden="1">'TRÍ HẢO VT'!$A$9:$J$220</definedName>
    <definedName name="_xlnm._FilterDatabase" localSheetId="2" hidden="1">'TỶ LIÊN'!$A$9:$H$9</definedName>
    <definedName name="_xlnm.Print_Area" localSheetId="24">Sheet1!$C$16:$L$16</definedName>
  </definedNames>
  <calcPr calcId="124519"/>
</workbook>
</file>

<file path=xl/calcChain.xml><?xml version="1.0" encoding="utf-8"?>
<calcChain xmlns="http://schemas.openxmlformats.org/spreadsheetml/2006/main">
  <c r="F70" i="41"/>
  <c r="G67"/>
  <c r="G68" s="1"/>
  <c r="G69" s="1"/>
  <c r="G70" s="1"/>
  <c r="G71" s="1"/>
  <c r="G72" s="1"/>
  <c r="G76"/>
  <c r="G77"/>
  <c r="G78"/>
  <c r="G79"/>
  <c r="F21" i="104" l="1"/>
  <c r="E21"/>
  <c r="G21" s="1"/>
  <c r="E77" i="111"/>
  <c r="H77" s="1"/>
  <c r="G12" i="108"/>
  <c r="G11" i="109"/>
  <c r="G13" i="116"/>
  <c r="E9" i="26" a="1"/>
  <c r="E9" s="1"/>
  <c r="E10" a="1"/>
  <c r="E10" s="1"/>
  <c r="E11" a="1"/>
  <c r="E11" s="1"/>
  <c r="E12" a="1"/>
  <c r="E12" s="1"/>
  <c r="E13" a="1"/>
  <c r="E13" s="1"/>
  <c r="E14" a="1"/>
  <c r="E14" s="1"/>
  <c r="E15" a="1"/>
  <c r="E15" s="1"/>
  <c r="E16" a="1"/>
  <c r="E16" s="1"/>
  <c r="G22" i="116"/>
  <c r="F22"/>
  <c r="H21"/>
  <c r="E21"/>
  <c r="H20"/>
  <c r="E20"/>
  <c r="H19"/>
  <c r="E19"/>
  <c r="H18"/>
  <c r="E18"/>
  <c r="H17"/>
  <c r="E17"/>
  <c r="H16"/>
  <c r="E16"/>
  <c r="H15"/>
  <c r="E15"/>
  <c r="H14"/>
  <c r="E14"/>
  <c r="H13"/>
  <c r="E13"/>
  <c r="E12"/>
  <c r="E11"/>
  <c r="E10"/>
  <c r="G22" i="115"/>
  <c r="F22"/>
  <c r="H21"/>
  <c r="E21"/>
  <c r="H20"/>
  <c r="E20"/>
  <c r="H19"/>
  <c r="E19"/>
  <c r="H18"/>
  <c r="E18"/>
  <c r="H17"/>
  <c r="E17"/>
  <c r="H16"/>
  <c r="E16"/>
  <c r="H15"/>
  <c r="E15"/>
  <c r="H14"/>
  <c r="E14"/>
  <c r="H13"/>
  <c r="E13"/>
  <c r="H12"/>
  <c r="E12"/>
  <c r="E11"/>
  <c r="E10"/>
  <c r="G58" i="102"/>
  <c r="E69" i="41"/>
  <c r="I190" i="101"/>
  <c r="I191"/>
  <c r="I192"/>
  <c r="I193"/>
  <c r="E64" i="2"/>
  <c r="G64"/>
  <c r="E65"/>
  <c r="G65"/>
  <c r="E66"/>
  <c r="G66"/>
  <c r="E67"/>
  <c r="G67"/>
  <c r="E68"/>
  <c r="G68"/>
  <c r="E69"/>
  <c r="G69"/>
  <c r="E70"/>
  <c r="G70"/>
  <c r="E71"/>
  <c r="G71"/>
  <c r="E72"/>
  <c r="G72"/>
  <c r="E73"/>
  <c r="G73"/>
  <c r="E74"/>
  <c r="G74"/>
  <c r="E75"/>
  <c r="G75"/>
  <c r="E76"/>
  <c r="G76"/>
  <c r="E77"/>
  <c r="G77"/>
  <c r="F39" i="114"/>
  <c r="H38"/>
  <c r="E38"/>
  <c r="H37"/>
  <c r="E37"/>
  <c r="H36"/>
  <c r="E36"/>
  <c r="H35"/>
  <c r="E35"/>
  <c r="H34"/>
  <c r="E34"/>
  <c r="H33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39" s="1"/>
  <c r="H31" i="103"/>
  <c r="G31"/>
  <c r="E31"/>
  <c r="F18" i="104"/>
  <c r="F11" i="113"/>
  <c r="G22"/>
  <c r="I21"/>
  <c r="F21"/>
  <c r="I20"/>
  <c r="F20"/>
  <c r="I19"/>
  <c r="F19"/>
  <c r="I18"/>
  <c r="F18"/>
  <c r="F17"/>
  <c r="F16"/>
  <c r="I15"/>
  <c r="F15"/>
  <c r="I14"/>
  <c r="F14"/>
  <c r="I13"/>
  <c r="F13"/>
  <c r="I12"/>
  <c r="F12"/>
  <c r="I10"/>
  <c r="F10"/>
  <c r="I184" i="101"/>
  <c r="I185"/>
  <c r="G176"/>
  <c r="D173"/>
  <c r="H173" s="1"/>
  <c r="D172"/>
  <c r="H172" s="1"/>
  <c r="D171"/>
  <c r="H171" s="1"/>
  <c r="D170"/>
  <c r="H170" s="1"/>
  <c r="D169"/>
  <c r="H169" s="1"/>
  <c r="F165"/>
  <c r="F166"/>
  <c r="F167"/>
  <c r="F168"/>
  <c r="F184"/>
  <c r="F185"/>
  <c r="F186"/>
  <c r="I186"/>
  <c r="I187" s="1"/>
  <c r="F187"/>
  <c r="F188"/>
  <c r="F189"/>
  <c r="F190"/>
  <c r="F191"/>
  <c r="F192"/>
  <c r="F193"/>
  <c r="F194"/>
  <c r="I194"/>
  <c r="F195"/>
  <c r="I195"/>
  <c r="F196"/>
  <c r="I196"/>
  <c r="F197"/>
  <c r="I197"/>
  <c r="F198"/>
  <c r="I198"/>
  <c r="F199"/>
  <c r="I199"/>
  <c r="F200"/>
  <c r="I200"/>
  <c r="F201"/>
  <c r="I201"/>
  <c r="F202"/>
  <c r="I202"/>
  <c r="F203"/>
  <c r="I203"/>
  <c r="F204"/>
  <c r="I204"/>
  <c r="F205"/>
  <c r="I205"/>
  <c r="F206"/>
  <c r="I206"/>
  <c r="F207"/>
  <c r="I207"/>
  <c r="F208"/>
  <c r="I208"/>
  <c r="F209"/>
  <c r="I209"/>
  <c r="F210"/>
  <c r="I210"/>
  <c r="F211"/>
  <c r="I211"/>
  <c r="F212"/>
  <c r="I212"/>
  <c r="F213"/>
  <c r="I213"/>
  <c r="F214"/>
  <c r="I214"/>
  <c r="F215"/>
  <c r="I215"/>
  <c r="F216"/>
  <c r="I216"/>
  <c r="F217"/>
  <c r="I217"/>
  <c r="F218"/>
  <c r="I218"/>
  <c r="I188" l="1"/>
  <c r="I189" s="1"/>
  <c r="E22" i="115"/>
  <c r="H22" s="1"/>
  <c r="G7" i="26" s="1"/>
  <c r="I16" i="113"/>
  <c r="E22" i="116"/>
  <c r="H10"/>
  <c r="H11" s="1"/>
  <c r="H12" s="1"/>
  <c r="H22"/>
  <c r="G8" i="26" s="1"/>
  <c r="E8" s="1" a="1"/>
  <c r="E8" s="1"/>
  <c r="H10" i="115"/>
  <c r="H11" s="1"/>
  <c r="F22" i="113"/>
  <c r="I17"/>
  <c r="H10" i="114"/>
  <c r="I11" i="113"/>
  <c r="H11"/>
  <c r="H22" s="1"/>
  <c r="E17" i="26" a="1"/>
  <c r="E17" s="1"/>
  <c r="E18" a="1"/>
  <c r="E18" s="1"/>
  <c r="E19" a="1"/>
  <c r="E19" s="1"/>
  <c r="E20" a="1"/>
  <c r="E20" s="1"/>
  <c r="E21" a="1"/>
  <c r="E21" s="1"/>
  <c r="E22" a="1"/>
  <c r="E22" s="1"/>
  <c r="E23" a="1"/>
  <c r="E23" s="1"/>
  <c r="E24" a="1"/>
  <c r="E24" s="1"/>
  <c r="E25" a="1"/>
  <c r="E25" s="1"/>
  <c r="E26" a="1"/>
  <c r="E26" s="1"/>
  <c r="A20" a="1"/>
  <c r="A20" s="1"/>
  <c r="A21" a="1"/>
  <c r="A21" s="1"/>
  <c r="A22" a="1"/>
  <c r="A22" s="1"/>
  <c r="A23" a="1"/>
  <c r="A23" s="1"/>
  <c r="F14" i="112"/>
  <c r="F15"/>
  <c r="F16"/>
  <c r="F17"/>
  <c r="F18"/>
  <c r="F19"/>
  <c r="F20"/>
  <c r="F21"/>
  <c r="F22"/>
  <c r="F23"/>
  <c r="I25"/>
  <c r="F25"/>
  <c r="I24"/>
  <c r="F24"/>
  <c r="I23"/>
  <c r="I22"/>
  <c r="I21"/>
  <c r="I20"/>
  <c r="F13"/>
  <c r="F12"/>
  <c r="F11"/>
  <c r="F10"/>
  <c r="I10" s="1"/>
  <c r="G26"/>
  <c r="H26"/>
  <c r="F178" i="101"/>
  <c r="F177"/>
  <c r="G175"/>
  <c r="E27" i="26" a="1"/>
  <c r="E27" s="1"/>
  <c r="E28" a="1"/>
  <c r="E28" s="1"/>
  <c r="E29" a="1"/>
  <c r="E29" s="1"/>
  <c r="E30" a="1"/>
  <c r="E30" s="1"/>
  <c r="E31" a="1"/>
  <c r="E31" s="1"/>
  <c r="E32" a="1"/>
  <c r="E32" s="1"/>
  <c r="E33" a="1"/>
  <c r="E33" s="1"/>
  <c r="E34" a="1"/>
  <c r="E34" s="1"/>
  <c r="A24" a="1"/>
  <c r="A24" s="1"/>
  <c r="A25" a="1"/>
  <c r="A25" s="1"/>
  <c r="A26" a="1"/>
  <c r="A26" s="1"/>
  <c r="A27" a="1"/>
  <c r="A27" s="1"/>
  <c r="A28" a="1"/>
  <c r="A28" s="1"/>
  <c r="A29" a="1"/>
  <c r="A29" s="1"/>
  <c r="A30" a="1"/>
  <c r="A30" s="1"/>
  <c r="A31" a="1"/>
  <c r="A31" s="1"/>
  <c r="A32" a="1"/>
  <c r="A32" s="1"/>
  <c r="A33" a="1"/>
  <c r="A33" s="1"/>
  <c r="A34" a="1"/>
  <c r="A34" s="1"/>
  <c r="H11" i="109"/>
  <c r="F88" i="111"/>
  <c r="H87"/>
  <c r="E87"/>
  <c r="H86"/>
  <c r="E86"/>
  <c r="H85"/>
  <c r="E85"/>
  <c r="H84"/>
  <c r="E84"/>
  <c r="H83"/>
  <c r="E83"/>
  <c r="H82"/>
  <c r="E82"/>
  <c r="H81"/>
  <c r="E81"/>
  <c r="H80"/>
  <c r="E80"/>
  <c r="H79"/>
  <c r="E79"/>
  <c r="H78"/>
  <c r="E78"/>
  <c r="E76"/>
  <c r="E75"/>
  <c r="E74"/>
  <c r="H74" s="1"/>
  <c r="H75" s="1"/>
  <c r="H76" s="1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H10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E10"/>
  <c r="E88" s="1"/>
  <c r="H12" i="107"/>
  <c r="H13"/>
  <c r="H14"/>
  <c r="H15"/>
  <c r="H16"/>
  <c r="H17"/>
  <c r="H18"/>
  <c r="H19"/>
  <c r="H20"/>
  <c r="H21"/>
  <c r="F22" i="109"/>
  <c r="H21"/>
  <c r="E21"/>
  <c r="H20"/>
  <c r="E20"/>
  <c r="H19"/>
  <c r="E19"/>
  <c r="H18"/>
  <c r="E18"/>
  <c r="H17"/>
  <c r="E17"/>
  <c r="H16"/>
  <c r="E16"/>
  <c r="H15"/>
  <c r="E15"/>
  <c r="H14"/>
  <c r="E14"/>
  <c r="H13"/>
  <c r="E13"/>
  <c r="H12"/>
  <c r="E12"/>
  <c r="E11"/>
  <c r="E10"/>
  <c r="H10" s="1"/>
  <c r="E22"/>
  <c r="F18" i="108"/>
  <c r="H17"/>
  <c r="E17"/>
  <c r="H16"/>
  <c r="E16"/>
  <c r="H15"/>
  <c r="E15"/>
  <c r="H14"/>
  <c r="E14"/>
  <c r="H13"/>
  <c r="E13"/>
  <c r="H12"/>
  <c r="E12"/>
  <c r="E11"/>
  <c r="E10"/>
  <c r="H10" s="1"/>
  <c r="F25" i="107"/>
  <c r="H24"/>
  <c r="E24"/>
  <c r="H23"/>
  <c r="E23"/>
  <c r="H22"/>
  <c r="E22"/>
  <c r="E21"/>
  <c r="E20"/>
  <c r="E19"/>
  <c r="E18"/>
  <c r="E17"/>
  <c r="E16"/>
  <c r="E15"/>
  <c r="E14"/>
  <c r="E13"/>
  <c r="E12"/>
  <c r="E11"/>
  <c r="E10"/>
  <c r="H10" s="1"/>
  <c r="H11" s="1"/>
  <c r="G26" i="88"/>
  <c r="E33"/>
  <c r="F27" i="106"/>
  <c r="G26"/>
  <c r="E26"/>
  <c r="G25"/>
  <c r="E25"/>
  <c r="G24"/>
  <c r="E24"/>
  <c r="G23"/>
  <c r="E23"/>
  <c r="G22"/>
  <c r="E22"/>
  <c r="G21"/>
  <c r="E21"/>
  <c r="G20"/>
  <c r="E20"/>
  <c r="G19"/>
  <c r="E19"/>
  <c r="G18"/>
  <c r="E18"/>
  <c r="G17"/>
  <c r="E17"/>
  <c r="G16"/>
  <c r="E16"/>
  <c r="E15"/>
  <c r="E14"/>
  <c r="E13"/>
  <c r="E12"/>
  <c r="E11"/>
  <c r="E10"/>
  <c r="E27" s="1"/>
  <c r="G27" s="1"/>
  <c r="C19" i="26" s="1"/>
  <c r="E72" i="41"/>
  <c r="E70"/>
  <c r="E73"/>
  <c r="G73" s="1"/>
  <c r="E74"/>
  <c r="E75"/>
  <c r="E76"/>
  <c r="E77"/>
  <c r="E78"/>
  <c r="E79"/>
  <c r="E80"/>
  <c r="G80"/>
  <c r="E81"/>
  <c r="G81"/>
  <c r="E82"/>
  <c r="G82"/>
  <c r="E83"/>
  <c r="G83"/>
  <c r="C13" i="26"/>
  <c r="G26" i="105"/>
  <c r="E26"/>
  <c r="G25"/>
  <c r="E25"/>
  <c r="G24"/>
  <c r="E24"/>
  <c r="G23"/>
  <c r="E23"/>
  <c r="G22"/>
  <c r="E22"/>
  <c r="G21"/>
  <c r="E21"/>
  <c r="G20"/>
  <c r="E20"/>
  <c r="G19"/>
  <c r="E19"/>
  <c r="G18"/>
  <c r="E18"/>
  <c r="E17"/>
  <c r="E16"/>
  <c r="E15"/>
  <c r="E14"/>
  <c r="E13"/>
  <c r="E12"/>
  <c r="E11"/>
  <c r="E10"/>
  <c r="F27" i="104"/>
  <c r="E13"/>
  <c r="E14"/>
  <c r="E15"/>
  <c r="E16"/>
  <c r="E17"/>
  <c r="E18"/>
  <c r="E19"/>
  <c r="E20"/>
  <c r="E22"/>
  <c r="E23"/>
  <c r="G18"/>
  <c r="G19"/>
  <c r="G22"/>
  <c r="G23"/>
  <c r="G24"/>
  <c r="G25"/>
  <c r="G26"/>
  <c r="E11"/>
  <c r="E12"/>
  <c r="E24"/>
  <c r="E26"/>
  <c r="E25"/>
  <c r="E10"/>
  <c r="G10" s="1"/>
  <c r="G11" s="1"/>
  <c r="G12" s="1"/>
  <c r="G13" s="1"/>
  <c r="F39" i="103"/>
  <c r="G39"/>
  <c r="H33"/>
  <c r="H34"/>
  <c r="H35"/>
  <c r="H36"/>
  <c r="H37"/>
  <c r="H38"/>
  <c r="E11"/>
  <c r="E10"/>
  <c r="H10" s="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H32" s="1"/>
  <c r="E33"/>
  <c r="E34"/>
  <c r="E35"/>
  <c r="E36"/>
  <c r="E37"/>
  <c r="E38"/>
  <c r="E7" i="26" l="1" a="1"/>
  <c r="E7" s="1"/>
  <c r="I22" i="113"/>
  <c r="G74" i="41"/>
  <c r="G75" s="1"/>
  <c r="G20" i="104"/>
  <c r="E27"/>
  <c r="H11" i="114"/>
  <c r="H12" s="1"/>
  <c r="H13" s="1"/>
  <c r="E39" i="103"/>
  <c r="F26" i="112"/>
  <c r="I26" s="1"/>
  <c r="C16" i="26" s="1"/>
  <c r="H11" i="108"/>
  <c r="E18"/>
  <c r="G28" i="111"/>
  <c r="E25" i="107"/>
  <c r="G10" i="106"/>
  <c r="G11" s="1"/>
  <c r="G12" s="1"/>
  <c r="G13" s="1"/>
  <c r="G14" s="1"/>
  <c r="G15" s="1"/>
  <c r="E27" i="105"/>
  <c r="G10"/>
  <c r="G11" s="1"/>
  <c r="G12" s="1"/>
  <c r="G13" s="1"/>
  <c r="G14" i="104"/>
  <c r="G15" s="1"/>
  <c r="G16" s="1"/>
  <c r="G17" s="1"/>
  <c r="F14"/>
  <c r="H11" i="103"/>
  <c r="H12" s="1"/>
  <c r="H13" s="1"/>
  <c r="G11"/>
  <c r="F60" i="102"/>
  <c r="F61"/>
  <c r="H61" s="1"/>
  <c r="F62"/>
  <c r="F63"/>
  <c r="H63"/>
  <c r="F64"/>
  <c r="H64"/>
  <c r="F65"/>
  <c r="H65"/>
  <c r="F66"/>
  <c r="H66"/>
  <c r="F67"/>
  <c r="H67"/>
  <c r="D56"/>
  <c r="G56" s="1"/>
  <c r="F43"/>
  <c r="F42"/>
  <c r="E58" i="2"/>
  <c r="E59"/>
  <c r="E60"/>
  <c r="E61"/>
  <c r="E62"/>
  <c r="E63"/>
  <c r="E78"/>
  <c r="G78"/>
  <c r="E109" i="80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H138"/>
  <c r="E139"/>
  <c r="H139"/>
  <c r="E140"/>
  <c r="H140"/>
  <c r="E141"/>
  <c r="H141"/>
  <c r="E142"/>
  <c r="H142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G16" i="100"/>
  <c r="E12"/>
  <c r="E13"/>
  <c r="E14"/>
  <c r="E15"/>
  <c r="H163" i="1"/>
  <c r="E138" i="8"/>
  <c r="G138"/>
  <c r="E139"/>
  <c r="G139"/>
  <c r="E119"/>
  <c r="F120"/>
  <c r="F121"/>
  <c r="F122"/>
  <c r="E123"/>
  <c r="E124"/>
  <c r="E125"/>
  <c r="E126"/>
  <c r="E127"/>
  <c r="E128"/>
  <c r="E129"/>
  <c r="E130"/>
  <c r="E131"/>
  <c r="E132"/>
  <c r="E133"/>
  <c r="E134"/>
  <c r="E135"/>
  <c r="E136"/>
  <c r="E137"/>
  <c r="G137"/>
  <c r="E108"/>
  <c r="E109"/>
  <c r="E110"/>
  <c r="E111"/>
  <c r="E112"/>
  <c r="E113"/>
  <c r="E114"/>
  <c r="E115"/>
  <c r="E116"/>
  <c r="E117"/>
  <c r="E118"/>
  <c r="E176" i="6"/>
  <c r="E177"/>
  <c r="E178"/>
  <c r="E179"/>
  <c r="E180"/>
  <c r="E181"/>
  <c r="H181"/>
  <c r="E182"/>
  <c r="H182"/>
  <c r="E183"/>
  <c r="H183"/>
  <c r="E184"/>
  <c r="H184"/>
  <c r="E185"/>
  <c r="H185"/>
  <c r="E186"/>
  <c r="H186"/>
  <c r="E171"/>
  <c r="E170"/>
  <c r="E168"/>
  <c r="E172"/>
  <c r="H172" s="1"/>
  <c r="E173"/>
  <c r="H173"/>
  <c r="E174"/>
  <c r="H174"/>
  <c r="E175"/>
  <c r="H175"/>
  <c r="H176" s="1"/>
  <c r="H177" s="1"/>
  <c r="H178" s="1"/>
  <c r="H179" s="1"/>
  <c r="H180" s="1"/>
  <c r="E187"/>
  <c r="H187"/>
  <c r="H148" i="101"/>
  <c r="G156"/>
  <c r="G150"/>
  <c r="G151"/>
  <c r="G152"/>
  <c r="G153"/>
  <c r="G149"/>
  <c r="F147"/>
  <c r="F146"/>
  <c r="F143"/>
  <c r="F144"/>
  <c r="F145"/>
  <c r="G82"/>
  <c r="F157"/>
  <c r="G155"/>
  <c r="G154"/>
  <c r="F141"/>
  <c r="F142"/>
  <c r="F92"/>
  <c r="I219"/>
  <c r="F138"/>
  <c r="F139"/>
  <c r="F158"/>
  <c r="G133"/>
  <c r="G135"/>
  <c r="G131"/>
  <c r="G132"/>
  <c r="G134"/>
  <c r="F129"/>
  <c r="F130"/>
  <c r="F160"/>
  <c r="F161"/>
  <c r="F162"/>
  <c r="F163"/>
  <c r="F164"/>
  <c r="F179"/>
  <c r="F180"/>
  <c r="F182"/>
  <c r="F183"/>
  <c r="H25" i="88"/>
  <c r="H26" s="1"/>
  <c r="H27"/>
  <c r="E24"/>
  <c r="E23"/>
  <c r="F44" i="102"/>
  <c r="F45"/>
  <c r="D41"/>
  <c r="G41" s="1"/>
  <c r="H58"/>
  <c r="F31"/>
  <c r="F30"/>
  <c r="F27"/>
  <c r="F28"/>
  <c r="F29"/>
  <c r="F32"/>
  <c r="F33"/>
  <c r="F34"/>
  <c r="F24"/>
  <c r="F25"/>
  <c r="F26"/>
  <c r="F35"/>
  <c r="F36"/>
  <c r="F37"/>
  <c r="F38"/>
  <c r="F39"/>
  <c r="F12"/>
  <c r="F13"/>
  <c r="F14"/>
  <c r="F15"/>
  <c r="F16"/>
  <c r="F19"/>
  <c r="F20"/>
  <c r="F21"/>
  <c r="F22"/>
  <c r="F23"/>
  <c r="F40"/>
  <c r="F46"/>
  <c r="F47"/>
  <c r="F48"/>
  <c r="F49"/>
  <c r="F50"/>
  <c r="F51"/>
  <c r="F52"/>
  <c r="F53"/>
  <c r="F54"/>
  <c r="F55"/>
  <c r="F57"/>
  <c r="F58"/>
  <c r="F59"/>
  <c r="F10"/>
  <c r="G112" i="101"/>
  <c r="G113"/>
  <c r="G114"/>
  <c r="G115"/>
  <c r="G87"/>
  <c r="G116"/>
  <c r="G83"/>
  <c r="G85"/>
  <c r="G88"/>
  <c r="G79"/>
  <c r="G78"/>
  <c r="G40"/>
  <c r="G220" s="1"/>
  <c r="D136"/>
  <c r="H136" s="1"/>
  <c r="F109"/>
  <c r="E15" i="88"/>
  <c r="E13"/>
  <c r="F124" i="101"/>
  <c r="F125"/>
  <c r="F126"/>
  <c r="F127"/>
  <c r="F128"/>
  <c r="F123"/>
  <c r="F97"/>
  <c r="F98"/>
  <c r="F118"/>
  <c r="F90"/>
  <c r="D89"/>
  <c r="H89" s="1"/>
  <c r="H56"/>
  <c r="D55"/>
  <c r="H55" s="1"/>
  <c r="H13"/>
  <c r="H220" s="1"/>
  <c r="F11"/>
  <c r="F12"/>
  <c r="F14"/>
  <c r="F15"/>
  <c r="F16"/>
  <c r="F17"/>
  <c r="F18"/>
  <c r="F37"/>
  <c r="F38"/>
  <c r="F19"/>
  <c r="F21"/>
  <c r="F22"/>
  <c r="F23"/>
  <c r="F24"/>
  <c r="F25"/>
  <c r="F26"/>
  <c r="F27"/>
  <c r="F28"/>
  <c r="F29"/>
  <c r="F30"/>
  <c r="F31"/>
  <c r="F35"/>
  <c r="F36"/>
  <c r="F39"/>
  <c r="F32"/>
  <c r="F33"/>
  <c r="F34"/>
  <c r="F42"/>
  <c r="F43"/>
  <c r="F44"/>
  <c r="F45"/>
  <c r="F57"/>
  <c r="F58"/>
  <c r="F46"/>
  <c r="F47"/>
  <c r="F48"/>
  <c r="F49"/>
  <c r="F50"/>
  <c r="F61"/>
  <c r="F62"/>
  <c r="F59"/>
  <c r="F51"/>
  <c r="F52"/>
  <c r="F53"/>
  <c r="F54"/>
  <c r="F64"/>
  <c r="F65"/>
  <c r="F80"/>
  <c r="F82"/>
  <c r="F81"/>
  <c r="F84"/>
  <c r="F86"/>
  <c r="F60"/>
  <c r="F93"/>
  <c r="F66"/>
  <c r="F67"/>
  <c r="F68"/>
  <c r="F69"/>
  <c r="F70"/>
  <c r="F71"/>
  <c r="F72"/>
  <c r="F73"/>
  <c r="F74"/>
  <c r="F75"/>
  <c r="F76"/>
  <c r="F77"/>
  <c r="F95"/>
  <c r="F96"/>
  <c r="F91"/>
  <c r="F99"/>
  <c r="F100"/>
  <c r="F102"/>
  <c r="F103"/>
  <c r="F104"/>
  <c r="F105"/>
  <c r="F106"/>
  <c r="F107"/>
  <c r="F108"/>
  <c r="F110"/>
  <c r="F111"/>
  <c r="F122"/>
  <c r="F10"/>
  <c r="I10" s="1"/>
  <c r="E156" i="1"/>
  <c r="E164" i="6"/>
  <c r="E11"/>
  <c r="H1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C70"/>
  <c r="E70"/>
  <c r="E71"/>
  <c r="E72"/>
  <c r="E73"/>
  <c r="E74"/>
  <c r="E75"/>
  <c r="E76"/>
  <c r="E77"/>
  <c r="E78"/>
  <c r="E79"/>
  <c r="E80"/>
  <c r="E81"/>
  <c r="E82"/>
  <c r="E84"/>
  <c r="E85"/>
  <c r="E86"/>
  <c r="E88"/>
  <c r="E89"/>
  <c r="E91"/>
  <c r="E92"/>
  <c r="E93"/>
  <c r="E94"/>
  <c r="E95"/>
  <c r="E96"/>
  <c r="E97"/>
  <c r="E98"/>
  <c r="E99"/>
  <c r="E100"/>
  <c r="E101"/>
  <c r="E102"/>
  <c r="E103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5"/>
  <c r="E166"/>
  <c r="E167"/>
  <c r="E10" i="80"/>
  <c r="H10" s="1"/>
  <c r="H11" s="1"/>
  <c r="E11"/>
  <c r="E12"/>
  <c r="E13"/>
  <c r="E14"/>
  <c r="E15"/>
  <c r="E16"/>
  <c r="E17"/>
  <c r="E18"/>
  <c r="E19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G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104" i="8"/>
  <c r="E98"/>
  <c r="E99"/>
  <c r="E100"/>
  <c r="E101"/>
  <c r="E102"/>
  <c r="E103"/>
  <c r="E105"/>
  <c r="E106"/>
  <c r="E107"/>
  <c r="E169" i="6"/>
  <c r="E150" i="1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C112"/>
  <c r="E112" s="1"/>
  <c r="E113"/>
  <c r="E114"/>
  <c r="E116"/>
  <c r="E115"/>
  <c r="E117"/>
  <c r="E118"/>
  <c r="E119"/>
  <c r="E120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0" i="8"/>
  <c r="G10" s="1"/>
  <c r="E12"/>
  <c r="E13"/>
  <c r="E14"/>
  <c r="E15"/>
  <c r="E16"/>
  <c r="E17"/>
  <c r="E18"/>
  <c r="E19"/>
  <c r="E20"/>
  <c r="E21"/>
  <c r="E22"/>
  <c r="E23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52"/>
  <c r="C53"/>
  <c r="E53" s="1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3"/>
  <c r="E84"/>
  <c r="E85"/>
  <c r="E86"/>
  <c r="E88"/>
  <c r="E89"/>
  <c r="E90"/>
  <c r="E91"/>
  <c r="E92"/>
  <c r="E93"/>
  <c r="E94"/>
  <c r="E95"/>
  <c r="E96"/>
  <c r="E97"/>
  <c r="C11"/>
  <c r="F11"/>
  <c r="G11" s="1"/>
  <c r="G12" s="1"/>
  <c r="G13" s="1"/>
  <c r="C49"/>
  <c r="F49"/>
  <c r="C50"/>
  <c r="F50"/>
  <c r="C51"/>
  <c r="F51"/>
  <c r="F82"/>
  <c r="F87"/>
  <c r="F188" i="6"/>
  <c r="F143" i="80"/>
  <c r="E151" i="1"/>
  <c r="E152"/>
  <c r="E153"/>
  <c r="E154"/>
  <c r="E155"/>
  <c r="E157"/>
  <c r="E158"/>
  <c r="E159"/>
  <c r="E160"/>
  <c r="E161"/>
  <c r="E162"/>
  <c r="E163"/>
  <c r="F164"/>
  <c r="G164"/>
  <c r="E11" i="100"/>
  <c r="E16"/>
  <c r="E17"/>
  <c r="E11" i="41"/>
  <c r="E13"/>
  <c r="E14"/>
  <c r="E17"/>
  <c r="E18"/>
  <c r="E19"/>
  <c r="E21"/>
  <c r="E24"/>
  <c r="E25"/>
  <c r="E26"/>
  <c r="E27"/>
  <c r="E28"/>
  <c r="E29"/>
  <c r="E32"/>
  <c r="E33"/>
  <c r="E34"/>
  <c r="E35"/>
  <c r="E36"/>
  <c r="E37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9"/>
  <c r="E61"/>
  <c r="E62"/>
  <c r="E63"/>
  <c r="E64"/>
  <c r="E65"/>
  <c r="E66"/>
  <c r="E67"/>
  <c r="E68"/>
  <c r="E71"/>
  <c r="E84"/>
  <c r="G11"/>
  <c r="F12"/>
  <c r="F15"/>
  <c r="F16"/>
  <c r="F22"/>
  <c r="G12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F26" s="1"/>
  <c r="F30"/>
  <c r="F31"/>
  <c r="F58"/>
  <c r="E10" i="2"/>
  <c r="G10" s="1"/>
  <c r="G11" s="1"/>
  <c r="C11"/>
  <c r="E11" s="1"/>
  <c r="E14"/>
  <c r="G14" s="1"/>
  <c r="G15" s="1"/>
  <c r="E15"/>
  <c r="E16"/>
  <c r="E17"/>
  <c r="E18"/>
  <c r="C19"/>
  <c r="E19" s="1"/>
  <c r="E20"/>
  <c r="E21"/>
  <c r="E22"/>
  <c r="E24"/>
  <c r="E25"/>
  <c r="E27"/>
  <c r="E28"/>
  <c r="E29"/>
  <c r="E31"/>
  <c r="E32"/>
  <c r="E33"/>
  <c r="E34"/>
  <c r="E35"/>
  <c r="E36"/>
  <c r="E37"/>
  <c r="E38"/>
  <c r="E39"/>
  <c r="E40"/>
  <c r="E42"/>
  <c r="E43"/>
  <c r="E44"/>
  <c r="E45"/>
  <c r="E46"/>
  <c r="E47"/>
  <c r="E48"/>
  <c r="E49"/>
  <c r="E50"/>
  <c r="E51"/>
  <c r="E52"/>
  <c r="E53"/>
  <c r="E54"/>
  <c r="E55"/>
  <c r="E56"/>
  <c r="E57"/>
  <c r="E79"/>
  <c r="F219" i="101"/>
  <c r="E10" i="88"/>
  <c r="E11"/>
  <c r="E12"/>
  <c r="E16"/>
  <c r="E17"/>
  <c r="E18"/>
  <c r="E19"/>
  <c r="E20"/>
  <c r="E14"/>
  <c r="E21"/>
  <c r="E22"/>
  <c r="E25"/>
  <c r="E26"/>
  <c r="E27"/>
  <c r="E28"/>
  <c r="E29"/>
  <c r="E30"/>
  <c r="E31"/>
  <c r="E32"/>
  <c r="F33"/>
  <c r="H10"/>
  <c r="H11" s="1"/>
  <c r="H12" s="1"/>
  <c r="H13" s="1"/>
  <c r="H160" i="1"/>
  <c r="H161"/>
  <c r="H162"/>
  <c r="G12" i="2"/>
  <c r="J18"/>
  <c r="J20"/>
  <c r="G79"/>
  <c r="G66" i="6"/>
  <c r="G188" s="1"/>
  <c r="H66"/>
  <c r="H67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H28" i="88"/>
  <c r="G26" i="41" l="1"/>
  <c r="G27" s="1"/>
  <c r="G28" s="1"/>
  <c r="G29" s="1"/>
  <c r="G30" s="1"/>
  <c r="G31" s="1"/>
  <c r="G32" s="1"/>
  <c r="G33" s="1"/>
  <c r="G34" s="1"/>
  <c r="G35" s="1"/>
  <c r="G36" s="1"/>
  <c r="G37" s="1"/>
  <c r="G38" s="1"/>
  <c r="F39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F53" s="1"/>
  <c r="G53" s="1"/>
  <c r="G54" s="1"/>
  <c r="G55" s="1"/>
  <c r="G56" s="1"/>
  <c r="G57" s="1"/>
  <c r="G58" s="1"/>
  <c r="G16" i="2"/>
  <c r="G17" s="1"/>
  <c r="G18" s="1"/>
  <c r="G19" s="1"/>
  <c r="G20" s="1"/>
  <c r="G21" s="1"/>
  <c r="G22" s="1"/>
  <c r="G24" s="1"/>
  <c r="G25" s="1"/>
  <c r="G26" s="1"/>
  <c r="G27" s="1"/>
  <c r="G28" s="1"/>
  <c r="F29" s="1"/>
  <c r="G29" s="1"/>
  <c r="G31" s="1"/>
  <c r="G32" s="1"/>
  <c r="G33" s="1"/>
  <c r="G34" s="1"/>
  <c r="G35" s="1"/>
  <c r="F36" s="1"/>
  <c r="G36" s="1"/>
  <c r="G37" s="1"/>
  <c r="G38" s="1"/>
  <c r="G39" s="1"/>
  <c r="H62" i="102"/>
  <c r="H14" i="114"/>
  <c r="H15" s="1"/>
  <c r="F220" i="101"/>
  <c r="I220" s="1"/>
  <c r="C15" i="26" s="1"/>
  <c r="H28" i="111"/>
  <c r="H29" s="1"/>
  <c r="H30" s="1"/>
  <c r="H31" s="1"/>
  <c r="H32" s="1"/>
  <c r="H59" i="102"/>
  <c r="H60" s="1"/>
  <c r="G14" i="105"/>
  <c r="G15" s="1"/>
  <c r="G16" s="1"/>
  <c r="G17" s="1"/>
  <c r="F27"/>
  <c r="G27" s="1"/>
  <c r="G14" i="103"/>
  <c r="H14" s="1"/>
  <c r="H15" s="1"/>
  <c r="H12" i="80"/>
  <c r="H13" s="1"/>
  <c r="H14" s="1"/>
  <c r="H15" s="1"/>
  <c r="G16" s="1"/>
  <c r="H16" s="1"/>
  <c r="H17" s="1"/>
  <c r="H18" s="1"/>
  <c r="F14" i="8"/>
  <c r="F140" s="1"/>
  <c r="E140"/>
  <c r="G140" s="1"/>
  <c r="I11" i="101"/>
  <c r="I12" s="1"/>
  <c r="I13" s="1"/>
  <c r="I14" s="1"/>
  <c r="I15" s="1"/>
  <c r="I16" s="1"/>
  <c r="I17" s="1"/>
  <c r="I18" s="1"/>
  <c r="I19" s="1"/>
  <c r="I21" s="1"/>
  <c r="I22" s="1"/>
  <c r="H14" i="88"/>
  <c r="F68" i="102"/>
  <c r="H10"/>
  <c r="H29" i="88"/>
  <c r="H30" s="1"/>
  <c r="H31" s="1"/>
  <c r="H32" s="1"/>
  <c r="G19" i="80"/>
  <c r="H19" s="1"/>
  <c r="H21" s="1"/>
  <c r="H22" s="1"/>
  <c r="H23" s="1"/>
  <c r="E80" i="2"/>
  <c r="E143" i="80"/>
  <c r="E188" i="6"/>
  <c r="H188" s="1"/>
  <c r="H11" i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E164"/>
  <c r="H164" s="1"/>
  <c r="G11" i="100"/>
  <c r="G12" s="1"/>
  <c r="H33" i="111" l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G33"/>
  <c r="H16" i="103"/>
  <c r="H17" s="1"/>
  <c r="H18" s="1"/>
  <c r="H19" s="1"/>
  <c r="G16"/>
  <c r="H11" i="102"/>
  <c r="H12" s="1"/>
  <c r="H13" s="1"/>
  <c r="H14" s="1"/>
  <c r="H15" s="1"/>
  <c r="H16" s="1"/>
  <c r="H17" s="1"/>
  <c r="C6" i="26"/>
  <c r="G14" i="8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E142"/>
  <c r="C5" i="26"/>
  <c r="C4"/>
  <c r="I20" i="101"/>
  <c r="G15" i="88"/>
  <c r="H15" s="1"/>
  <c r="H16" s="1"/>
  <c r="H17" s="1"/>
  <c r="H18" s="1"/>
  <c r="H19" s="1"/>
  <c r="H20" s="1"/>
  <c r="H21" s="1"/>
  <c r="H22" s="1"/>
  <c r="H23" s="1"/>
  <c r="H24" s="1"/>
  <c r="G11" i="102"/>
  <c r="G24" i="80"/>
  <c r="F40" i="2"/>
  <c r="G40" s="1"/>
  <c r="G42" s="1"/>
  <c r="G43" s="1"/>
  <c r="G44" s="1"/>
  <c r="G45" s="1"/>
  <c r="H82" i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6" s="1"/>
  <c r="H115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81"/>
  <c r="F59" i="41"/>
  <c r="G59" s="1"/>
  <c r="G13" i="100"/>
  <c r="G14" s="1"/>
  <c r="G15" s="1"/>
  <c r="E166" i="1"/>
  <c r="E190" i="6"/>
  <c r="F84" i="41"/>
  <c r="G84" s="1"/>
  <c r="C17" i="26" s="1"/>
  <c r="C191" i="6"/>
  <c r="C143" i="8"/>
  <c r="G46" i="2" l="1"/>
  <c r="G47" s="1"/>
  <c r="G48" s="1"/>
  <c r="G49" s="1"/>
  <c r="G50" s="1"/>
  <c r="G51" s="1"/>
  <c r="G52" s="1"/>
  <c r="G53" s="1"/>
  <c r="F46"/>
  <c r="H16" i="114"/>
  <c r="H17" s="1"/>
  <c r="H18" s="1"/>
  <c r="H19" s="1"/>
  <c r="A6" i="26" a="1"/>
  <c r="A6" s="1"/>
  <c r="G73" i="111"/>
  <c r="H73" s="1"/>
  <c r="G88"/>
  <c r="H88" s="1"/>
  <c r="C7" i="26" s="1"/>
  <c r="G22" i="109"/>
  <c r="H22" s="1"/>
  <c r="G6" i="26" s="1"/>
  <c r="G18" i="108"/>
  <c r="H18" s="1"/>
  <c r="G5" i="26" s="1"/>
  <c r="G25" i="107"/>
  <c r="H25" s="1"/>
  <c r="G4" i="26" s="1"/>
  <c r="E4" s="1" a="1"/>
  <c r="E4" s="1"/>
  <c r="G60" i="41"/>
  <c r="G61"/>
  <c r="G62" s="1"/>
  <c r="G63" s="1"/>
  <c r="G64" s="1"/>
  <c r="G65" s="1"/>
  <c r="G66" s="1"/>
  <c r="H20" i="103"/>
  <c r="H21" s="1"/>
  <c r="H22" s="1"/>
  <c r="H23" s="1"/>
  <c r="H24" s="1"/>
  <c r="H25" s="1"/>
  <c r="G20"/>
  <c r="I23" i="10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G18" i="102"/>
  <c r="H18" s="1"/>
  <c r="H19" s="1"/>
  <c r="H20" s="1"/>
  <c r="H21" s="1"/>
  <c r="H22" s="1"/>
  <c r="H23" s="1"/>
  <c r="H24" s="1"/>
  <c r="H25" s="1"/>
  <c r="H26" s="1"/>
  <c r="E86" i="41"/>
  <c r="G33" i="88"/>
  <c r="H33" s="1"/>
  <c r="F17" i="100"/>
  <c r="G17" s="1"/>
  <c r="C8" i="26" s="1"/>
  <c r="H24" i="80"/>
  <c r="H25" s="1"/>
  <c r="C87" i="41"/>
  <c r="F54" i="2" l="1"/>
  <c r="G54" s="1"/>
  <c r="G55" s="1"/>
  <c r="G56" s="1"/>
  <c r="G57" s="1"/>
  <c r="G58" s="1"/>
  <c r="G59" s="1"/>
  <c r="G60" s="1"/>
  <c r="G61" s="1"/>
  <c r="G62" s="1"/>
  <c r="G63" s="1"/>
  <c r="H20" i="114"/>
  <c r="H21" s="1"/>
  <c r="H22" s="1"/>
  <c r="H23" s="1"/>
  <c r="H24" s="1"/>
  <c r="H25" s="1"/>
  <c r="E5" i="26" a="1"/>
  <c r="E5" s="1"/>
  <c r="E6" a="1"/>
  <c r="E6" s="1"/>
  <c r="H26" i="103"/>
  <c r="H27" s="1"/>
  <c r="H28" s="1"/>
  <c r="H29" s="1"/>
  <c r="H30" s="1"/>
  <c r="G26"/>
  <c r="I79" i="101"/>
  <c r="I80" s="1"/>
  <c r="G26" i="80"/>
  <c r="E19" i="100"/>
  <c r="C20"/>
  <c r="F80" i="2" l="1"/>
  <c r="G80" s="1"/>
  <c r="C12" i="26" s="1"/>
  <c r="H26" i="114"/>
  <c r="H27" s="1"/>
  <c r="H28" s="1"/>
  <c r="H29" s="1"/>
  <c r="H30" s="1"/>
  <c r="H39" i="103"/>
  <c r="C9" i="26" s="1"/>
  <c r="I81" i="101"/>
  <c r="I82" s="1"/>
  <c r="I83" s="1"/>
  <c r="I84" s="1"/>
  <c r="I85" s="1"/>
  <c r="I86" s="1"/>
  <c r="I87" s="1"/>
  <c r="I88" s="1"/>
  <c r="I89" s="1"/>
  <c r="I90" s="1"/>
  <c r="I91" s="1"/>
  <c r="I92" s="1"/>
  <c r="I93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41"/>
  <c r="H26" i="80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G39" i="114" l="1"/>
  <c r="H39" s="1"/>
  <c r="C10" i="26" s="1"/>
  <c r="A10" s="1" a="1"/>
  <c r="A10" s="1"/>
  <c r="H31" i="114"/>
  <c r="H32" s="1"/>
  <c r="G27" i="104"/>
  <c r="C14" i="26" s="1"/>
  <c r="G86" i="80"/>
  <c r="H86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G105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I11" i="112" l="1"/>
  <c r="I12" s="1"/>
  <c r="I13" s="1"/>
  <c r="I14" s="1"/>
  <c r="I15" s="1"/>
  <c r="I16" s="1"/>
  <c r="I17" s="1"/>
  <c r="I18" s="1"/>
  <c r="I19" s="1"/>
  <c r="A7" i="26" a="1"/>
  <c r="A7" s="1"/>
  <c r="A9" a="1"/>
  <c r="A9" s="1"/>
  <c r="A8" a="1"/>
  <c r="A8" s="1"/>
  <c r="A14" a="1"/>
  <c r="A14" s="1"/>
  <c r="G143" i="80"/>
  <c r="H143" s="1"/>
  <c r="C11" i="26" s="1"/>
  <c r="A17" s="1" a="1"/>
  <c r="A17" s="1"/>
  <c r="G27" i="102"/>
  <c r="H27" s="1"/>
  <c r="H28" s="1"/>
  <c r="H29" s="1"/>
  <c r="H30" s="1"/>
  <c r="A15" i="26" l="1" a="1"/>
  <c r="A15" s="1"/>
  <c r="A11" a="1"/>
  <c r="A11" s="1"/>
  <c r="A13" a="1"/>
  <c r="A13" s="1"/>
  <c r="A12" a="1"/>
  <c r="A12" s="1"/>
  <c r="A16" a="1"/>
  <c r="A16" s="1"/>
  <c r="G35"/>
  <c r="I63" i="101"/>
  <c r="G31" i="102"/>
  <c r="H31" s="1"/>
  <c r="H32" s="1"/>
  <c r="H33" s="1"/>
  <c r="A4" i="26" a="1"/>
  <c r="A4" s="1"/>
  <c r="A5" a="1"/>
  <c r="A5" s="1"/>
  <c r="I94" i="101" l="1"/>
  <c r="I122" l="1"/>
  <c r="I123" s="1"/>
  <c r="I124" s="1"/>
  <c r="I125" s="1"/>
  <c r="I126" s="1"/>
  <c r="I127" s="1"/>
  <c r="I128" s="1"/>
  <c r="I129" s="1"/>
  <c r="I130" s="1"/>
  <c r="I131" s="1"/>
  <c r="I121"/>
  <c r="G34" i="102"/>
  <c r="H34" s="1"/>
  <c r="H35" s="1"/>
  <c r="H36" s="1"/>
  <c r="H37" s="1"/>
  <c r="H38" s="1"/>
  <c r="H39" s="1"/>
  <c r="H40" s="1"/>
  <c r="H41" s="1"/>
  <c r="H42" s="1"/>
  <c r="H43" l="1"/>
  <c r="H44" s="1"/>
  <c r="H45" s="1"/>
  <c r="H46" s="1"/>
  <c r="H47" s="1"/>
  <c r="H48" s="1"/>
  <c r="G43"/>
  <c r="I132" i="101"/>
  <c r="I133" s="1"/>
  <c r="G49" i="102" l="1"/>
  <c r="G68" s="1"/>
  <c r="H68" s="1"/>
  <c r="C18" i="26" s="1"/>
  <c r="H49" i="102"/>
  <c r="H50" s="1"/>
  <c r="H51" s="1"/>
  <c r="H52" s="1"/>
  <c r="H53" s="1"/>
  <c r="H54" s="1"/>
  <c r="H55" s="1"/>
  <c r="H56" s="1"/>
  <c r="H57" s="1"/>
  <c r="I134" i="101"/>
  <c r="I135" s="1"/>
  <c r="I136" s="1"/>
  <c r="I137" s="1"/>
  <c r="I138" s="1"/>
  <c r="I139" s="1"/>
  <c r="A18" i="26" l="1" a="1"/>
  <c r="A18" s="1"/>
  <c r="A19" a="1"/>
  <c r="A19" s="1"/>
  <c r="F70" i="102"/>
  <c r="C35" i="26"/>
  <c r="I140" i="101"/>
  <c r="I14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60" s="1"/>
  <c r="I161" s="1"/>
  <c r="I162" s="1"/>
  <c r="I163" s="1"/>
  <c r="I164" s="1"/>
  <c r="D71" i="102"/>
  <c r="I165" i="101" l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59"/>
  <c r="I181" l="1"/>
  <c r="I182"/>
  <c r="I183" s="1"/>
</calcChain>
</file>

<file path=xl/sharedStrings.xml><?xml version="1.0" encoding="utf-8"?>
<sst xmlns="http://schemas.openxmlformats.org/spreadsheetml/2006/main" count="2003" uniqueCount="420">
  <si>
    <t xml:space="preserve">NGÀY </t>
  </si>
  <si>
    <t>DIỄN GIẢI</t>
  </si>
  <si>
    <t>CÒN LẠI</t>
  </si>
  <si>
    <t>GHI CHÚ</t>
  </si>
  <si>
    <t>STT</t>
  </si>
  <si>
    <t>CƠ HÀM TÂN</t>
  </si>
  <si>
    <t>THANH MŨI NÉ</t>
  </si>
  <si>
    <t>HOÀNG VƯƠNG</t>
  </si>
  <si>
    <t>QUANG TIÊN</t>
  </si>
  <si>
    <t>TỶ LIÊN</t>
  </si>
  <si>
    <t>DUNG KHẢI</t>
  </si>
  <si>
    <t>DUNG LÝ</t>
  </si>
  <si>
    <t>DŨNG ĐIỂM</t>
  </si>
  <si>
    <t>7 LÂM</t>
  </si>
  <si>
    <t>TỔNG CỘNG</t>
  </si>
  <si>
    <t>CHUYỂN 
TRẢ</t>
  </si>
  <si>
    <t>Chỉ NL</t>
  </si>
  <si>
    <t>Chuyển trả</t>
  </si>
  <si>
    <t>Chỉ mặn</t>
  </si>
  <si>
    <t>Đù mặn</t>
  </si>
  <si>
    <t>Chỉ tẩm mặn</t>
  </si>
  <si>
    <t>Bò ghép 2S</t>
  </si>
  <si>
    <t>Tiền xe</t>
  </si>
  <si>
    <t>Liệt mặn</t>
  </si>
  <si>
    <t>SỐ 
LƯỢNG</t>
  </si>
  <si>
    <t xml:space="preserve">ĐƠN 
GIÁ </t>
  </si>
  <si>
    <t>ĐT: 0908 429 123</t>
  </si>
  <si>
    <t>ĐT: 0919 693 638</t>
  </si>
  <si>
    <t>ĐT:</t>
  </si>
  <si>
    <t xml:space="preserve">Fax: </t>
  </si>
  <si>
    <t>cá cơm xô</t>
  </si>
  <si>
    <t xml:space="preserve">ĐT: </t>
  </si>
  <si>
    <t>Chỉ M</t>
  </si>
  <si>
    <t>Nục mặn</t>
  </si>
  <si>
    <t>Ngân mặn</t>
  </si>
  <si>
    <t xml:space="preserve">ĐƠN
 GIÁ </t>
  </si>
  <si>
    <t>ĐT: 0918 984 481</t>
  </si>
  <si>
    <t>Địa chỉ: Lô A14, Đường 4A, KCN Hải Sơn, Đức Hòa, Long An</t>
  </si>
  <si>
    <t>Công ty TNHH Hải Sản An Lạc</t>
  </si>
  <si>
    <t>BẢNG CHI TIẾT CÔNG NỢ HÀNG CÁ</t>
  </si>
  <si>
    <t>ĐT : 072. 3850 606</t>
  </si>
  <si>
    <t>FAX: 072. 3850 608</t>
  </si>
  <si>
    <t>ĐT: 064.3625 185</t>
  </si>
  <si>
    <t>Fax: 064.3621 569</t>
  </si>
  <si>
    <t>AL</t>
  </si>
  <si>
    <t>Ngân NL</t>
  </si>
  <si>
    <t>DNTN MINH HẢI</t>
  </si>
  <si>
    <t>BẢNG KÊ CHI TIẾT CÔNG NỢ</t>
  </si>
  <si>
    <t xml:space="preserve">BẢNG KÊ CHI TIẾT CÔNG NỢ </t>
  </si>
  <si>
    <t>NGÀY</t>
  </si>
  <si>
    <t>KH. HÀNG</t>
  </si>
  <si>
    <t>GIÀU</t>
  </si>
  <si>
    <t>3 LIÊM HT</t>
  </si>
  <si>
    <t>CƠ 
HT</t>
  </si>
  <si>
    <t>NGA M.SONG</t>
  </si>
  <si>
    <t>BẢY L.HẢI</t>
  </si>
  <si>
    <t>MỸ TIÊN KG</t>
  </si>
  <si>
    <t>THẮM BT</t>
  </si>
  <si>
    <t>CHÚ NGUYÊN</t>
  </si>
  <si>
    <t>A HẢI
HP</t>
  </si>
  <si>
    <t>C.HÒA Z30D</t>
  </si>
  <si>
    <t>cá cơm xé</t>
  </si>
  <si>
    <t>Ẩm 5% : 158.4 kg</t>
  </si>
  <si>
    <t>Trả bò ghép 3L (lai)</t>
  </si>
  <si>
    <t>Trả bò ghép M (lai)</t>
  </si>
  <si>
    <t>THANH
MN</t>
  </si>
  <si>
    <t>THỦY THÀNH</t>
  </si>
  <si>
    <t>TỔNG KẾT CÒN NỢ  CUỐI NĂM 2012</t>
  </si>
  <si>
    <t>A THỌ
VT</t>
  </si>
  <si>
    <t>SỐ TIỀN</t>
  </si>
  <si>
    <t>KHÁCH HÀNG</t>
  </si>
  <si>
    <t>Nhồng tẩm mặn</t>
  </si>
  <si>
    <t>Kiềm tẩm mặn</t>
  </si>
  <si>
    <t>TỶ
 LIÊN</t>
  </si>
  <si>
    <t>Bán chỉ B xá</t>
  </si>
  <si>
    <t>TIỀN HÀNG</t>
  </si>
  <si>
    <t>TIỀN GIAO NL, DẠT</t>
  </si>
  <si>
    <t>chỉ mặn</t>
  </si>
  <si>
    <t>Loan HT</t>
  </si>
  <si>
    <t>Dũng Điểm</t>
  </si>
  <si>
    <t>đổng ngọt</t>
  </si>
  <si>
    <t>CÔNG NỢ ĐẾN 03/01/2013</t>
  </si>
  <si>
    <t>Bò ghép 3L( lai )</t>
  </si>
  <si>
    <t>Bò ghép M ( lai )</t>
  </si>
  <si>
    <t>Bò File tẩm ( lai )</t>
  </si>
  <si>
    <t>DNTN MINH HẢI xác nhận công nợ</t>
  </si>
  <si>
    <t>Công ty TNHH Hải Sản An Lạc xác nhận công nợ</t>
  </si>
  <si>
    <t>LÙN
TV</t>
  </si>
  <si>
    <t>đ</t>
  </si>
  <si>
    <t xml:space="preserve">Bằng chữ : </t>
  </si>
  <si>
    <t>Nhập: 5620kg - 281kg cá tạp</t>
  </si>
  <si>
    <t>CHỊ NGUYỆT</t>
  </si>
  <si>
    <t>Liệt NL</t>
  </si>
  <si>
    <t>Long An, ngày  22  tháng  03  năm 2013</t>
  </si>
  <si>
    <t>NAM
CÁ VIỆT</t>
  </si>
  <si>
    <t>C.HÒA
Z30D</t>
  </si>
  <si>
    <t>HẠNH
KG</t>
  </si>
  <si>
    <t>GỬI CÔNG NỢ NGÀY 25/03/2013</t>
  </si>
  <si>
    <t>CHỊ CƠ (HÀM TÂN)</t>
  </si>
  <si>
    <t>Còn nợ số tiền:</t>
  </si>
  <si>
    <t>Mai c/đầu</t>
  </si>
  <si>
    <t>Cá cơm xô</t>
  </si>
  <si>
    <t>LIÊN
(CÀ NÁ)</t>
  </si>
  <si>
    <t>THÀNH
CHÂU</t>
  </si>
  <si>
    <t>TỶ
LIÊN</t>
  </si>
  <si>
    <t>""</t>
  </si>
  <si>
    <t>bò file</t>
  </si>
  <si>
    <t>liệt mặn</t>
  </si>
  <si>
    <t>bánh lái mặn</t>
  </si>
  <si>
    <t>TRÚC
THIỆN</t>
  </si>
  <si>
    <t>Cơm không đầu</t>
  </si>
  <si>
    <t>Ghẹ NL</t>
  </si>
  <si>
    <t>Lăng tiêu</t>
  </si>
  <si>
    <t>C. Vinh</t>
  </si>
  <si>
    <t>BA LA</t>
  </si>
  <si>
    <t>Chỉ tẩm mặn(L)</t>
  </si>
  <si>
    <t>Chỉ tẩm mặn (N)</t>
  </si>
  <si>
    <t>Hàng gửi</t>
  </si>
  <si>
    <t>TƯ MINH</t>
  </si>
  <si>
    <t>Phụ lỗ lô cũ</t>
  </si>
  <si>
    <t>HIẾU 
(PQ)</t>
  </si>
  <si>
    <t>HIỆP
P.TĨNH</t>
  </si>
  <si>
    <t>HIỆP (PHƯỚC TĨNH)</t>
  </si>
  <si>
    <t>NHÂN
(PT)</t>
  </si>
  <si>
    <t>Cơm xô</t>
  </si>
  <si>
    <t>THU</t>
  </si>
  <si>
    <t>CHI</t>
  </si>
  <si>
    <t>NHẬP
KHO</t>
  </si>
  <si>
    <t>XUẤT
KHO</t>
  </si>
  <si>
    <t>NGÂN
HÀNG</t>
  </si>
  <si>
    <t>CTGS</t>
  </si>
  <si>
    <t>CHỨNG TỪ - TP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</si>
  <si>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</si>
  <si>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</si>
  <si>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</si>
  <si>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</si>
  <si>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</si>
  <si>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</si>
  <si>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</si>
  <si>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</si>
  <si>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</si>
  <si>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</si>
  <si>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</si>
  <si>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</si>
  <si>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</si>
  <si>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Tháng : 07 /2013</t>
  </si>
  <si>
    <t>Tháng : 08 /2013</t>
  </si>
  <si>
    <t>Tháng : 09 /2013</t>
  </si>
  <si>
    <t>Tháng : 12 /2013</t>
  </si>
  <si>
    <t>Tháng : 11 /2013</t>
  </si>
  <si>
    <t>Tháng : 10 /2013</t>
  </si>
  <si>
    <t>BẢY
(CÀ NÁ)</t>
  </si>
  <si>
    <t>TRUNG SƠN</t>
  </si>
  <si>
    <t>NÊN
(PT)</t>
  </si>
  <si>
    <t>8 THÙY</t>
  </si>
  <si>
    <t>Thắm: 0916525830</t>
  </si>
  <si>
    <t>Chai file</t>
  </si>
  <si>
    <t>NHU
(P.QUỐC)</t>
  </si>
  <si>
    <t>CHỊ HÒA
(Z30D)</t>
  </si>
  <si>
    <t>C.Vinh</t>
  </si>
  <si>
    <t>Cá Lem</t>
  </si>
  <si>
    <t>Tôm sắt NL</t>
  </si>
  <si>
    <t>Bò NL</t>
  </si>
  <si>
    <t>9 TUY</t>
  </si>
  <si>
    <t>Chỉ file</t>
  </si>
  <si>
    <t>Lem mặn</t>
  </si>
  <si>
    <t>Trác mặn</t>
  </si>
  <si>
    <t>Bò c/đầu</t>
  </si>
  <si>
    <t>Chỉ tẩm (nhật)</t>
  </si>
  <si>
    <t>Lem ngọt</t>
  </si>
  <si>
    <t>Chả cá (suremi)</t>
  </si>
  <si>
    <t>Lem mặn (còn xương)</t>
  </si>
  <si>
    <t>Chỉ mặn (xấu)</t>
  </si>
  <si>
    <t>C.Vinh (26kx1)</t>
  </si>
  <si>
    <t>C.Vinh (78kx1)</t>
  </si>
  <si>
    <t>C.Vinh (467k*0.4)</t>
  </si>
  <si>
    <t>C.Vinh (162k*2)</t>
  </si>
  <si>
    <t>C.Vinh (773k*0.4)</t>
  </si>
  <si>
    <t>AL (453k*0.4)</t>
  </si>
  <si>
    <t>AL (400k*0.4)</t>
  </si>
  <si>
    <t xml:space="preserve">Chỉ tẩm ghép </t>
  </si>
  <si>
    <t xml:space="preserve">Chỉ mặn </t>
  </si>
  <si>
    <t>DŨNG
KG</t>
  </si>
  <si>
    <t xml:space="preserve">Mai file </t>
  </si>
  <si>
    <t>Chai ghép (GC)</t>
  </si>
  <si>
    <t>HOÀNG
ĐEN</t>
  </si>
  <si>
    <t>Ngân file</t>
  </si>
  <si>
    <t>Chỉ mặn B</t>
  </si>
  <si>
    <t>6
NHẨM</t>
  </si>
  <si>
    <t>8
HỒNG</t>
  </si>
  <si>
    <t>C Vinh</t>
  </si>
  <si>
    <t>An Lạc</t>
  </si>
  <si>
    <t>MẠNH
VT</t>
  </si>
  <si>
    <t>Chuyển nợ Cô Hòa</t>
  </si>
  <si>
    <t>Trả C.Vinh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</si>
  <si>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</si>
  <si>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</si>
  <si>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</si>
  <si>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Gửi kho</t>
  </si>
  <si>
    <t>GỬI CÔNG NỢ  09/2013</t>
  </si>
  <si>
    <t>Chai file tẩm</t>
  </si>
  <si>
    <t>Đục file</t>
  </si>
  <si>
    <t>Đục file (2M)</t>
  </si>
  <si>
    <t>Chỉ tẩm mặn (lưới)</t>
  </si>
  <si>
    <t>Chỉ tẩm mặn (cào)</t>
  </si>
  <si>
    <t xml:space="preserve"> Giao Đục NL</t>
  </si>
  <si>
    <t>Cơm cắt</t>
  </si>
  <si>
    <t>GC</t>
  </si>
  <si>
    <t>Chỉ tẩm (nhật) gửi</t>
  </si>
  <si>
    <t>Ngân mặn (xấu)</t>
  </si>
  <si>
    <t>Ngân mặn (lớn xấu)</t>
  </si>
  <si>
    <t xml:space="preserve">Chỉ tẩm </t>
  </si>
  <si>
    <t>Bò file M ( lai )</t>
  </si>
  <si>
    <t>Bò NL(lai)</t>
  </si>
  <si>
    <t>MỸ TIÊN 
KG</t>
  </si>
  <si>
    <t>BẢY
L.HẢI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</si>
  <si>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</si>
  <si>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</si>
  <si>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</si>
  <si>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</si>
  <si>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</si>
  <si>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</si>
  <si>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</si>
  <si>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C.CƠ
HT</t>
  </si>
  <si>
    <t>QUỐC
ĐP</t>
  </si>
  <si>
    <t>CTY
H.HẢI</t>
  </si>
  <si>
    <t>HÙNG
PT</t>
  </si>
  <si>
    <t>NÊN
PT</t>
  </si>
  <si>
    <t>NAM
C.VIỆT</t>
  </si>
  <si>
    <t>LOAN
HT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</si>
  <si>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</si>
  <si>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</si>
  <si>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</si>
  <si>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</si>
  <si>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</si>
  <si>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</si>
  <si>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</si>
  <si>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</si>
  <si>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</si>
  <si>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DÌ 3</t>
  </si>
  <si>
    <t>MR
VƯỢNG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</si>
  <si>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</si>
  <si>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</si>
  <si>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</si>
  <si>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</si>
  <si>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</si>
  <si>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</si>
  <si>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</si>
  <si>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</si>
  <si>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Chỉ cào</t>
  </si>
  <si>
    <t>chỉ lưới</t>
  </si>
  <si>
    <t>TỔNG KẾT CÒN NỢ  CUỐI NĂM 2013</t>
  </si>
  <si>
    <t>TỔNG KẾT CÒN NỢ NĂM 2013</t>
  </si>
  <si>
    <t>Bò lai NL</t>
  </si>
  <si>
    <t>LIÊN
CÀ NÁ</t>
  </si>
  <si>
    <t>THẢO
VL</t>
  </si>
  <si>
    <t>TRANG
VT</t>
  </si>
  <si>
    <t>LINH</t>
  </si>
  <si>
    <t>SÁCH
VT</t>
  </si>
  <si>
    <t>Chuyển trả (Xuyến)</t>
  </si>
  <si>
    <t>Bò file VN</t>
  </si>
  <si>
    <t>Trí Hảo</t>
  </si>
  <si>
    <t>Liệt tẩm mặn (GC)</t>
  </si>
  <si>
    <t>Đù c/đầu</t>
  </si>
  <si>
    <t>Bò lai</t>
  </si>
  <si>
    <t>Đổng file</t>
  </si>
  <si>
    <t>Chỉ B</t>
  </si>
  <si>
    <t>Đổng tẩm</t>
  </si>
  <si>
    <t>Chỉ B nhật</t>
  </si>
  <si>
    <t>THỦY
THÀNH</t>
  </si>
  <si>
    <t>L/búa mặn</t>
  </si>
  <si>
    <t>MỸ
ANH</t>
  </si>
  <si>
    <t>LÀNH</t>
  </si>
  <si>
    <t>Ba lài mặn</t>
  </si>
  <si>
    <t>Ba lài file</t>
  </si>
  <si>
    <t>Chỉ tẩm ( Nhật)</t>
  </si>
  <si>
    <t>Đù mặn (GC)</t>
  </si>
  <si>
    <t>A LỢI
(BChâu)</t>
  </si>
  <si>
    <t>Trả cơm cắt</t>
  </si>
  <si>
    <t>Cơm ko đầu</t>
  </si>
  <si>
    <t>Tôm ko đầu</t>
  </si>
  <si>
    <t>Chỉ file (lưới)</t>
  </si>
  <si>
    <t>Chỉ file (cào)</t>
  </si>
  <si>
    <t>6 Nhầm</t>
  </si>
  <si>
    <t>Cơm C/đầu</t>
  </si>
  <si>
    <t>Cơm C/đầu (GC)</t>
  </si>
  <si>
    <t>Mai file N</t>
  </si>
  <si>
    <t>GIÀU
VT</t>
  </si>
  <si>
    <t>Giàu VT</t>
  </si>
  <si>
    <t>SỔ CÁ 01
2015</t>
  </si>
  <si>
    <t>SỔ CÁ 02
2015</t>
  </si>
  <si>
    <t>SỔ CÁ 03
2015</t>
  </si>
  <si>
    <t>LÃI VAY&amp; HỤI 
2015</t>
  </si>
  <si>
    <t>HẢI
THỦY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</si>
  <si>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</si>
  <si>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</si>
  <si>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</si>
  <si>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</si>
  <si>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</si>
  <si>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</si>
  <si>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</si>
  <si>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Tôm NL</t>
  </si>
  <si>
    <t>Cá kiềm</t>
  </si>
  <si>
    <t>091 392 6087</t>
  </si>
  <si>
    <t xml:space="preserve">Nục file </t>
  </si>
  <si>
    <t>(Hàng cá lem lớn chưa trừ)</t>
  </si>
  <si>
    <t>TRÍ HẢO</t>
  </si>
  <si>
    <t>Bò ghép 2S (VN)</t>
  </si>
  <si>
    <t>Bò ghép 2S (Lai)</t>
  </si>
  <si>
    <t>Trả B &amp; dạt</t>
  </si>
  <si>
    <t>Bò VN (N)</t>
  </si>
  <si>
    <t>Bò lai (N)</t>
  </si>
  <si>
    <t>Bò lai (HQ)</t>
  </si>
  <si>
    <t>Bò NC lột da</t>
  </si>
  <si>
    <t>Cá NL</t>
  </si>
  <si>
    <t>Cá NL đến 28/4</t>
  </si>
  <si>
    <t>Bò VN (N) (đỏ)</t>
  </si>
  <si>
    <t>Sorbitol</t>
  </si>
  <si>
    <t>Đường</t>
  </si>
  <si>
    <t>A. Lợi BC</t>
  </si>
  <si>
    <t>Cá NL đến 15/5</t>
  </si>
  <si>
    <t>Cá NL đến 31/5</t>
  </si>
  <si>
    <t>Chị Huệ</t>
  </si>
  <si>
    <t>Trắng VL</t>
  </si>
  <si>
    <t>Tiến Gành Hào</t>
  </si>
  <si>
    <t>Cá NL đến 12/6</t>
  </si>
  <si>
    <t>Cá NL đến 7/6</t>
  </si>
  <si>
    <t>Út</t>
  </si>
  <si>
    <t>Bò VN (N) đỏ</t>
  </si>
  <si>
    <t>Cá NL(c/đầu)</t>
  </si>
  <si>
    <t>Bò VN (HQ)</t>
  </si>
  <si>
    <t>Tiền xe chở hàng gửi</t>
  </si>
  <si>
    <t>Bò VN 5008kg</t>
  </si>
  <si>
    <t>Bò NL (14/6)</t>
  </si>
  <si>
    <t>Bò VN</t>
  </si>
  <si>
    <t>Cá lãi file</t>
  </si>
  <si>
    <t>Bò NL (12/7)</t>
  </si>
  <si>
    <t>Bò NL (17/7)</t>
  </si>
  <si>
    <t>6 NHẦM</t>
  </si>
  <si>
    <t>Bò NL (VN)</t>
  </si>
  <si>
    <t>Bò NL (Lai)</t>
  </si>
  <si>
    <t>Hảo</t>
  </si>
  <si>
    <t>Bò VN (HQ) (hư)</t>
  </si>
  <si>
    <t>Bò N/C tẩm</t>
  </si>
  <si>
    <t>TIỀN NL</t>
  </si>
  <si>
    <t>Bò c/đầu (lai)</t>
  </si>
  <si>
    <t>Bò c/đầu (VN)</t>
  </si>
  <si>
    <t>Bò file lai</t>
  </si>
  <si>
    <t>TRẮNG VL</t>
  </si>
  <si>
    <t>A. Hà</t>
  </si>
  <si>
    <t>Hương ST</t>
  </si>
  <si>
    <t>Mạnh VT</t>
  </si>
  <si>
    <t>Phán VT</t>
  </si>
  <si>
    <t>TỔNG KẾT CÒN NỢ  31/03/2015</t>
  </si>
  <si>
    <t>TỔNG KẾT CÒN NỢ  30/04/2015</t>
  </si>
  <si>
    <t>TỔNG KẾT CÒN NỢ  31/05/2015</t>
  </si>
  <si>
    <t>TỔNG KẾT CÒN NỢ  30/06/2015</t>
  </si>
  <si>
    <t>TỔNG KẾT CÒN NỢ  31/07/2015</t>
  </si>
  <si>
    <t>TỔNG KẾT CÒN NỢ  31/08/2015</t>
  </si>
  <si>
    <t>Bò Vn (N)</t>
  </si>
  <si>
    <t>Bò VN đỏ (HQ)</t>
  </si>
  <si>
    <t>Bò NL(vn)</t>
  </si>
  <si>
    <t>TỔNG KẾT CÒN NỢ  30/09/2015</t>
  </si>
  <si>
    <t>CÚC
VT</t>
  </si>
  <si>
    <t>CÔNG NỢ NGUYÊN LIỆU CÁ - LONG AN</t>
  </si>
  <si>
    <t>CÔNG NỢ NGUYÊN LIỆU CÁ - TRÀ VINH</t>
  </si>
  <si>
    <t>Xuất bán đục</t>
  </si>
  <si>
    <t>Chỉ bể</t>
  </si>
  <si>
    <t>Cơm cắt (GC)</t>
  </si>
  <si>
    <t>SÁCH VT</t>
  </si>
  <si>
    <t>Nợ 2014</t>
  </si>
  <si>
    <t>091 394 7660 ( Trang)</t>
  </si>
  <si>
    <t>ĐT: 0913 360 195</t>
  </si>
  <si>
    <t>Ghẹ NL ( tròn)</t>
  </si>
  <si>
    <t>THANH ( MN)</t>
  </si>
  <si>
    <t>A. LỢI BÌNH CHÂU</t>
  </si>
  <si>
    <t>HƯƠNG (ST)</t>
  </si>
  <si>
    <t>DŨNG ĐIỄM</t>
  </si>
  <si>
    <t>TRẮNG (VL)</t>
  </si>
  <si>
    <t>RUÔNG (CHỢ LỚN)</t>
  </si>
  <si>
    <t>Cơm cắt (ẩm)</t>
  </si>
  <si>
    <t>Cơm cắt xấu</t>
  </si>
  <si>
    <t>TỔNG KẾT CÒN NỢ  CUỐI NĂM 2014</t>
  </si>
  <si>
    <t>Bò lai HQ</t>
  </si>
  <si>
    <t>Bò ghép lai</t>
  </si>
  <si>
    <t>Bò ghép lai ( 18x46</t>
  </si>
  <si>
    <t>A. Lam</t>
  </si>
  <si>
    <t>Bò VN (L)</t>
  </si>
  <si>
    <t>THANH ( KIÊN GIANG )</t>
  </si>
  <si>
    <t>THANH ( KG )</t>
  </si>
  <si>
    <t>HƯƠNG ( SÓC TRĂNG )</t>
  </si>
  <si>
    <t>A. LỢI ( BÌNH CHÂU )</t>
  </si>
  <si>
    <t>Bò ghép lai (HQ)</t>
  </si>
  <si>
    <t>Bò ghép 2S (N)</t>
  </si>
  <si>
    <t>Bò ghép 2L (HQ)</t>
  </si>
  <si>
    <t>Bò ghép 3L (HQ)</t>
  </si>
  <si>
    <t>Bò ghép 3L (HQ) dạt</t>
  </si>
  <si>
    <t>A. RUÔNG ( CHỢ LỚN )</t>
  </si>
  <si>
    <t>DŨNG KG</t>
  </si>
  <si>
    <t>ĐT: 0977 066 255</t>
  </si>
  <si>
    <t>CÚC ( VŨNG TÀU )</t>
  </si>
  <si>
    <t>THỦY KG</t>
  </si>
  <si>
    <t>CÚC VT</t>
  </si>
  <si>
    <t>Trà Vinh</t>
  </si>
  <si>
    <t>Sáu VT</t>
  </si>
  <si>
    <t>MẠNH VT</t>
  </si>
  <si>
    <t>Bò file (đông lạnh)</t>
  </si>
  <si>
    <t>PHÁN
VT</t>
  </si>
  <si>
    <t>7
NGHĨA</t>
  </si>
  <si>
    <t>8
LẬP</t>
  </si>
  <si>
    <t>PHÁN VT</t>
  </si>
  <si>
    <t>Bò tẩm VN (HQ)</t>
  </si>
  <si>
    <t>NHÂN CM</t>
  </si>
  <si>
    <t>ĐT: 091 360 8461</t>
  </si>
  <si>
    <t>Mai lạt xẻ</t>
  </si>
  <si>
    <t>TỔNG KẾT CÒN NỢ  31/10/2015</t>
  </si>
  <si>
    <t>Bò NL c/đầu</t>
  </si>
  <si>
    <t>7 NGHĨA</t>
  </si>
  <si>
    <t>8 LẬP</t>
  </si>
  <si>
    <t>Bò file (lai)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</si>
</sst>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.000_);_(* \(#,##0.000\);_(* &quot;-&quot;???_);_(@_)"/>
    <numFmt numFmtId="167" formatCode="_(* #,##0_);_(* \(#,##0\);_(* &quot;-&quot;??_);_(@_)"/>
  </numFmts>
  <fonts count="4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Calibri"/>
      <family val="2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9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color indexed="9"/>
      <name val="Times New Roman"/>
      <family val="1"/>
    </font>
    <font>
      <b/>
      <sz val="13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color indexed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20"/>
      <color indexed="8"/>
      <name val="Times New Roman"/>
      <family val="1"/>
    </font>
    <font>
      <b/>
      <sz val="28"/>
      <color indexed="8"/>
      <name val="Times New Roman"/>
      <family val="1"/>
    </font>
    <font>
      <sz val="32"/>
      <color indexed="8"/>
      <name val="Times New Roman"/>
      <family val="1"/>
    </font>
    <font>
      <sz val="28"/>
      <color indexed="8"/>
      <name val="Times New Roman"/>
      <family val="1"/>
    </font>
    <font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i/>
      <sz val="12"/>
      <color indexed="10"/>
      <name val="Times New Roman"/>
      <family val="1"/>
    </font>
    <font>
      <b/>
      <sz val="24"/>
      <color indexed="8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267">
    <xf numFmtId="0" fontId="0" fillId="0" borderId="0" xfId="0"/>
    <xf numFmtId="0" fontId="3" fillId="0" borderId="0" xfId="0" applyFont="1"/>
    <xf numFmtId="164" fontId="3" fillId="0" borderId="0" xfId="1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1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164" fontId="16" fillId="0" borderId="0" xfId="1" applyNumberFormat="1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1" fillId="0" borderId="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 wrapText="1"/>
    </xf>
    <xf numFmtId="49" fontId="8" fillId="0" borderId="8" xfId="1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2" fillId="0" borderId="0" xfId="3" applyFont="1" applyAlignment="1">
      <alignment horizontal="left" vertical="center" wrapText="1"/>
    </xf>
    <xf numFmtId="0" fontId="25" fillId="0" borderId="0" xfId="0" applyFont="1" applyBorder="1"/>
    <xf numFmtId="0" fontId="24" fillId="0" borderId="0" xfId="0" applyFont="1" applyBorder="1"/>
    <xf numFmtId="167" fontId="24" fillId="0" borderId="0" xfId="1" applyNumberFormat="1" applyFont="1" applyBorder="1"/>
    <xf numFmtId="0" fontId="26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167" fontId="7" fillId="0" borderId="0" xfId="1" applyNumberFormat="1" applyFont="1"/>
    <xf numFmtId="0" fontId="7" fillId="0" borderId="0" xfId="0" applyFont="1"/>
    <xf numFmtId="0" fontId="28" fillId="0" borderId="0" xfId="0" applyFont="1" applyAlignment="1">
      <alignment horizontal="left"/>
    </xf>
    <xf numFmtId="165" fontId="7" fillId="0" borderId="0" xfId="1" applyNumberFormat="1" applyFont="1"/>
    <xf numFmtId="0" fontId="29" fillId="0" borderId="0" xfId="0" applyFont="1"/>
    <xf numFmtId="167" fontId="29" fillId="0" borderId="0" xfId="1" applyNumberFormat="1" applyFont="1" applyAlignment="1"/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4" fontId="23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11" fillId="0" borderId="6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167" fontId="28" fillId="0" borderId="0" xfId="1" applyNumberFormat="1" applyFont="1" applyAlignment="1"/>
    <xf numFmtId="14" fontId="7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 wrapText="1"/>
    </xf>
    <xf numFmtId="0" fontId="30" fillId="0" borderId="13" xfId="0" applyFont="1" applyBorder="1" applyAlignment="1">
      <alignment horizontal="center" vertical="top"/>
    </xf>
    <xf numFmtId="0" fontId="32" fillId="0" borderId="0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 wrapText="1"/>
    </xf>
    <xf numFmtId="165" fontId="6" fillId="0" borderId="0" xfId="1" applyNumberFormat="1" applyFont="1" applyAlignment="1">
      <alignment horizontal="center" vertical="center"/>
    </xf>
    <xf numFmtId="164" fontId="11" fillId="0" borderId="4" xfId="1" applyNumberFormat="1" applyFont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1" applyNumberFormat="1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49" fontId="8" fillId="0" borderId="5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Border="1" applyAlignment="1">
      <alignment horizontal="center" vertical="center"/>
    </xf>
    <xf numFmtId="167" fontId="39" fillId="0" borderId="0" xfId="1" applyNumberFormat="1" applyFont="1" applyAlignment="1"/>
    <xf numFmtId="165" fontId="6" fillId="0" borderId="0" xfId="1" applyNumberFormat="1" applyFont="1"/>
    <xf numFmtId="0" fontId="40" fillId="0" borderId="0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wrapText="1"/>
    </xf>
    <xf numFmtId="164" fontId="3" fillId="0" borderId="0" xfId="1" quotePrefix="1" applyNumberFormat="1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8" fillId="0" borderId="0" xfId="1" applyNumberFormat="1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64" fontId="4" fillId="0" borderId="5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41" fillId="2" borderId="1" xfId="1" applyNumberFormat="1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3" fillId="0" borderId="0" xfId="3" applyFont="1" applyAlignment="1">
      <alignment horizontal="left" vertical="center" wrapText="1"/>
    </xf>
    <xf numFmtId="165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10" fillId="0" borderId="5" xfId="2" applyFont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10" fillId="0" borderId="22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10" fillId="0" borderId="15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10" fillId="0" borderId="10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167" fontId="28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_CONG NO CA" xfId="2"/>
    <cellStyle name="Normal_Ms_Nga2.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>
    <tabColor indexed="28"/>
  </sheetPr>
  <dimension ref="A1:G35"/>
  <sheetViews>
    <sheetView zoomScaleNormal="110" workbookViewId="0">
      <pane ySplit="3" topLeftCell="A4" activePane="bottomLeft" state="frozen"/>
      <selection pane="bottomLeft" activeCell="F8" sqref="F8"/>
    </sheetView>
  </sheetViews>
  <sheetFormatPr defaultRowHeight="30" customHeight="1"/>
  <cols>
    <col min="1" max="1" width="5.28515625" style="1" bestFit="1" customWidth="1"/>
    <col min="2" max="2" width="25.7109375" style="1" customWidth="1"/>
    <col min="3" max="3" width="16.85546875" style="2" customWidth="1"/>
    <col min="4" max="4" width="3.7109375" style="1" customWidth="1"/>
    <col min="5" max="5" width="5.28515625" style="1" bestFit="1" customWidth="1"/>
    <col min="6" max="6" width="26.42578125" style="1" customWidth="1"/>
    <col min="7" max="7" width="17.42578125" style="2" customWidth="1"/>
    <col min="8" max="16384" width="9.140625" style="1"/>
  </cols>
  <sheetData>
    <row r="1" spans="1:7" s="120" customFormat="1" ht="23.25" customHeight="1">
      <c r="A1" s="116" t="s">
        <v>364</v>
      </c>
      <c r="B1" s="117"/>
      <c r="C1" s="118"/>
      <c r="D1" s="119"/>
      <c r="E1" s="116" t="s">
        <v>365</v>
      </c>
      <c r="F1" s="117"/>
      <c r="G1" s="118"/>
    </row>
    <row r="2" spans="1:7" s="95" customFormat="1" ht="10.5" customHeight="1">
      <c r="A2" s="97"/>
      <c r="B2" s="98"/>
      <c r="C2" s="96"/>
      <c r="D2" s="94"/>
      <c r="E2" s="97"/>
      <c r="F2" s="98"/>
      <c r="G2" s="96"/>
    </row>
    <row r="3" spans="1:7" s="3" customFormat="1" ht="26.25" customHeight="1">
      <c r="A3" s="146" t="s">
        <v>4</v>
      </c>
      <c r="B3" s="147" t="s">
        <v>70</v>
      </c>
      <c r="C3" s="148" t="s">
        <v>69</v>
      </c>
      <c r="E3" s="146" t="s">
        <v>4</v>
      </c>
      <c r="F3" s="147" t="s">
        <v>70</v>
      </c>
      <c r="G3" s="148" t="s">
        <v>69</v>
      </c>
    </row>
    <row r="4" spans="1:7" s="15" customFormat="1" ht="21.75" customHeight="1">
      <c r="A4" s="149">
        <f t="array" ref="A4">IF(C4&lt;&gt;0,SUM(($C4:C$4&lt;&gt;0)*1),"")</f>
        <v>1</v>
      </c>
      <c r="B4" s="150" t="s">
        <v>8</v>
      </c>
      <c r="C4" s="151">
        <f>Q.TIÊN!$H$188</f>
        <v>1640442</v>
      </c>
      <c r="E4" s="149">
        <f t="array" ref="E4">IF(G4&lt;&gt;0,SUM(($G4:G$4&lt;&gt;0)*1),"")</f>
        <v>1</v>
      </c>
      <c r="F4" s="150" t="s">
        <v>398</v>
      </c>
      <c r="G4" s="151">
        <f>'DŨNG KG'!H25</f>
        <v>98496</v>
      </c>
    </row>
    <row r="5" spans="1:7" s="15" customFormat="1" ht="21.75" customHeight="1">
      <c r="A5" s="149">
        <f t="array" ref="A5">IF(C5&lt;&gt;0,SUM(($C$4:C5&lt;&gt;0)*1),"")</f>
        <v>2</v>
      </c>
      <c r="B5" s="150" t="s">
        <v>9</v>
      </c>
      <c r="C5" s="151">
        <f>'TỶ LIÊN'!$G$140</f>
        <v>94962</v>
      </c>
      <c r="E5" s="149" t="str">
        <f t="array" ref="E5">IF(G5&lt;&gt;0,SUM(($G$4:G5&lt;&gt;0)*1),"")</f>
        <v/>
      </c>
      <c r="F5" s="150" t="s">
        <v>402</v>
      </c>
      <c r="G5" s="151">
        <f>'CÚC VT'!H18</f>
        <v>0</v>
      </c>
    </row>
    <row r="6" spans="1:7" s="15" customFormat="1" ht="21.75" customHeight="1">
      <c r="A6" s="149">
        <f t="array" ref="A6">IF(C6&lt;&gt;0,SUM(($C$4:C6&lt;&gt;0)*1),"")</f>
        <v>3</v>
      </c>
      <c r="B6" s="150" t="s">
        <v>5</v>
      </c>
      <c r="C6" s="151">
        <f>'CƠ HT'!$H$164</f>
        <v>129826.5</v>
      </c>
      <c r="E6" s="149" t="str">
        <f t="array" ref="E6">IF(G6&lt;&gt;0,SUM(($G$4:G6&lt;&gt;0)*1),"")</f>
        <v/>
      </c>
      <c r="F6" s="150" t="s">
        <v>401</v>
      </c>
      <c r="G6" s="151">
        <f>'THỦY KG'!H22</f>
        <v>0</v>
      </c>
    </row>
    <row r="7" spans="1:7" s="15" customFormat="1" ht="21.75" customHeight="1">
      <c r="A7" s="149">
        <f t="array" ref="A7">IF(C7&lt;&gt;0,SUM(($C$4:C7&lt;&gt;0)*1),"")</f>
        <v>4</v>
      </c>
      <c r="B7" s="150" t="s">
        <v>398</v>
      </c>
      <c r="C7" s="151">
        <f>'DŨNG KG1'!H88</f>
        <v>247770</v>
      </c>
      <c r="E7" s="149">
        <f t="array" ref="E7">IF(G7&lt;&gt;0,SUM(($G$4:G7&lt;&gt;0)*1),"")</f>
        <v>2</v>
      </c>
      <c r="F7" s="150" t="s">
        <v>417</v>
      </c>
      <c r="G7" s="151">
        <f>'7 NGHĨA'!H22</f>
        <v>239360</v>
      </c>
    </row>
    <row r="8" spans="1:7" s="15" customFormat="1" ht="21.75" customHeight="1">
      <c r="A8" s="149">
        <f t="array" ref="A8">IF(C8&lt;&gt;0,SUM(($C$4:C8&lt;&gt;0)*1),"")</f>
        <v>5</v>
      </c>
      <c r="B8" s="150" t="s">
        <v>369</v>
      </c>
      <c r="C8" s="151">
        <f>'SÁCH VT'!G17</f>
        <v>245985</v>
      </c>
      <c r="E8" s="149" t="str">
        <f t="array" ref="E8">IF(G8&lt;&gt;0,SUM(($G$4:G8&lt;&gt;0)*1),"")</f>
        <v/>
      </c>
      <c r="F8" s="150" t="s">
        <v>418</v>
      </c>
      <c r="G8" s="151">
        <f>'8 LẬP'!H22</f>
        <v>0</v>
      </c>
    </row>
    <row r="9" spans="1:7" s="15" customFormat="1" ht="21.75" customHeight="1">
      <c r="A9" s="149">
        <f t="array" ref="A9">IF(C9&lt;&gt;0,SUM(($C$4:C9&lt;&gt;0)*1),"")</f>
        <v>6</v>
      </c>
      <c r="B9" s="150" t="s">
        <v>389</v>
      </c>
      <c r="C9" s="151">
        <f>'THANH KG'!H39</f>
        <v>2300</v>
      </c>
      <c r="E9" s="149" t="str">
        <f t="array" ref="E9">IF(G9&lt;&gt;0,SUM(($G$4:G9&lt;&gt;0)*1),"")</f>
        <v/>
      </c>
      <c r="F9" s="150"/>
      <c r="G9" s="151"/>
    </row>
    <row r="10" spans="1:7" s="15" customFormat="1" ht="21.75" customHeight="1">
      <c r="A10" s="149">
        <f t="array" ref="A10">IF(C10&lt;&gt;0,SUM(($C$4:C10&lt;&gt;0)*1),"")</f>
        <v>7</v>
      </c>
      <c r="B10" s="150" t="s">
        <v>412</v>
      </c>
      <c r="C10" s="151">
        <f>'NHÂN CM'!$H$39</f>
        <v>29180</v>
      </c>
      <c r="E10" s="149" t="str">
        <f t="array" ref="E10">IF(G10&lt;&gt;0,SUM(($G$4:G10&lt;&gt;0)*1),"")</f>
        <v/>
      </c>
      <c r="F10" s="150"/>
      <c r="G10" s="151"/>
    </row>
    <row r="11" spans="1:7" s="15" customFormat="1" ht="21.75" customHeight="1">
      <c r="A11" s="149">
        <f t="array" ref="A11">IF(C11&lt;&gt;0,SUM(($C$4:C11&lt;&gt;0)*1),"")</f>
        <v>8</v>
      </c>
      <c r="B11" s="150" t="s">
        <v>122</v>
      </c>
      <c r="C11" s="151">
        <f>'HIỆP (PT)'!H143</f>
        <v>450670</v>
      </c>
      <c r="E11" s="149" t="str">
        <f t="array" ref="E11">IF(G11&lt;&gt;0,SUM(($G$4:G11&lt;&gt;0)*1),"")</f>
        <v/>
      </c>
      <c r="F11" s="150"/>
      <c r="G11" s="151"/>
    </row>
    <row r="12" spans="1:7" s="15" customFormat="1" ht="21.75" customHeight="1">
      <c r="A12" s="149">
        <f t="array" ref="A12">IF(C12&lt;&gt;0,SUM(($C$4:C12&lt;&gt;0)*1),"")</f>
        <v>9</v>
      </c>
      <c r="B12" s="150" t="s">
        <v>374</v>
      </c>
      <c r="C12" s="151">
        <f>THANHMN!G80</f>
        <v>2093426</v>
      </c>
      <c r="E12" s="149" t="str">
        <f t="array" ref="E12">IF(G12&lt;&gt;0,SUM(($G$4:G12&lt;&gt;0)*1),"")</f>
        <v/>
      </c>
      <c r="F12" s="150"/>
      <c r="G12" s="151"/>
    </row>
    <row r="13" spans="1:7" s="15" customFormat="1" ht="21.75" customHeight="1">
      <c r="A13" s="149">
        <f t="array" ref="A13">IF(C13&lt;&gt;0,SUM(($C$4:C13&lt;&gt;0)*1),"")</f>
        <v>10</v>
      </c>
      <c r="B13" s="150" t="s">
        <v>375</v>
      </c>
      <c r="C13" s="151">
        <f>'A.LỢI BC'!G27</f>
        <v>165493.6</v>
      </c>
      <c r="E13" s="149" t="str">
        <f t="array" ref="E13">IF(G13&lt;&gt;0,SUM(($G$4:G13&lt;&gt;0)*1),"")</f>
        <v/>
      </c>
      <c r="F13" s="150"/>
      <c r="G13" s="151"/>
    </row>
    <row r="14" spans="1:7" s="15" customFormat="1" ht="21.75" customHeight="1">
      <c r="A14" s="149" t="str">
        <f t="array" ref="A14">IF(C14&lt;&gt;0,SUM(($C$4:C14&lt;&gt;0)*1),"")</f>
        <v/>
      </c>
      <c r="B14" s="150" t="s">
        <v>376</v>
      </c>
      <c r="C14" s="151">
        <f>'HƯƠNG ST'!G27</f>
        <v>0</v>
      </c>
      <c r="E14" s="149" t="str">
        <f t="array" ref="E14">IF(G14&lt;&gt;0,SUM(($G$4:G14&lt;&gt;0)*1),"")</f>
        <v/>
      </c>
      <c r="F14" s="150"/>
      <c r="G14" s="151"/>
    </row>
    <row r="15" spans="1:7" s="15" customFormat="1" ht="21.75" customHeight="1">
      <c r="A15" s="149">
        <f t="array" ref="A15">IF(C15&lt;&gt;0,SUM(($C$4:C15&lt;&gt;0)*1),"")</f>
        <v>11</v>
      </c>
      <c r="B15" s="150" t="s">
        <v>306</v>
      </c>
      <c r="C15" s="151">
        <f>'TRÍ HẢO VT'!I220</f>
        <v>-125347.79999999981</v>
      </c>
      <c r="E15" s="149" t="str">
        <f t="array" ref="E15">IF(G15&lt;&gt;0,SUM(($G$4:G15&lt;&gt;0)*1),"")</f>
        <v/>
      </c>
      <c r="F15" s="150"/>
      <c r="G15" s="151"/>
    </row>
    <row r="16" spans="1:7" s="15" customFormat="1" ht="21.75" customHeight="1">
      <c r="A16" s="149">
        <f t="array" ref="A16">IF(C16&lt;&gt;0,SUM(($C$4:C16&lt;&gt;0)*1),"")</f>
        <v>12</v>
      </c>
      <c r="B16" s="150" t="s">
        <v>405</v>
      </c>
      <c r="C16" s="151">
        <f>'MẠNH VT'!I26</f>
        <v>116000</v>
      </c>
      <c r="E16" s="149" t="str">
        <f t="array" ref="E16">IF(G16&lt;&gt;0,SUM(($G$4:G16&lt;&gt;0)*1),"")</f>
        <v/>
      </c>
      <c r="F16" s="150"/>
      <c r="G16" s="151"/>
    </row>
    <row r="17" spans="1:7" s="15" customFormat="1" ht="21.75" customHeight="1">
      <c r="A17" s="149">
        <f t="array" ref="A17">IF(C17&lt;&gt;0,SUM(($C$4:C17&lt;&gt;0)*1),"")</f>
        <v>13</v>
      </c>
      <c r="B17" s="150" t="s">
        <v>377</v>
      </c>
      <c r="C17" s="151">
        <f>D.ĐIỂM!G84</f>
        <v>695500</v>
      </c>
      <c r="E17" s="149" t="str">
        <f t="array" ref="E17">IF(G17&lt;&gt;0,SUM(($G$4:G17&lt;&gt;0)*1),"")</f>
        <v/>
      </c>
      <c r="F17" s="150"/>
      <c r="G17" s="151"/>
    </row>
    <row r="18" spans="1:7" s="15" customFormat="1" ht="21.75" customHeight="1">
      <c r="A18" s="149">
        <f t="array" ref="A18">IF(C18&lt;&gt;0,SUM(($C$4:C18&lt;&gt;0)*1),"")</f>
        <v>14</v>
      </c>
      <c r="B18" s="150" t="s">
        <v>378</v>
      </c>
      <c r="C18" s="151">
        <f>'TRẮNG (VL)'!H68</f>
        <v>49096</v>
      </c>
      <c r="E18" s="149" t="str">
        <f t="array" ref="E18">IF(G18&lt;&gt;0,SUM(($G$4:G18&lt;&gt;0)*1),"")</f>
        <v/>
      </c>
      <c r="F18" s="150"/>
      <c r="G18" s="151"/>
    </row>
    <row r="19" spans="1:7" s="15" customFormat="1" ht="21.75" customHeight="1">
      <c r="A19" s="149">
        <f t="array" ref="A19">IF(C19&lt;&gt;0,SUM(($C$4:C19&lt;&gt;0)*1),"")</f>
        <v>15</v>
      </c>
      <c r="B19" s="150" t="s">
        <v>379</v>
      </c>
      <c r="C19" s="151">
        <f>'RUÔNG (CL)'!G27</f>
        <v>212100</v>
      </c>
      <c r="E19" s="149" t="str">
        <f t="array" ref="E19">IF(G19&lt;&gt;0,SUM(($G$4:G19&lt;&gt;0)*1),"")</f>
        <v/>
      </c>
      <c r="F19" s="150"/>
      <c r="G19" s="151"/>
    </row>
    <row r="20" spans="1:7" s="15" customFormat="1" ht="21.75" customHeight="1">
      <c r="A20" s="149" t="str">
        <f t="array" ref="A20">IF(C20&lt;&gt;0,SUM(($C$4:C20&lt;&gt;0)*1),"")</f>
        <v/>
      </c>
      <c r="B20" s="211"/>
      <c r="C20" s="212"/>
      <c r="E20" s="149" t="str">
        <f t="array" ref="E20">IF(G20&lt;&gt;0,SUM(($G$4:G20&lt;&gt;0)*1),"")</f>
        <v/>
      </c>
      <c r="F20" s="211"/>
      <c r="G20" s="212"/>
    </row>
    <row r="21" spans="1:7" s="15" customFormat="1" ht="21.75" customHeight="1">
      <c r="A21" s="149" t="str">
        <f t="array" ref="A21">IF(C21&lt;&gt;0,SUM(($C$4:C21&lt;&gt;0)*1),"")</f>
        <v/>
      </c>
      <c r="B21" s="211"/>
      <c r="C21" s="212"/>
      <c r="E21" s="149" t="str">
        <f t="array" ref="E21">IF(G21&lt;&gt;0,SUM(($G$4:G21&lt;&gt;0)*1),"")</f>
        <v/>
      </c>
      <c r="F21" s="211"/>
      <c r="G21" s="212"/>
    </row>
    <row r="22" spans="1:7" s="15" customFormat="1" ht="21.75" customHeight="1">
      <c r="A22" s="149" t="str">
        <f t="array" ref="A22">IF(C22&lt;&gt;0,SUM(($C$4:C22&lt;&gt;0)*1),"")</f>
        <v/>
      </c>
      <c r="B22" s="211"/>
      <c r="C22" s="212"/>
      <c r="E22" s="149" t="str">
        <f t="array" ref="E22">IF(G22&lt;&gt;0,SUM(($G$4:G22&lt;&gt;0)*1),"")</f>
        <v/>
      </c>
      <c r="F22" s="211"/>
      <c r="G22" s="212"/>
    </row>
    <row r="23" spans="1:7" s="15" customFormat="1" ht="21.75" customHeight="1">
      <c r="A23" s="149" t="str">
        <f t="array" ref="A23">IF(C23&lt;&gt;0,SUM(($C$4:C23&lt;&gt;0)*1),"")</f>
        <v/>
      </c>
      <c r="B23" s="211"/>
      <c r="C23" s="212"/>
      <c r="E23" s="149" t="str">
        <f t="array" ref="E23">IF(G23&lt;&gt;0,SUM(($G$4:G23&lt;&gt;0)*1),"")</f>
        <v/>
      </c>
      <c r="F23" s="211"/>
      <c r="G23" s="212"/>
    </row>
    <row r="24" spans="1:7" s="15" customFormat="1" ht="21.75" customHeight="1">
      <c r="A24" s="149" t="str">
        <f t="array" ref="A24">IF(C24&lt;&gt;0,SUM(($C$4:C24&lt;&gt;0)*1),"")</f>
        <v/>
      </c>
      <c r="B24" s="211"/>
      <c r="C24" s="212"/>
      <c r="E24" s="149" t="str">
        <f t="array" ref="E24">IF(G24&lt;&gt;0,SUM(($G$4:G24&lt;&gt;0)*1),"")</f>
        <v/>
      </c>
      <c r="F24" s="211"/>
      <c r="G24" s="212"/>
    </row>
    <row r="25" spans="1:7" s="15" customFormat="1" ht="21.75" customHeight="1">
      <c r="A25" s="149" t="str">
        <f t="array" ref="A25">IF(C25&lt;&gt;0,SUM(($C$4:C25&lt;&gt;0)*1),"")</f>
        <v/>
      </c>
      <c r="B25" s="211"/>
      <c r="C25" s="212"/>
      <c r="E25" s="149" t="str">
        <f t="array" ref="E25">IF(G25&lt;&gt;0,SUM(($G$4:G25&lt;&gt;0)*1),"")</f>
        <v/>
      </c>
      <c r="F25" s="211"/>
      <c r="G25" s="212"/>
    </row>
    <row r="26" spans="1:7" s="15" customFormat="1" ht="21.75" customHeight="1">
      <c r="A26" s="149" t="str">
        <f t="array" ref="A26">IF(C26&lt;&gt;0,SUM(($C$4:C26&lt;&gt;0)*1),"")</f>
        <v/>
      </c>
      <c r="B26" s="211"/>
      <c r="C26" s="212"/>
      <c r="E26" s="149" t="str">
        <f t="array" ref="E26">IF(G26&lt;&gt;0,SUM(($G$4:G26&lt;&gt;0)*1),"")</f>
        <v/>
      </c>
      <c r="F26" s="211"/>
      <c r="G26" s="212"/>
    </row>
    <row r="27" spans="1:7" s="15" customFormat="1" ht="21.75" customHeight="1">
      <c r="A27" s="149" t="str">
        <f t="array" ref="A27">IF(C27&lt;&gt;0,SUM(($C$4:C27&lt;&gt;0)*1),"")</f>
        <v/>
      </c>
      <c r="B27" s="211"/>
      <c r="C27" s="212"/>
      <c r="E27" s="149" t="str">
        <f t="array" ref="E27">IF(G27&lt;&gt;0,SUM(($G$4:G27&lt;&gt;0)*1),"")</f>
        <v/>
      </c>
      <c r="F27" s="211"/>
      <c r="G27" s="212"/>
    </row>
    <row r="28" spans="1:7" s="15" customFormat="1" ht="21.75" customHeight="1">
      <c r="A28" s="149" t="str">
        <f t="array" ref="A28">IF(C28&lt;&gt;0,SUM(($C$4:C28&lt;&gt;0)*1),"")</f>
        <v/>
      </c>
      <c r="B28" s="211"/>
      <c r="C28" s="212"/>
      <c r="E28" s="149" t="str">
        <f t="array" ref="E28">IF(G28&lt;&gt;0,SUM(($G$4:G28&lt;&gt;0)*1),"")</f>
        <v/>
      </c>
      <c r="F28" s="211"/>
      <c r="G28" s="212"/>
    </row>
    <row r="29" spans="1:7" s="15" customFormat="1" ht="21.75" customHeight="1">
      <c r="A29" s="149" t="str">
        <f t="array" ref="A29">IF(C29&lt;&gt;0,SUM(($C$4:C29&lt;&gt;0)*1),"")</f>
        <v/>
      </c>
      <c r="B29" s="211"/>
      <c r="C29" s="212"/>
      <c r="E29" s="149" t="str">
        <f t="array" ref="E29">IF(G29&lt;&gt;0,SUM(($G$4:G29&lt;&gt;0)*1),"")</f>
        <v/>
      </c>
      <c r="F29" s="211"/>
      <c r="G29" s="212"/>
    </row>
    <row r="30" spans="1:7" s="15" customFormat="1" ht="21.75" customHeight="1">
      <c r="A30" s="149" t="str">
        <f t="array" ref="A30">IF(C30&lt;&gt;0,SUM(($C$4:C30&lt;&gt;0)*1),"")</f>
        <v/>
      </c>
      <c r="B30" s="211"/>
      <c r="C30" s="212"/>
      <c r="E30" s="149" t="str">
        <f t="array" ref="E30">IF(G30&lt;&gt;0,SUM(($G$4:G30&lt;&gt;0)*1),"")</f>
        <v/>
      </c>
      <c r="F30" s="211"/>
      <c r="G30" s="212"/>
    </row>
    <row r="31" spans="1:7" s="15" customFormat="1" ht="21.75" customHeight="1">
      <c r="A31" s="149" t="str">
        <f t="array" ref="A31">IF(C31&lt;&gt;0,SUM(($C$4:C31&lt;&gt;0)*1),"")</f>
        <v/>
      </c>
      <c r="B31" s="211"/>
      <c r="C31" s="212"/>
      <c r="E31" s="149" t="str">
        <f t="array" ref="E31">IF(G31&lt;&gt;0,SUM(($G$4:G31&lt;&gt;0)*1),"")</f>
        <v/>
      </c>
      <c r="F31" s="211"/>
      <c r="G31" s="212"/>
    </row>
    <row r="32" spans="1:7" s="15" customFormat="1" ht="21.75" customHeight="1">
      <c r="A32" s="149" t="str">
        <f t="array" ref="A32">IF(C32&lt;&gt;0,SUM(($C$4:C32&lt;&gt;0)*1),"")</f>
        <v/>
      </c>
      <c r="B32" s="211"/>
      <c r="C32" s="212"/>
      <c r="E32" s="149" t="str">
        <f t="array" ref="E32">IF(G32&lt;&gt;0,SUM(($G$4:G32&lt;&gt;0)*1),"")</f>
        <v/>
      </c>
      <c r="F32" s="211"/>
      <c r="G32" s="212"/>
    </row>
    <row r="33" spans="1:7" s="15" customFormat="1" ht="21.75" customHeight="1">
      <c r="A33" s="149" t="str">
        <f t="array" ref="A33">IF(C33&lt;&gt;0,SUM(($C$4:C33&lt;&gt;0)*1),"")</f>
        <v/>
      </c>
      <c r="B33" s="211"/>
      <c r="C33" s="212"/>
      <c r="E33" s="149" t="str">
        <f t="array" ref="E33">IF(G33&lt;&gt;0,SUM(($G$4:G33&lt;&gt;0)*1),"")</f>
        <v/>
      </c>
      <c r="F33" s="211"/>
      <c r="G33" s="212"/>
    </row>
    <row r="34" spans="1:7" s="15" customFormat="1" ht="21.75" customHeight="1">
      <c r="A34" s="149" t="str">
        <f t="array" ref="A34">IF(C34&lt;&gt;0,SUM(($C$4:C34&lt;&gt;0)*1),"")</f>
        <v/>
      </c>
      <c r="B34" s="211"/>
      <c r="C34" s="212"/>
      <c r="E34" s="149" t="str">
        <f t="array" ref="E34">IF(G34&lt;&gt;0,SUM(($G$4:G34&lt;&gt;0)*1),"")</f>
        <v/>
      </c>
      <c r="F34" s="211"/>
      <c r="G34" s="212"/>
    </row>
    <row r="35" spans="1:7" s="15" customFormat="1" ht="24" customHeight="1">
      <c r="A35" s="226" t="s">
        <v>14</v>
      </c>
      <c r="B35" s="226"/>
      <c r="C35" s="213">
        <f>SUM(C4:C34)</f>
        <v>6047403.2999999998</v>
      </c>
      <c r="E35" s="226" t="s">
        <v>14</v>
      </c>
      <c r="F35" s="226"/>
      <c r="G35" s="213">
        <f>SUM(G4:G34)</f>
        <v>337856</v>
      </c>
    </row>
  </sheetData>
  <mergeCells count="2">
    <mergeCell ref="A35:B35"/>
    <mergeCell ref="E35:F35"/>
  </mergeCells>
  <phoneticPr fontId="5" type="noConversion"/>
  <pageMargins left="0.16" right="0.16" top="0.19" bottom="0.17" header="0.19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theme="6"/>
  </sheetPr>
  <dimension ref="A1:I193"/>
  <sheetViews>
    <sheetView topLeftCell="A7" workbookViewId="0">
      <pane ySplit="3" topLeftCell="A165" activePane="bottomLeft" state="frozen"/>
      <selection activeCell="A184" sqref="A184"/>
      <selection pane="bottomLeft" activeCell="A184" sqref="A184"/>
    </sheetView>
  </sheetViews>
  <sheetFormatPr defaultColWidth="19.42578125" defaultRowHeight="20.25" customHeight="1"/>
  <cols>
    <col min="1" max="1" width="11.28515625" style="4" customWidth="1"/>
    <col min="2" max="2" width="18" style="4" customWidth="1"/>
    <col min="3" max="3" width="10.7109375" style="5" customWidth="1"/>
    <col min="4" max="4" width="9.5703125" style="6" customWidth="1"/>
    <col min="5" max="5" width="16.42578125" style="6" customWidth="1"/>
    <col min="6" max="6" width="15.42578125" style="12" customWidth="1"/>
    <col min="7" max="7" width="17.140625" style="9" customWidth="1"/>
    <col min="8" max="8" width="15.85546875" style="6" customWidth="1"/>
    <col min="9" max="9" width="18.5703125" style="101" customWidth="1"/>
    <col min="10" max="16384" width="19.42578125" style="4"/>
  </cols>
  <sheetData>
    <row r="1" spans="1:9" s="60" customFormat="1" ht="18.75" customHeight="1">
      <c r="A1" s="227" t="s">
        <v>38</v>
      </c>
      <c r="B1" s="227"/>
      <c r="C1" s="227"/>
      <c r="D1" s="227"/>
      <c r="G1" s="61"/>
      <c r="H1" s="62"/>
      <c r="I1" s="107"/>
    </row>
    <row r="2" spans="1:9" s="60" customFormat="1" ht="18.75" customHeight="1">
      <c r="A2" s="227" t="s">
        <v>37</v>
      </c>
      <c r="B2" s="227"/>
      <c r="C2" s="227"/>
      <c r="D2" s="227"/>
      <c r="E2" s="227"/>
      <c r="F2" s="227"/>
      <c r="G2" s="61"/>
      <c r="H2" s="62"/>
      <c r="I2" s="107"/>
    </row>
    <row r="3" spans="1:9" s="60" customFormat="1" ht="18.75" customHeight="1">
      <c r="A3" s="227" t="s">
        <v>40</v>
      </c>
      <c r="B3" s="227"/>
      <c r="C3" s="227" t="s">
        <v>41</v>
      </c>
      <c r="D3" s="227"/>
      <c r="E3" s="227"/>
      <c r="F3" s="59"/>
      <c r="G3" s="61"/>
      <c r="H3" s="62"/>
      <c r="I3" s="107"/>
    </row>
    <row r="4" spans="1:9" ht="9.75" customHeight="1">
      <c r="C4" s="4"/>
      <c r="D4" s="4"/>
      <c r="E4" s="4"/>
      <c r="F4" s="4"/>
    </row>
    <row r="5" spans="1:9" s="63" customFormat="1" ht="29.25" customHeight="1">
      <c r="A5" s="228" t="s">
        <v>48</v>
      </c>
      <c r="B5" s="228"/>
      <c r="C5" s="228"/>
      <c r="D5" s="228"/>
      <c r="E5" s="228"/>
      <c r="F5" s="228"/>
      <c r="G5" s="228"/>
      <c r="H5" s="228"/>
      <c r="I5" s="228"/>
    </row>
    <row r="6" spans="1:9" ht="9.75" customHeight="1">
      <c r="C6" s="4"/>
      <c r="D6" s="4"/>
      <c r="E6" s="4"/>
      <c r="F6" s="4"/>
    </row>
    <row r="7" spans="1:9" ht="21" customHeight="1">
      <c r="A7" s="231" t="s">
        <v>8</v>
      </c>
      <c r="B7" s="231"/>
      <c r="C7" s="230" t="s">
        <v>36</v>
      </c>
      <c r="D7" s="230"/>
    </row>
    <row r="8" spans="1:9" s="55" customFormat="1" ht="18" customHeight="1">
      <c r="C8" s="57"/>
      <c r="D8" s="56"/>
      <c r="E8" s="56"/>
      <c r="F8" s="56"/>
      <c r="G8" s="56"/>
      <c r="H8" s="38"/>
      <c r="I8" s="102"/>
    </row>
    <row r="9" spans="1:9" s="75" customFormat="1" ht="47.25" customHeight="1">
      <c r="A9" s="85" t="s">
        <v>0</v>
      </c>
      <c r="B9" s="86" t="s">
        <v>1</v>
      </c>
      <c r="C9" s="83" t="s">
        <v>24</v>
      </c>
      <c r="D9" s="83" t="s">
        <v>35</v>
      </c>
      <c r="E9" s="83" t="s">
        <v>75</v>
      </c>
      <c r="F9" s="84" t="s">
        <v>76</v>
      </c>
      <c r="G9" s="84" t="s">
        <v>15</v>
      </c>
      <c r="H9" s="87" t="s">
        <v>2</v>
      </c>
      <c r="I9" s="103" t="s">
        <v>3</v>
      </c>
    </row>
    <row r="10" spans="1:9" s="35" customFormat="1" ht="20.25" customHeight="1">
      <c r="A10" s="232" t="s">
        <v>67</v>
      </c>
      <c r="B10" s="233"/>
      <c r="C10" s="233"/>
      <c r="D10" s="233"/>
      <c r="E10" s="233"/>
      <c r="F10" s="233"/>
      <c r="G10" s="234"/>
      <c r="H10" s="99">
        <v>2622054</v>
      </c>
      <c r="I10" s="104"/>
    </row>
    <row r="11" spans="1:9" s="35" customFormat="1" ht="20.25" customHeight="1">
      <c r="A11" s="66">
        <v>41286</v>
      </c>
      <c r="B11" s="123" t="s">
        <v>20</v>
      </c>
      <c r="C11" s="124">
        <v>4470</v>
      </c>
      <c r="D11" s="125">
        <v>41</v>
      </c>
      <c r="E11" s="45">
        <f t="shared" ref="E11:E31" si="0">C11*D11</f>
        <v>183270</v>
      </c>
      <c r="F11" s="126"/>
      <c r="G11" s="127"/>
      <c r="H11" s="27">
        <f t="shared" ref="H11:H50" si="1">IF(B11&lt;&gt;"",H10+E11-F11-G11,0)</f>
        <v>2805324</v>
      </c>
      <c r="I11" s="105"/>
    </row>
    <row r="12" spans="1:9" s="35" customFormat="1" ht="20.25" customHeight="1">
      <c r="A12" s="39">
        <v>41290</v>
      </c>
      <c r="B12" s="21" t="s">
        <v>20</v>
      </c>
      <c r="C12" s="40">
        <v>3700</v>
      </c>
      <c r="D12" s="41">
        <v>41</v>
      </c>
      <c r="E12" s="27">
        <f t="shared" si="0"/>
        <v>151700</v>
      </c>
      <c r="F12" s="64"/>
      <c r="G12" s="42"/>
      <c r="H12" s="27">
        <f t="shared" si="1"/>
        <v>2957024</v>
      </c>
      <c r="I12" s="105"/>
    </row>
    <row r="13" spans="1:9" s="35" customFormat="1" ht="20.25" customHeight="1">
      <c r="A13" s="39"/>
      <c r="B13" s="21" t="s">
        <v>20</v>
      </c>
      <c r="C13" s="40">
        <v>350</v>
      </c>
      <c r="D13" s="41">
        <v>41</v>
      </c>
      <c r="E13" s="27">
        <f t="shared" si="0"/>
        <v>14350</v>
      </c>
      <c r="F13" s="64"/>
      <c r="G13" s="42"/>
      <c r="H13" s="27">
        <f t="shared" si="1"/>
        <v>2971374</v>
      </c>
      <c r="I13" s="105"/>
    </row>
    <row r="14" spans="1:9" s="35" customFormat="1" ht="20.25" customHeight="1">
      <c r="A14" s="39">
        <v>41295</v>
      </c>
      <c r="B14" s="21" t="s">
        <v>20</v>
      </c>
      <c r="C14" s="40">
        <v>3510</v>
      </c>
      <c r="D14" s="41">
        <v>41</v>
      </c>
      <c r="E14" s="27">
        <f t="shared" si="0"/>
        <v>143910</v>
      </c>
      <c r="F14" s="64"/>
      <c r="G14" s="42"/>
      <c r="H14" s="27">
        <f t="shared" si="1"/>
        <v>3115284</v>
      </c>
      <c r="I14" s="105"/>
    </row>
    <row r="15" spans="1:9" s="35" customFormat="1" ht="20.25" customHeight="1">
      <c r="A15" s="39">
        <v>41297</v>
      </c>
      <c r="B15" s="21" t="s">
        <v>20</v>
      </c>
      <c r="C15" s="40">
        <v>4090</v>
      </c>
      <c r="D15" s="41">
        <v>41</v>
      </c>
      <c r="E15" s="27">
        <f t="shared" si="0"/>
        <v>167690</v>
      </c>
      <c r="F15" s="64"/>
      <c r="G15" s="42"/>
      <c r="H15" s="27">
        <f t="shared" si="1"/>
        <v>3282974</v>
      </c>
      <c r="I15" s="105"/>
    </row>
    <row r="16" spans="1:9" s="35" customFormat="1" ht="20.25" customHeight="1">
      <c r="A16" s="39"/>
      <c r="B16" s="21" t="s">
        <v>71</v>
      </c>
      <c r="C16" s="40">
        <v>20</v>
      </c>
      <c r="D16" s="41">
        <v>32</v>
      </c>
      <c r="E16" s="27">
        <f t="shared" si="0"/>
        <v>640</v>
      </c>
      <c r="F16" s="64"/>
      <c r="G16" s="42"/>
      <c r="H16" s="27">
        <f t="shared" si="1"/>
        <v>3283614</v>
      </c>
      <c r="I16" s="105"/>
    </row>
    <row r="17" spans="1:9" s="35" customFormat="1" ht="20.25" customHeight="1">
      <c r="A17" s="39"/>
      <c r="B17" s="21" t="s">
        <v>72</v>
      </c>
      <c r="C17" s="40">
        <v>10</v>
      </c>
      <c r="D17" s="41">
        <v>32</v>
      </c>
      <c r="E17" s="27">
        <f t="shared" si="0"/>
        <v>320</v>
      </c>
      <c r="F17" s="64"/>
      <c r="G17" s="42"/>
      <c r="H17" s="27">
        <f t="shared" si="1"/>
        <v>3283934</v>
      </c>
      <c r="I17" s="105"/>
    </row>
    <row r="18" spans="1:9" s="35" customFormat="1" ht="20.25" customHeight="1">
      <c r="A18" s="24"/>
      <c r="B18" s="25" t="s">
        <v>17</v>
      </c>
      <c r="C18" s="26"/>
      <c r="D18" s="27"/>
      <c r="E18" s="27">
        <f t="shared" si="0"/>
        <v>0</v>
      </c>
      <c r="F18" s="28"/>
      <c r="G18" s="29">
        <v>300000</v>
      </c>
      <c r="H18" s="27">
        <f t="shared" si="1"/>
        <v>2983934</v>
      </c>
      <c r="I18" s="104">
        <v>41284</v>
      </c>
    </row>
    <row r="19" spans="1:9" s="35" customFormat="1" ht="20.25" customHeight="1">
      <c r="A19" s="24"/>
      <c r="B19" s="25" t="s">
        <v>17</v>
      </c>
      <c r="C19" s="26"/>
      <c r="D19" s="27"/>
      <c r="E19" s="27">
        <f t="shared" si="0"/>
        <v>0</v>
      </c>
      <c r="F19" s="28"/>
      <c r="G19" s="29">
        <v>300000</v>
      </c>
      <c r="H19" s="27">
        <f t="shared" si="1"/>
        <v>2683934</v>
      </c>
      <c r="I19" s="104">
        <v>41300</v>
      </c>
    </row>
    <row r="20" spans="1:9" s="35" customFormat="1" ht="20.25" customHeight="1">
      <c r="A20" s="39"/>
      <c r="B20" s="25" t="s">
        <v>17</v>
      </c>
      <c r="C20" s="40"/>
      <c r="D20" s="41"/>
      <c r="E20" s="27">
        <f t="shared" si="0"/>
        <v>0</v>
      </c>
      <c r="F20" s="64"/>
      <c r="G20" s="29">
        <v>300000</v>
      </c>
      <c r="H20" s="27">
        <f t="shared" si="1"/>
        <v>2383934</v>
      </c>
      <c r="I20" s="104">
        <v>41305</v>
      </c>
    </row>
    <row r="21" spans="1:9" s="35" customFormat="1" ht="20.25" customHeight="1">
      <c r="A21" s="39"/>
      <c r="B21" s="25" t="s">
        <v>17</v>
      </c>
      <c r="C21" s="40"/>
      <c r="D21" s="41"/>
      <c r="E21" s="27">
        <f t="shared" si="0"/>
        <v>0</v>
      </c>
      <c r="F21" s="64"/>
      <c r="G21" s="42">
        <v>200000</v>
      </c>
      <c r="H21" s="27">
        <f t="shared" si="1"/>
        <v>2183934</v>
      </c>
      <c r="I21" s="104">
        <v>41310</v>
      </c>
    </row>
    <row r="22" spans="1:9" s="35" customFormat="1" ht="20.25" customHeight="1">
      <c r="A22" s="39"/>
      <c r="B22" s="25" t="s">
        <v>17</v>
      </c>
      <c r="C22" s="40"/>
      <c r="D22" s="41"/>
      <c r="E22" s="27">
        <f t="shared" si="0"/>
        <v>0</v>
      </c>
      <c r="F22" s="64"/>
      <c r="G22" s="42">
        <v>150000</v>
      </c>
      <c r="H22" s="27">
        <f t="shared" si="1"/>
        <v>2033934</v>
      </c>
      <c r="I22" s="104">
        <v>41328</v>
      </c>
    </row>
    <row r="23" spans="1:9" s="35" customFormat="1" ht="20.25" customHeight="1">
      <c r="A23" s="39"/>
      <c r="B23" s="21" t="s">
        <v>20</v>
      </c>
      <c r="C23" s="40">
        <v>3900</v>
      </c>
      <c r="D23" s="41">
        <v>48</v>
      </c>
      <c r="E23" s="27">
        <f t="shared" si="0"/>
        <v>187200</v>
      </c>
      <c r="F23" s="64"/>
      <c r="G23" s="42"/>
      <c r="H23" s="27">
        <f t="shared" si="1"/>
        <v>2221134</v>
      </c>
      <c r="I23" s="105"/>
    </row>
    <row r="24" spans="1:9" s="35" customFormat="1" ht="20.25" customHeight="1">
      <c r="A24" s="39"/>
      <c r="B24" s="21" t="s">
        <v>20</v>
      </c>
      <c r="C24" s="40">
        <v>3820</v>
      </c>
      <c r="D24" s="41">
        <v>46</v>
      </c>
      <c r="E24" s="27">
        <f t="shared" si="0"/>
        <v>175720</v>
      </c>
      <c r="F24" s="64"/>
      <c r="G24" s="42"/>
      <c r="H24" s="27">
        <f t="shared" si="1"/>
        <v>2396854</v>
      </c>
      <c r="I24" s="105"/>
    </row>
    <row r="25" spans="1:9" s="35" customFormat="1" ht="20.25" customHeight="1">
      <c r="A25" s="39"/>
      <c r="B25" s="25" t="s">
        <v>17</v>
      </c>
      <c r="C25" s="40"/>
      <c r="D25" s="41"/>
      <c r="E25" s="27">
        <f t="shared" si="0"/>
        <v>0</v>
      </c>
      <c r="F25" s="64"/>
      <c r="G25" s="42">
        <v>200000</v>
      </c>
      <c r="H25" s="27">
        <f t="shared" si="1"/>
        <v>2196854</v>
      </c>
      <c r="I25" s="104">
        <v>41342</v>
      </c>
    </row>
    <row r="26" spans="1:9" s="35" customFormat="1" ht="20.25" customHeight="1">
      <c r="A26" s="39"/>
      <c r="B26" s="25" t="s">
        <v>17</v>
      </c>
      <c r="C26" s="40"/>
      <c r="D26" s="41"/>
      <c r="E26" s="27">
        <f t="shared" si="0"/>
        <v>0</v>
      </c>
      <c r="F26" s="64"/>
      <c r="G26" s="42">
        <v>150000</v>
      </c>
      <c r="H26" s="27">
        <f t="shared" si="1"/>
        <v>2046854</v>
      </c>
      <c r="I26" s="104">
        <v>41355</v>
      </c>
    </row>
    <row r="27" spans="1:9" s="35" customFormat="1" ht="20.25" customHeight="1">
      <c r="A27" s="39"/>
      <c r="B27" s="25" t="s">
        <v>17</v>
      </c>
      <c r="C27" s="40"/>
      <c r="D27" s="41"/>
      <c r="E27" s="27">
        <f>C27*D27</f>
        <v>0</v>
      </c>
      <c r="F27" s="64"/>
      <c r="G27" s="42">
        <v>200000</v>
      </c>
      <c r="H27" s="27">
        <f t="shared" si="1"/>
        <v>1846854</v>
      </c>
      <c r="I27" s="104">
        <v>41367</v>
      </c>
    </row>
    <row r="28" spans="1:9" s="35" customFormat="1" ht="20.25" customHeight="1">
      <c r="A28" s="39"/>
      <c r="B28" s="25" t="s">
        <v>17</v>
      </c>
      <c r="C28" s="40"/>
      <c r="D28" s="41"/>
      <c r="E28" s="27">
        <f>C28*D28</f>
        <v>0</v>
      </c>
      <c r="F28" s="64"/>
      <c r="G28" s="42">
        <v>250000</v>
      </c>
      <c r="H28" s="27">
        <f t="shared" si="1"/>
        <v>1596854</v>
      </c>
      <c r="I28" s="104">
        <v>41382</v>
      </c>
    </row>
    <row r="29" spans="1:9" s="35" customFormat="1" ht="20.25" customHeight="1">
      <c r="A29" s="39"/>
      <c r="B29" s="25" t="s">
        <v>17</v>
      </c>
      <c r="C29" s="40"/>
      <c r="D29" s="41"/>
      <c r="E29" s="27">
        <f t="shared" si="0"/>
        <v>0</v>
      </c>
      <c r="F29" s="64"/>
      <c r="G29" s="42">
        <v>150000</v>
      </c>
      <c r="H29" s="27">
        <f t="shared" si="1"/>
        <v>1446854</v>
      </c>
      <c r="I29" s="104">
        <v>41390</v>
      </c>
    </row>
    <row r="30" spans="1:9" s="35" customFormat="1" ht="20.25" customHeight="1">
      <c r="A30" s="39"/>
      <c r="B30" s="25" t="s">
        <v>105</v>
      </c>
      <c r="C30" s="40"/>
      <c r="D30" s="41"/>
      <c r="E30" s="27">
        <f>C30*D30</f>
        <v>0</v>
      </c>
      <c r="F30" s="64"/>
      <c r="G30" s="42">
        <v>46854</v>
      </c>
      <c r="H30" s="27">
        <f t="shared" si="1"/>
        <v>1400000</v>
      </c>
      <c r="I30" s="105"/>
    </row>
    <row r="31" spans="1:9" s="35" customFormat="1" ht="20.25" customHeight="1">
      <c r="A31" s="39"/>
      <c r="B31" s="25" t="s">
        <v>17</v>
      </c>
      <c r="C31" s="40"/>
      <c r="D31" s="41"/>
      <c r="E31" s="27">
        <f t="shared" si="0"/>
        <v>0</v>
      </c>
      <c r="F31" s="64"/>
      <c r="G31" s="42">
        <v>400000</v>
      </c>
      <c r="H31" s="27">
        <f t="shared" si="1"/>
        <v>1000000</v>
      </c>
      <c r="I31" s="104">
        <v>41403</v>
      </c>
    </row>
    <row r="32" spans="1:9" s="35" customFormat="1" ht="20.25" customHeight="1">
      <c r="A32" s="39">
        <v>41388</v>
      </c>
      <c r="B32" s="21" t="s">
        <v>20</v>
      </c>
      <c r="C32" s="40">
        <v>5420</v>
      </c>
      <c r="D32" s="41">
        <v>47</v>
      </c>
      <c r="E32" s="27">
        <f t="shared" ref="E32:E38" si="2">C32*D32</f>
        <v>254740</v>
      </c>
      <c r="F32" s="64"/>
      <c r="G32" s="42"/>
      <c r="H32" s="27">
        <f t="shared" si="1"/>
        <v>1254740</v>
      </c>
      <c r="I32" s="105"/>
    </row>
    <row r="33" spans="1:9" s="35" customFormat="1" ht="20.25" customHeight="1">
      <c r="A33" s="39">
        <v>41394</v>
      </c>
      <c r="B33" s="21" t="s">
        <v>20</v>
      </c>
      <c r="C33" s="40">
        <v>3590</v>
      </c>
      <c r="D33" s="41">
        <v>47</v>
      </c>
      <c r="E33" s="27">
        <f t="shared" si="2"/>
        <v>168730</v>
      </c>
      <c r="F33" s="64"/>
      <c r="G33" s="42"/>
      <c r="H33" s="27">
        <f t="shared" si="1"/>
        <v>1423470</v>
      </c>
      <c r="I33" s="105"/>
    </row>
    <row r="34" spans="1:9" s="35" customFormat="1" ht="20.25" customHeight="1">
      <c r="A34" s="39">
        <v>41396</v>
      </c>
      <c r="B34" s="21" t="s">
        <v>20</v>
      </c>
      <c r="C34" s="40">
        <v>6080</v>
      </c>
      <c r="D34" s="41">
        <v>46</v>
      </c>
      <c r="E34" s="27">
        <f t="shared" si="2"/>
        <v>279680</v>
      </c>
      <c r="F34" s="64"/>
      <c r="G34" s="42"/>
      <c r="H34" s="27">
        <f t="shared" si="1"/>
        <v>1703150</v>
      </c>
    </row>
    <row r="35" spans="1:9" s="35" customFormat="1" ht="20.25" customHeight="1">
      <c r="A35" s="39">
        <v>41398</v>
      </c>
      <c r="B35" s="21" t="s">
        <v>20</v>
      </c>
      <c r="C35" s="40">
        <v>6150</v>
      </c>
      <c r="D35" s="41">
        <v>46</v>
      </c>
      <c r="E35" s="27">
        <f t="shared" si="2"/>
        <v>282900</v>
      </c>
      <c r="F35" s="64"/>
      <c r="G35" s="42"/>
      <c r="H35" s="27">
        <f t="shared" si="1"/>
        <v>1986050</v>
      </c>
      <c r="I35" s="132" t="s">
        <v>113</v>
      </c>
    </row>
    <row r="36" spans="1:9" s="35" customFormat="1" ht="20.25" customHeight="1">
      <c r="A36" s="39">
        <v>41400</v>
      </c>
      <c r="B36" s="21" t="s">
        <v>20</v>
      </c>
      <c r="C36" s="40">
        <v>4950</v>
      </c>
      <c r="D36" s="41">
        <v>46</v>
      </c>
      <c r="E36" s="27">
        <f t="shared" si="2"/>
        <v>227700</v>
      </c>
      <c r="F36" s="64"/>
      <c r="G36" s="42"/>
      <c r="H36" s="27">
        <f t="shared" si="1"/>
        <v>2213750</v>
      </c>
      <c r="I36" s="132" t="s">
        <v>113</v>
      </c>
    </row>
    <row r="37" spans="1:9" s="35" customFormat="1" ht="20.25" customHeight="1">
      <c r="A37" s="39">
        <v>41410</v>
      </c>
      <c r="B37" s="21" t="s">
        <v>116</v>
      </c>
      <c r="C37" s="40">
        <v>2490</v>
      </c>
      <c r="D37" s="41">
        <v>43</v>
      </c>
      <c r="E37" s="27">
        <f t="shared" si="2"/>
        <v>107070</v>
      </c>
      <c r="F37" s="64"/>
      <c r="G37" s="42"/>
      <c r="H37" s="27">
        <f t="shared" si="1"/>
        <v>2320820</v>
      </c>
      <c r="I37" s="105"/>
    </row>
    <row r="38" spans="1:9" s="35" customFormat="1" ht="20.25" customHeight="1">
      <c r="A38" s="39"/>
      <c r="B38" s="21" t="s">
        <v>115</v>
      </c>
      <c r="C38" s="40">
        <v>1410</v>
      </c>
      <c r="D38" s="41">
        <v>45</v>
      </c>
      <c r="E38" s="27">
        <f t="shared" si="2"/>
        <v>63450</v>
      </c>
      <c r="F38" s="64"/>
      <c r="G38" s="42"/>
      <c r="H38" s="27">
        <f t="shared" si="1"/>
        <v>2384270</v>
      </c>
      <c r="I38" s="105"/>
    </row>
    <row r="39" spans="1:9" s="35" customFormat="1" ht="20.25" customHeight="1">
      <c r="A39" s="39">
        <v>41417</v>
      </c>
      <c r="B39" s="21" t="s">
        <v>20</v>
      </c>
      <c r="C39" s="40">
        <v>4820</v>
      </c>
      <c r="D39" s="41">
        <v>45</v>
      </c>
      <c r="E39" s="27">
        <f>C39*D39</f>
        <v>216900</v>
      </c>
      <c r="F39" s="64"/>
      <c r="G39" s="42"/>
      <c r="H39" s="27">
        <f t="shared" si="1"/>
        <v>2601170</v>
      </c>
      <c r="I39" s="105"/>
    </row>
    <row r="40" spans="1:9" s="35" customFormat="1" ht="20.25" customHeight="1">
      <c r="A40" s="39">
        <v>41430</v>
      </c>
      <c r="B40" s="21" t="s">
        <v>116</v>
      </c>
      <c r="C40" s="40">
        <v>3570</v>
      </c>
      <c r="D40" s="41">
        <v>45</v>
      </c>
      <c r="E40" s="27">
        <f t="shared" ref="E40:E47" si="3">C40*D40</f>
        <v>160650</v>
      </c>
      <c r="F40" s="64"/>
      <c r="G40" s="42"/>
      <c r="H40" s="27">
        <f t="shared" ref="H40:H47" si="4">IF(B40&lt;&gt;"",H39+E40-F40-G40,0)</f>
        <v>2761820</v>
      </c>
      <c r="I40" s="105"/>
    </row>
    <row r="41" spans="1:9" s="35" customFormat="1" ht="20.25" customHeight="1">
      <c r="A41" s="39"/>
      <c r="B41" s="21" t="s">
        <v>115</v>
      </c>
      <c r="C41" s="40">
        <v>1590</v>
      </c>
      <c r="D41" s="41">
        <v>46</v>
      </c>
      <c r="E41" s="27">
        <f t="shared" si="3"/>
        <v>73140</v>
      </c>
      <c r="F41" s="64"/>
      <c r="G41" s="42"/>
      <c r="H41" s="27">
        <f t="shared" si="4"/>
        <v>2834960</v>
      </c>
      <c r="I41" s="105"/>
    </row>
    <row r="42" spans="1:9" s="35" customFormat="1" ht="20.25" customHeight="1">
      <c r="A42" s="39"/>
      <c r="B42" s="25" t="s">
        <v>17</v>
      </c>
      <c r="C42" s="40"/>
      <c r="D42" s="41"/>
      <c r="E42" s="27">
        <f t="shared" si="3"/>
        <v>0</v>
      </c>
      <c r="F42" s="64"/>
      <c r="G42" s="42">
        <v>300000</v>
      </c>
      <c r="H42" s="27">
        <f t="shared" si="4"/>
        <v>2534960</v>
      </c>
      <c r="I42" s="104">
        <v>41423</v>
      </c>
    </row>
    <row r="43" spans="1:9" s="35" customFormat="1" ht="20.25" customHeight="1">
      <c r="A43" s="39"/>
      <c r="B43" s="25" t="s">
        <v>17</v>
      </c>
      <c r="C43" s="40"/>
      <c r="D43" s="41"/>
      <c r="E43" s="27">
        <f t="shared" si="3"/>
        <v>0</v>
      </c>
      <c r="F43" s="64"/>
      <c r="G43" s="42">
        <v>400000</v>
      </c>
      <c r="H43" s="27">
        <f t="shared" si="4"/>
        <v>2134960</v>
      </c>
      <c r="I43" s="104">
        <v>41437</v>
      </c>
    </row>
    <row r="44" spans="1:9" s="35" customFormat="1" ht="20.25" customHeight="1">
      <c r="A44" s="39"/>
      <c r="B44" s="25" t="s">
        <v>17</v>
      </c>
      <c r="C44" s="40"/>
      <c r="D44" s="41"/>
      <c r="E44" s="27">
        <f>C44*D44</f>
        <v>0</v>
      </c>
      <c r="F44" s="64"/>
      <c r="G44" s="42">
        <v>200000</v>
      </c>
      <c r="H44" s="27">
        <f>IF(B44&lt;&gt;"",H43+E44-F44-G44,0)</f>
        <v>1934960</v>
      </c>
      <c r="I44" s="104">
        <v>41453</v>
      </c>
    </row>
    <row r="45" spans="1:9" s="35" customFormat="1" ht="20.25" customHeight="1">
      <c r="A45" s="39"/>
      <c r="B45" s="25" t="s">
        <v>17</v>
      </c>
      <c r="C45" s="40"/>
      <c r="D45" s="41"/>
      <c r="E45" s="27">
        <f>C45*D45</f>
        <v>0</v>
      </c>
      <c r="F45" s="64"/>
      <c r="G45" s="42">
        <v>200000</v>
      </c>
      <c r="H45" s="27">
        <f>IF(B45&lt;&gt;"",H44+E45-F45-G45,0)</f>
        <v>1734960</v>
      </c>
      <c r="I45" s="104">
        <v>41461</v>
      </c>
    </row>
    <row r="46" spans="1:9" s="35" customFormat="1" ht="20.25" customHeight="1">
      <c r="A46" s="39">
        <v>41461</v>
      </c>
      <c r="B46" s="21" t="s">
        <v>116</v>
      </c>
      <c r="C46" s="40">
        <v>700</v>
      </c>
      <c r="D46" s="41">
        <v>47</v>
      </c>
      <c r="E46" s="27">
        <f t="shared" si="3"/>
        <v>32900</v>
      </c>
      <c r="F46" s="64"/>
      <c r="G46" s="42"/>
      <c r="H46" s="27">
        <f t="shared" si="4"/>
        <v>1767860</v>
      </c>
      <c r="I46" s="105"/>
    </row>
    <row r="47" spans="1:9" s="35" customFormat="1" ht="20.25" customHeight="1">
      <c r="A47" s="39"/>
      <c r="B47" s="21" t="s">
        <v>112</v>
      </c>
      <c r="C47" s="40">
        <v>3690</v>
      </c>
      <c r="D47" s="41">
        <v>26.5</v>
      </c>
      <c r="E47" s="27">
        <f t="shared" si="3"/>
        <v>97785</v>
      </c>
      <c r="F47" s="64"/>
      <c r="G47" s="42"/>
      <c r="H47" s="27">
        <f t="shared" si="4"/>
        <v>1865645</v>
      </c>
      <c r="I47" s="105"/>
    </row>
    <row r="48" spans="1:9" s="35" customFormat="1" ht="20.25" customHeight="1">
      <c r="A48" s="39">
        <v>41465</v>
      </c>
      <c r="B48" s="21" t="s">
        <v>116</v>
      </c>
      <c r="C48" s="40">
        <v>1250</v>
      </c>
      <c r="D48" s="41">
        <v>47</v>
      </c>
      <c r="E48" s="27">
        <f t="shared" ref="E48:E53" si="5">C48*D48</f>
        <v>58750</v>
      </c>
      <c r="F48" s="64"/>
      <c r="G48" s="42"/>
      <c r="H48" s="27">
        <f t="shared" si="1"/>
        <v>1924395</v>
      </c>
      <c r="I48" s="105"/>
    </row>
    <row r="49" spans="1:9" s="35" customFormat="1" ht="20.25" customHeight="1">
      <c r="A49" s="39"/>
      <c r="B49" s="21" t="s">
        <v>112</v>
      </c>
      <c r="C49" s="40">
        <v>2960</v>
      </c>
      <c r="D49" s="41">
        <v>26.5</v>
      </c>
      <c r="E49" s="27">
        <f t="shared" si="5"/>
        <v>78440</v>
      </c>
      <c r="F49" s="64"/>
      <c r="G49" s="42"/>
      <c r="H49" s="27">
        <f t="shared" si="1"/>
        <v>2002835</v>
      </c>
      <c r="I49" s="105"/>
    </row>
    <row r="50" spans="1:9" s="35" customFormat="1" ht="20.25" customHeight="1">
      <c r="A50" s="39">
        <v>41467</v>
      </c>
      <c r="B50" s="21" t="s">
        <v>112</v>
      </c>
      <c r="C50" s="40">
        <v>5730</v>
      </c>
      <c r="D50" s="41">
        <v>26.5</v>
      </c>
      <c r="E50" s="27">
        <f t="shared" si="5"/>
        <v>151845</v>
      </c>
      <c r="F50" s="64"/>
      <c r="G50" s="42"/>
      <c r="H50" s="27">
        <f t="shared" si="1"/>
        <v>2154680</v>
      </c>
      <c r="I50" s="105"/>
    </row>
    <row r="51" spans="1:9" s="35" customFormat="1" ht="20.25" customHeight="1">
      <c r="A51" s="39"/>
      <c r="B51" s="25" t="s">
        <v>17</v>
      </c>
      <c r="C51" s="40"/>
      <c r="D51" s="41"/>
      <c r="E51" s="27">
        <f t="shared" si="5"/>
        <v>0</v>
      </c>
      <c r="F51" s="64"/>
      <c r="G51" s="42">
        <v>400000</v>
      </c>
      <c r="H51" s="27">
        <f>IF(B51&lt;&gt;"",H50+E51-F51-G51,0)</f>
        <v>1754680</v>
      </c>
      <c r="I51" s="104">
        <v>41472</v>
      </c>
    </row>
    <row r="52" spans="1:9" s="35" customFormat="1" ht="20.25" customHeight="1">
      <c r="A52" s="39"/>
      <c r="B52" s="25" t="s">
        <v>17</v>
      </c>
      <c r="C52" s="40"/>
      <c r="D52" s="41"/>
      <c r="E52" s="27">
        <f t="shared" si="5"/>
        <v>0</v>
      </c>
      <c r="F52" s="64"/>
      <c r="G52" s="42">
        <v>200000</v>
      </c>
      <c r="H52" s="27">
        <f>IF(B52&lt;&gt;"",H51+E52-F52-G52,0)</f>
        <v>1554680</v>
      </c>
      <c r="I52" s="104">
        <v>41484</v>
      </c>
    </row>
    <row r="53" spans="1:9" s="35" customFormat="1" ht="20.25" customHeight="1">
      <c r="A53" s="39"/>
      <c r="B53" s="25" t="s">
        <v>17</v>
      </c>
      <c r="C53" s="40"/>
      <c r="D53" s="41"/>
      <c r="E53" s="27">
        <f t="shared" si="5"/>
        <v>0</v>
      </c>
      <c r="F53" s="64"/>
      <c r="G53" s="42">
        <v>300000</v>
      </c>
      <c r="H53" s="27">
        <f>IF(B53&lt;&gt;"",H52+E53-F53-G53,0)</f>
        <v>1254680</v>
      </c>
      <c r="I53" s="104">
        <v>41500</v>
      </c>
    </row>
    <row r="54" spans="1:9" s="35" customFormat="1" ht="20.25" customHeight="1">
      <c r="A54" s="39">
        <v>41501</v>
      </c>
      <c r="B54" s="21" t="s">
        <v>164</v>
      </c>
      <c r="C54" s="40">
        <v>4140</v>
      </c>
      <c r="D54" s="41">
        <v>47</v>
      </c>
      <c r="E54" s="27">
        <f t="shared" ref="E54:E60" si="6">C54*D54</f>
        <v>194580</v>
      </c>
      <c r="F54" s="64"/>
      <c r="G54" s="42"/>
      <c r="H54" s="27">
        <f t="shared" ref="H54:H60" si="7">IF(B54&lt;&gt;"",H53+E54-F54-G54,0)</f>
        <v>1449260</v>
      </c>
      <c r="I54" s="105"/>
    </row>
    <row r="55" spans="1:9" s="35" customFormat="1" ht="20.25" customHeight="1">
      <c r="A55" s="39"/>
      <c r="B55" s="21" t="s">
        <v>164</v>
      </c>
      <c r="C55" s="40">
        <v>3912</v>
      </c>
      <c r="D55" s="41">
        <v>45</v>
      </c>
      <c r="E55" s="27">
        <f t="shared" si="6"/>
        <v>176040</v>
      </c>
      <c r="F55" s="64"/>
      <c r="G55" s="42"/>
      <c r="H55" s="27">
        <f>IF(B55&lt;&gt;"",H54+E55-F55-G55,0)</f>
        <v>1625300</v>
      </c>
      <c r="I55" s="104"/>
    </row>
    <row r="56" spans="1:9" s="35" customFormat="1" ht="20.25" customHeight="1">
      <c r="A56" s="39"/>
      <c r="B56" s="25" t="s">
        <v>17</v>
      </c>
      <c r="C56" s="40"/>
      <c r="D56" s="41"/>
      <c r="E56" s="27">
        <f>C56*D56</f>
        <v>0</v>
      </c>
      <c r="F56" s="64"/>
      <c r="G56" s="42">
        <v>300000</v>
      </c>
      <c r="H56" s="27">
        <f>IF(B56&lt;&gt;"",H55+E56-F56-G56,0)</f>
        <v>1325300</v>
      </c>
      <c r="I56" s="104">
        <v>41515</v>
      </c>
    </row>
    <row r="57" spans="1:9" s="35" customFormat="1" ht="20.25" customHeight="1">
      <c r="A57" s="39"/>
      <c r="B57" s="25" t="s">
        <v>17</v>
      </c>
      <c r="C57" s="40"/>
      <c r="D57" s="41"/>
      <c r="E57" s="27">
        <f t="shared" si="6"/>
        <v>0</v>
      </c>
      <c r="F57" s="64"/>
      <c r="G57" s="42">
        <v>300000</v>
      </c>
      <c r="H57" s="27">
        <f t="shared" si="7"/>
        <v>1025300</v>
      </c>
      <c r="I57" s="104">
        <v>41522</v>
      </c>
    </row>
    <row r="58" spans="1:9" s="35" customFormat="1" ht="20.25" customHeight="1">
      <c r="A58" s="39"/>
      <c r="B58" s="25" t="s">
        <v>17</v>
      </c>
      <c r="C58" s="40"/>
      <c r="D58" s="41"/>
      <c r="E58" s="27">
        <f>C58*D58</f>
        <v>0</v>
      </c>
      <c r="F58" s="64"/>
      <c r="G58" s="42">
        <v>200000</v>
      </c>
      <c r="H58" s="27">
        <f>IF(B58&lt;&gt;"",H57+E58-F58-G58,0)</f>
        <v>825300</v>
      </c>
      <c r="I58" s="104">
        <v>41544</v>
      </c>
    </row>
    <row r="59" spans="1:9" s="35" customFormat="1" ht="20.25" customHeight="1">
      <c r="A59" s="39"/>
      <c r="B59" s="25" t="s">
        <v>17</v>
      </c>
      <c r="C59" s="40"/>
      <c r="D59" s="41"/>
      <c r="E59" s="27">
        <f>C59*D59</f>
        <v>0</v>
      </c>
      <c r="F59" s="64"/>
      <c r="G59" s="42">
        <v>200000</v>
      </c>
      <c r="H59" s="27">
        <f>IF(B59&lt;&gt;"",H58+E59-F59-G59,0)</f>
        <v>625300</v>
      </c>
      <c r="I59" s="104">
        <v>41555</v>
      </c>
    </row>
    <row r="60" spans="1:9" s="35" customFormat="1" ht="20.25" customHeight="1">
      <c r="A60" s="39">
        <v>41557</v>
      </c>
      <c r="B60" s="21" t="s">
        <v>164</v>
      </c>
      <c r="C60" s="40">
        <v>3833</v>
      </c>
      <c r="D60" s="41">
        <v>40</v>
      </c>
      <c r="E60" s="27">
        <f t="shared" si="6"/>
        <v>153320</v>
      </c>
      <c r="F60" s="64"/>
      <c r="G60" s="42"/>
      <c r="H60" s="27">
        <f t="shared" si="7"/>
        <v>778620</v>
      </c>
      <c r="I60" s="105"/>
    </row>
    <row r="61" spans="1:9" s="35" customFormat="1" ht="20.25" customHeight="1">
      <c r="A61" s="39">
        <v>41564</v>
      </c>
      <c r="B61" s="21" t="s">
        <v>164</v>
      </c>
      <c r="C61" s="40">
        <v>1628</v>
      </c>
      <c r="D61" s="41">
        <v>38</v>
      </c>
      <c r="E61" s="27">
        <f t="shared" ref="E61:E73" si="8">C61*D61</f>
        <v>61864</v>
      </c>
      <c r="F61" s="64"/>
      <c r="G61" s="42"/>
      <c r="H61" s="27">
        <f t="shared" ref="H61:H89" si="9">IF(B61&lt;&gt;"",H60+E61-F61-G61,0)</f>
        <v>840484</v>
      </c>
      <c r="I61" s="105"/>
    </row>
    <row r="62" spans="1:9" s="35" customFormat="1" ht="20.25" customHeight="1">
      <c r="A62" s="39"/>
      <c r="B62" s="21" t="s">
        <v>20</v>
      </c>
      <c r="C62" s="40">
        <v>3159</v>
      </c>
      <c r="D62" s="41">
        <v>40</v>
      </c>
      <c r="E62" s="27">
        <f t="shared" si="8"/>
        <v>126360</v>
      </c>
      <c r="F62" s="64"/>
      <c r="G62" s="42"/>
      <c r="H62" s="27">
        <f t="shared" si="9"/>
        <v>966844</v>
      </c>
      <c r="I62" s="105"/>
    </row>
    <row r="63" spans="1:9" s="35" customFormat="1" ht="20.25" customHeight="1">
      <c r="A63" s="39"/>
      <c r="B63" s="25" t="s">
        <v>17</v>
      </c>
      <c r="C63" s="40"/>
      <c r="D63" s="41"/>
      <c r="E63" s="27">
        <f t="shared" si="8"/>
        <v>0</v>
      </c>
      <c r="F63" s="64"/>
      <c r="G63" s="42">
        <v>200000</v>
      </c>
      <c r="H63" s="27">
        <f t="shared" si="9"/>
        <v>766844</v>
      </c>
      <c r="I63" s="104">
        <v>41576</v>
      </c>
    </row>
    <row r="64" spans="1:9" s="35" customFormat="1" ht="20.25" customHeight="1">
      <c r="A64" s="39"/>
      <c r="B64" s="25" t="s">
        <v>17</v>
      </c>
      <c r="C64" s="40"/>
      <c r="D64" s="41"/>
      <c r="E64" s="27">
        <f t="shared" si="8"/>
        <v>0</v>
      </c>
      <c r="F64" s="64"/>
      <c r="G64" s="42">
        <v>200000</v>
      </c>
      <c r="H64" s="27">
        <f t="shared" si="9"/>
        <v>566844</v>
      </c>
      <c r="I64" s="104">
        <v>41591</v>
      </c>
    </row>
    <row r="65" spans="1:9" s="35" customFormat="1" ht="20.25" customHeight="1">
      <c r="A65" s="39"/>
      <c r="B65" s="25" t="s">
        <v>17</v>
      </c>
      <c r="C65" s="40"/>
      <c r="D65" s="41"/>
      <c r="E65" s="27">
        <f t="shared" si="8"/>
        <v>0</v>
      </c>
      <c r="F65" s="64"/>
      <c r="G65" s="42">
        <v>266844</v>
      </c>
      <c r="H65" s="27">
        <f t="shared" si="9"/>
        <v>300000</v>
      </c>
      <c r="I65" s="104">
        <v>41606</v>
      </c>
    </row>
    <row r="66" spans="1:9" s="35" customFormat="1" ht="20.25" customHeight="1">
      <c r="A66" s="39"/>
      <c r="B66" s="25" t="s">
        <v>17</v>
      </c>
      <c r="C66" s="40"/>
      <c r="D66" s="41"/>
      <c r="E66" s="27">
        <f>C66*D66</f>
        <v>0</v>
      </c>
      <c r="F66" s="64"/>
      <c r="G66" s="42">
        <f>H65</f>
        <v>300000</v>
      </c>
      <c r="H66" s="27">
        <f t="shared" si="9"/>
        <v>0</v>
      </c>
      <c r="I66" s="104">
        <v>41620</v>
      </c>
    </row>
    <row r="67" spans="1:9" s="35" customFormat="1" ht="20.25" customHeight="1">
      <c r="A67" s="39">
        <v>41583</v>
      </c>
      <c r="B67" s="21" t="s">
        <v>186</v>
      </c>
      <c r="C67" s="40">
        <v>4960</v>
      </c>
      <c r="D67" s="41">
        <v>28</v>
      </c>
      <c r="E67" s="27">
        <f t="shared" si="8"/>
        <v>138880</v>
      </c>
      <c r="F67" s="64"/>
      <c r="G67" s="42"/>
      <c r="H67" s="27">
        <f t="shared" si="9"/>
        <v>138880</v>
      </c>
      <c r="I67" s="105"/>
    </row>
    <row r="68" spans="1:9" s="35" customFormat="1" ht="20.25" customHeight="1">
      <c r="A68" s="39">
        <v>41584</v>
      </c>
      <c r="B68" s="21" t="s">
        <v>186</v>
      </c>
      <c r="C68" s="40">
        <v>4870</v>
      </c>
      <c r="D68" s="41">
        <v>28</v>
      </c>
      <c r="E68" s="27">
        <f t="shared" si="8"/>
        <v>136360</v>
      </c>
      <c r="F68" s="64"/>
      <c r="G68" s="42"/>
      <c r="H68" s="27">
        <f t="shared" si="9"/>
        <v>275240</v>
      </c>
      <c r="I68" s="105"/>
    </row>
    <row r="69" spans="1:9" s="35" customFormat="1" ht="20.25" customHeight="1">
      <c r="A69" s="39">
        <v>41585</v>
      </c>
      <c r="B69" s="21" t="s">
        <v>186</v>
      </c>
      <c r="C69" s="40">
        <v>5680</v>
      </c>
      <c r="D69" s="41">
        <v>28</v>
      </c>
      <c r="E69" s="27">
        <f t="shared" si="8"/>
        <v>159040</v>
      </c>
      <c r="F69" s="64"/>
      <c r="G69" s="42"/>
      <c r="H69" s="27">
        <f t="shared" si="9"/>
        <v>434280</v>
      </c>
      <c r="I69" s="105"/>
    </row>
    <row r="70" spans="1:9" s="35" customFormat="1" ht="20.25" customHeight="1">
      <c r="A70" s="39">
        <v>41587</v>
      </c>
      <c r="B70" s="21" t="s">
        <v>186</v>
      </c>
      <c r="C70" s="40">
        <f>6840-400</f>
        <v>6440</v>
      </c>
      <c r="D70" s="41">
        <v>28</v>
      </c>
      <c r="E70" s="27">
        <f t="shared" si="8"/>
        <v>180320</v>
      </c>
      <c r="F70" s="64"/>
      <c r="G70" s="42"/>
      <c r="H70" s="27">
        <f t="shared" si="9"/>
        <v>614600</v>
      </c>
      <c r="I70" s="105"/>
    </row>
    <row r="71" spans="1:9" s="35" customFormat="1" ht="20.25" customHeight="1">
      <c r="A71" s="39">
        <v>41590</v>
      </c>
      <c r="B71" s="21" t="s">
        <v>186</v>
      </c>
      <c r="C71" s="40">
        <v>6570</v>
      </c>
      <c r="D71" s="41">
        <v>27</v>
      </c>
      <c r="E71" s="27">
        <f t="shared" si="8"/>
        <v>177390</v>
      </c>
      <c r="F71" s="64"/>
      <c r="G71" s="42"/>
      <c r="H71" s="27">
        <f t="shared" si="9"/>
        <v>791990</v>
      </c>
      <c r="I71" s="105"/>
    </row>
    <row r="72" spans="1:9" s="35" customFormat="1" ht="20.25" customHeight="1">
      <c r="A72" s="39">
        <v>41593</v>
      </c>
      <c r="B72" s="21" t="s">
        <v>186</v>
      </c>
      <c r="C72" s="40">
        <v>6930</v>
      </c>
      <c r="D72" s="41">
        <v>27</v>
      </c>
      <c r="E72" s="27">
        <f t="shared" si="8"/>
        <v>187110</v>
      </c>
      <c r="F72" s="64"/>
      <c r="G72" s="42"/>
      <c r="H72" s="27">
        <f t="shared" si="9"/>
        <v>979100</v>
      </c>
      <c r="I72" s="105"/>
    </row>
    <row r="73" spans="1:9" s="35" customFormat="1" ht="20.25" customHeight="1">
      <c r="A73" s="39">
        <v>41600</v>
      </c>
      <c r="B73" s="21" t="s">
        <v>164</v>
      </c>
      <c r="C73" s="40">
        <v>1895</v>
      </c>
      <c r="D73" s="41">
        <v>40</v>
      </c>
      <c r="E73" s="27">
        <f t="shared" si="8"/>
        <v>75800</v>
      </c>
      <c r="F73" s="64"/>
      <c r="G73" s="42"/>
      <c r="H73" s="27">
        <f t="shared" si="9"/>
        <v>1054900</v>
      </c>
      <c r="I73" s="105"/>
    </row>
    <row r="74" spans="1:9" s="35" customFormat="1" ht="20.25" customHeight="1">
      <c r="A74" s="39"/>
      <c r="B74" s="21" t="s">
        <v>20</v>
      </c>
      <c r="C74" s="40">
        <v>1140</v>
      </c>
      <c r="D74" s="41">
        <v>43</v>
      </c>
      <c r="E74" s="27">
        <f t="shared" ref="E74:E82" si="10">C74*D74</f>
        <v>49020</v>
      </c>
      <c r="F74" s="64"/>
      <c r="G74" s="42"/>
      <c r="H74" s="27">
        <f t="shared" si="9"/>
        <v>1103920</v>
      </c>
      <c r="I74" s="105"/>
    </row>
    <row r="75" spans="1:9" s="35" customFormat="1" ht="20.25" customHeight="1">
      <c r="A75" s="39">
        <v>41605</v>
      </c>
      <c r="B75" s="21" t="s">
        <v>164</v>
      </c>
      <c r="C75" s="40">
        <v>4344</v>
      </c>
      <c r="D75" s="41">
        <v>44</v>
      </c>
      <c r="E75" s="27">
        <f t="shared" si="10"/>
        <v>191136</v>
      </c>
      <c r="F75" s="64"/>
      <c r="G75" s="42"/>
      <c r="H75" s="27">
        <f t="shared" si="9"/>
        <v>1295056</v>
      </c>
      <c r="I75" s="105"/>
    </row>
    <row r="76" spans="1:9" s="35" customFormat="1" ht="20.25" customHeight="1">
      <c r="A76" s="39">
        <v>41607</v>
      </c>
      <c r="B76" s="21" t="s">
        <v>164</v>
      </c>
      <c r="C76" s="40">
        <v>1997</v>
      </c>
      <c r="D76" s="41">
        <v>44</v>
      </c>
      <c r="E76" s="27">
        <f t="shared" si="10"/>
        <v>87868</v>
      </c>
      <c r="F76" s="64"/>
      <c r="G76" s="42"/>
      <c r="H76" s="27">
        <f t="shared" si="9"/>
        <v>1382924</v>
      </c>
      <c r="I76" s="105"/>
    </row>
    <row r="77" spans="1:9" s="35" customFormat="1" ht="20.25" customHeight="1">
      <c r="A77" s="39"/>
      <c r="B77" s="21" t="s">
        <v>20</v>
      </c>
      <c r="C77" s="40">
        <v>2080</v>
      </c>
      <c r="D77" s="41">
        <v>40</v>
      </c>
      <c r="E77" s="27">
        <f t="shared" si="10"/>
        <v>83200</v>
      </c>
      <c r="F77" s="64"/>
      <c r="G77" s="42"/>
      <c r="H77" s="27">
        <f t="shared" si="9"/>
        <v>1466124</v>
      </c>
      <c r="I77" s="105"/>
    </row>
    <row r="78" spans="1:9" s="35" customFormat="1" ht="20.25" customHeight="1">
      <c r="A78" s="39">
        <v>41621</v>
      </c>
      <c r="B78" s="21" t="s">
        <v>249</v>
      </c>
      <c r="C78" s="40">
        <v>510</v>
      </c>
      <c r="D78" s="41">
        <v>45</v>
      </c>
      <c r="E78" s="27">
        <f t="shared" si="10"/>
        <v>22950</v>
      </c>
      <c r="F78" s="64"/>
      <c r="G78" s="42"/>
      <c r="H78" s="27">
        <f t="shared" si="9"/>
        <v>1489074</v>
      </c>
      <c r="I78" s="105"/>
    </row>
    <row r="79" spans="1:9" s="35" customFormat="1" ht="20.25" customHeight="1">
      <c r="A79" s="39"/>
      <c r="B79" s="21" t="s">
        <v>186</v>
      </c>
      <c r="C79" s="40">
        <v>1250</v>
      </c>
      <c r="D79" s="41">
        <v>27</v>
      </c>
      <c r="E79" s="27">
        <f t="shared" si="10"/>
        <v>33750</v>
      </c>
      <c r="F79" s="64"/>
      <c r="G79" s="42"/>
      <c r="H79" s="27">
        <f t="shared" si="9"/>
        <v>1522824</v>
      </c>
      <c r="I79" s="105"/>
    </row>
    <row r="80" spans="1:9" s="35" customFormat="1" ht="20.25" customHeight="1">
      <c r="A80" s="39"/>
      <c r="B80" s="21" t="s">
        <v>250</v>
      </c>
      <c r="C80" s="40">
        <v>4650</v>
      </c>
      <c r="D80" s="41">
        <v>48</v>
      </c>
      <c r="E80" s="27">
        <f t="shared" si="10"/>
        <v>223200</v>
      </c>
      <c r="F80" s="64"/>
      <c r="G80" s="42"/>
      <c r="H80" s="27">
        <f t="shared" si="9"/>
        <v>1746024</v>
      </c>
      <c r="I80" s="105"/>
    </row>
    <row r="81" spans="1:9" s="35" customFormat="1" ht="20.25" customHeight="1">
      <c r="A81" s="39">
        <v>41624</v>
      </c>
      <c r="B81" s="21" t="s">
        <v>20</v>
      </c>
      <c r="C81" s="40">
        <v>1010</v>
      </c>
      <c r="D81" s="41">
        <v>45</v>
      </c>
      <c r="E81" s="27">
        <f t="shared" si="10"/>
        <v>45450</v>
      </c>
      <c r="F81" s="64"/>
      <c r="G81" s="42"/>
      <c r="H81" s="27">
        <f t="shared" si="9"/>
        <v>1791474</v>
      </c>
      <c r="I81" s="105"/>
    </row>
    <row r="82" spans="1:9" s="35" customFormat="1" ht="20.25" customHeight="1">
      <c r="A82" s="39"/>
      <c r="B82" s="21" t="s">
        <v>201</v>
      </c>
      <c r="C82" s="40">
        <v>3748</v>
      </c>
      <c r="D82" s="41"/>
      <c r="E82" s="27">
        <f t="shared" si="10"/>
        <v>0</v>
      </c>
      <c r="F82" s="64"/>
      <c r="G82" s="42"/>
      <c r="H82" s="27">
        <f t="shared" si="9"/>
        <v>1791474</v>
      </c>
      <c r="I82" s="105"/>
    </row>
    <row r="83" spans="1:9" s="35" customFormat="1" ht="20.25" customHeight="1">
      <c r="A83" s="39"/>
      <c r="B83" s="21" t="s">
        <v>202</v>
      </c>
      <c r="C83" s="40">
        <v>214</v>
      </c>
      <c r="D83" s="41"/>
      <c r="E83" s="27">
        <v>13560</v>
      </c>
      <c r="F83" s="64"/>
      <c r="G83" s="42"/>
      <c r="H83" s="27">
        <f t="shared" si="9"/>
        <v>1805034</v>
      </c>
      <c r="I83" s="105"/>
    </row>
    <row r="84" spans="1:9" s="35" customFormat="1" ht="20.25" customHeight="1">
      <c r="A84" s="39">
        <v>41626</v>
      </c>
      <c r="B84" s="21" t="s">
        <v>203</v>
      </c>
      <c r="C84" s="40">
        <v>3850</v>
      </c>
      <c r="D84" s="41">
        <v>48</v>
      </c>
      <c r="E84" s="27">
        <f>C84*D84</f>
        <v>184800</v>
      </c>
      <c r="F84" s="64"/>
      <c r="G84" s="42"/>
      <c r="H84" s="27">
        <f t="shared" si="9"/>
        <v>1989834</v>
      </c>
      <c r="I84" s="105"/>
    </row>
    <row r="85" spans="1:9" s="35" customFormat="1" ht="20.25" customHeight="1">
      <c r="A85" s="39"/>
      <c r="B85" s="21" t="s">
        <v>204</v>
      </c>
      <c r="C85" s="40">
        <v>2230</v>
      </c>
      <c r="D85" s="41">
        <v>45</v>
      </c>
      <c r="E85" s="27">
        <f>C85*D85</f>
        <v>100350</v>
      </c>
      <c r="F85" s="64"/>
      <c r="G85" s="42"/>
      <c r="H85" s="27">
        <f t="shared" si="9"/>
        <v>2090184</v>
      </c>
      <c r="I85" s="105"/>
    </row>
    <row r="86" spans="1:9" s="160" customFormat="1" ht="20.25" customHeight="1">
      <c r="A86" s="47"/>
      <c r="B86" s="67" t="s">
        <v>205</v>
      </c>
      <c r="C86" s="159">
        <v>6403</v>
      </c>
      <c r="D86" s="42"/>
      <c r="E86" s="29">
        <f>C86*D86</f>
        <v>0</v>
      </c>
      <c r="F86" s="42"/>
      <c r="G86" s="42"/>
      <c r="H86" s="27">
        <f t="shared" si="9"/>
        <v>2090184</v>
      </c>
      <c r="I86" s="105"/>
    </row>
    <row r="87" spans="1:9" s="35" customFormat="1" ht="20.25" customHeight="1">
      <c r="A87" s="39"/>
      <c r="B87" s="21" t="s">
        <v>201</v>
      </c>
      <c r="C87" s="40">
        <v>2687</v>
      </c>
      <c r="D87" s="41"/>
      <c r="E87" s="27">
        <v>13100</v>
      </c>
      <c r="F87" s="64"/>
      <c r="G87" s="42"/>
      <c r="H87" s="27">
        <f t="shared" si="9"/>
        <v>2103284</v>
      </c>
      <c r="I87" s="105" t="s">
        <v>207</v>
      </c>
    </row>
    <row r="88" spans="1:9" s="35" customFormat="1" ht="20.25" customHeight="1">
      <c r="A88" s="39"/>
      <c r="B88" s="21" t="s">
        <v>202</v>
      </c>
      <c r="C88" s="40">
        <v>611</v>
      </c>
      <c r="D88" s="41"/>
      <c r="E88" s="27">
        <f>C88*D88</f>
        <v>0</v>
      </c>
      <c r="F88" s="64"/>
      <c r="G88" s="42"/>
      <c r="H88" s="27">
        <f t="shared" si="9"/>
        <v>2103284</v>
      </c>
      <c r="I88" s="105" t="s">
        <v>207</v>
      </c>
    </row>
    <row r="89" spans="1:9" s="35" customFormat="1" ht="20.25" customHeight="1">
      <c r="A89" s="39">
        <v>41625</v>
      </c>
      <c r="B89" s="21" t="s">
        <v>203</v>
      </c>
      <c r="C89" s="40">
        <v>6430</v>
      </c>
      <c r="D89" s="41">
        <v>48</v>
      </c>
      <c r="E89" s="27">
        <f>C89*D89</f>
        <v>308640</v>
      </c>
      <c r="F89" s="64"/>
      <c r="G89" s="42"/>
      <c r="H89" s="27">
        <f t="shared" si="9"/>
        <v>2411924</v>
      </c>
      <c r="I89" s="105" t="s">
        <v>113</v>
      </c>
    </row>
    <row r="90" spans="1:9" s="35" customFormat="1" ht="20.25" customHeight="1">
      <c r="A90" s="232" t="s">
        <v>251</v>
      </c>
      <c r="B90" s="233"/>
      <c r="C90" s="233"/>
      <c r="D90" s="233"/>
      <c r="E90" s="233"/>
      <c r="F90" s="233"/>
      <c r="G90" s="234"/>
      <c r="H90" s="99">
        <f>H89</f>
        <v>2411924</v>
      </c>
      <c r="I90" s="104"/>
    </row>
    <row r="91" spans="1:9" s="35" customFormat="1" ht="20.25" customHeight="1">
      <c r="A91" s="39"/>
      <c r="B91" s="25" t="s">
        <v>17</v>
      </c>
      <c r="C91" s="40"/>
      <c r="D91" s="41"/>
      <c r="E91" s="27">
        <f>C91*D91</f>
        <v>0</v>
      </c>
      <c r="F91" s="64"/>
      <c r="G91" s="42">
        <v>1000000</v>
      </c>
      <c r="H91" s="27">
        <f t="shared" ref="H91:H98" si="11">IF(B91&lt;&gt;"",H90+E91-F91-G91,0)</f>
        <v>1411924</v>
      </c>
      <c r="I91" s="104">
        <v>41654</v>
      </c>
    </row>
    <row r="92" spans="1:9" s="35" customFormat="1" ht="20.25" customHeight="1">
      <c r="A92" s="39"/>
      <c r="B92" s="25" t="s">
        <v>17</v>
      </c>
      <c r="C92" s="40"/>
      <c r="D92" s="41"/>
      <c r="E92" s="27">
        <f>C92*D92</f>
        <v>0</v>
      </c>
      <c r="F92" s="64"/>
      <c r="G92" s="42">
        <v>200000</v>
      </c>
      <c r="H92" s="27">
        <f t="shared" si="11"/>
        <v>1211924</v>
      </c>
      <c r="I92" s="104">
        <v>41682</v>
      </c>
    </row>
    <row r="93" spans="1:9" s="35" customFormat="1" ht="20.25" customHeight="1">
      <c r="A93" s="39"/>
      <c r="B93" s="25" t="s">
        <v>17</v>
      </c>
      <c r="C93" s="40"/>
      <c r="D93" s="41"/>
      <c r="E93" s="27">
        <f>C93*D93</f>
        <v>0</v>
      </c>
      <c r="F93" s="64"/>
      <c r="G93" s="42">
        <v>200000</v>
      </c>
      <c r="H93" s="27">
        <f t="shared" si="11"/>
        <v>1011924</v>
      </c>
      <c r="I93" s="104">
        <v>41684</v>
      </c>
    </row>
    <row r="94" spans="1:9" s="35" customFormat="1" ht="20.25" customHeight="1">
      <c r="A94" s="39">
        <v>41680</v>
      </c>
      <c r="B94" s="21" t="s">
        <v>20</v>
      </c>
      <c r="C94" s="40">
        <v>3560</v>
      </c>
      <c r="D94" s="41">
        <v>52</v>
      </c>
      <c r="E94" s="27">
        <f t="shared" ref="E94:E131" si="12">C94*D94</f>
        <v>185120</v>
      </c>
      <c r="F94" s="64"/>
      <c r="G94" s="42"/>
      <c r="H94" s="27">
        <f t="shared" si="11"/>
        <v>1197044</v>
      </c>
      <c r="I94" s="105" t="s">
        <v>44</v>
      </c>
    </row>
    <row r="95" spans="1:9" s="35" customFormat="1" ht="20.25" customHeight="1">
      <c r="A95" s="39"/>
      <c r="B95" s="21" t="s">
        <v>20</v>
      </c>
      <c r="C95" s="40">
        <v>5210</v>
      </c>
      <c r="D95" s="41">
        <v>50</v>
      </c>
      <c r="E95" s="27">
        <f t="shared" si="12"/>
        <v>260500</v>
      </c>
      <c r="F95" s="64"/>
      <c r="G95" s="42"/>
      <c r="H95" s="27">
        <f t="shared" si="11"/>
        <v>1457544</v>
      </c>
      <c r="I95" s="105" t="s">
        <v>113</v>
      </c>
    </row>
    <row r="96" spans="1:9" s="35" customFormat="1" ht="20.25" customHeight="1">
      <c r="A96" s="39">
        <v>41685</v>
      </c>
      <c r="B96" s="21" t="s">
        <v>20</v>
      </c>
      <c r="C96" s="40">
        <v>3420</v>
      </c>
      <c r="D96" s="41">
        <v>50</v>
      </c>
      <c r="E96" s="27">
        <f t="shared" si="12"/>
        <v>171000</v>
      </c>
      <c r="F96" s="64"/>
      <c r="G96" s="42"/>
      <c r="H96" s="27">
        <f t="shared" si="11"/>
        <v>1628544</v>
      </c>
      <c r="I96" s="105" t="s">
        <v>113</v>
      </c>
    </row>
    <row r="97" spans="1:9" s="35" customFormat="1" ht="20.25" customHeight="1">
      <c r="A97" s="39">
        <v>41707</v>
      </c>
      <c r="B97" s="21" t="s">
        <v>20</v>
      </c>
      <c r="C97" s="40">
        <v>940</v>
      </c>
      <c r="D97" s="41">
        <v>50</v>
      </c>
      <c r="E97" s="27">
        <f t="shared" si="12"/>
        <v>47000</v>
      </c>
      <c r="F97" s="64"/>
      <c r="G97" s="42"/>
      <c r="H97" s="27">
        <f t="shared" si="11"/>
        <v>1675544</v>
      </c>
      <c r="I97" s="105"/>
    </row>
    <row r="98" spans="1:9" s="35" customFormat="1" ht="20.25" customHeight="1">
      <c r="A98" s="39"/>
      <c r="B98" s="25" t="s">
        <v>17</v>
      </c>
      <c r="C98" s="40"/>
      <c r="D98" s="41"/>
      <c r="E98" s="27">
        <f>C98*D98</f>
        <v>0</v>
      </c>
      <c r="F98" s="64"/>
      <c r="G98" s="42">
        <v>200000</v>
      </c>
      <c r="H98" s="27">
        <f t="shared" si="11"/>
        <v>1475544</v>
      </c>
      <c r="I98" s="104">
        <v>41704</v>
      </c>
    </row>
    <row r="99" spans="1:9" s="35" customFormat="1" ht="20.25" customHeight="1">
      <c r="A99" s="39"/>
      <c r="B99" s="25" t="s">
        <v>17</v>
      </c>
      <c r="C99" s="40"/>
      <c r="D99" s="41"/>
      <c r="E99" s="27">
        <f>C99*D99</f>
        <v>0</v>
      </c>
      <c r="F99" s="64"/>
      <c r="G99" s="42">
        <v>200000</v>
      </c>
      <c r="H99" s="27">
        <f t="shared" ref="H99:H109" si="13">IF(B99&lt;&gt;"",H98+E99-F99-G99,0)</f>
        <v>1275544</v>
      </c>
      <c r="I99" s="104">
        <v>41713</v>
      </c>
    </row>
    <row r="100" spans="1:9" s="35" customFormat="1" ht="20.25" customHeight="1">
      <c r="A100" s="39"/>
      <c r="B100" s="25" t="s">
        <v>17</v>
      </c>
      <c r="C100" s="40"/>
      <c r="D100" s="41"/>
      <c r="E100" s="27">
        <f>C100*D100</f>
        <v>0</v>
      </c>
      <c r="F100" s="64"/>
      <c r="G100" s="42">
        <v>300000</v>
      </c>
      <c r="H100" s="27">
        <f t="shared" si="13"/>
        <v>975544</v>
      </c>
      <c r="I100" s="104">
        <v>41724</v>
      </c>
    </row>
    <row r="101" spans="1:9" s="35" customFormat="1" ht="20.25" customHeight="1">
      <c r="A101" s="39"/>
      <c r="B101" s="25" t="s">
        <v>17</v>
      </c>
      <c r="C101" s="40"/>
      <c r="D101" s="41"/>
      <c r="E101" s="27">
        <f>C101*D101</f>
        <v>0</v>
      </c>
      <c r="F101" s="64"/>
      <c r="G101" s="42">
        <v>200000</v>
      </c>
      <c r="H101" s="27">
        <f t="shared" si="13"/>
        <v>775544</v>
      </c>
      <c r="I101" s="104">
        <v>41736</v>
      </c>
    </row>
    <row r="102" spans="1:9" s="35" customFormat="1" ht="20.25" customHeight="1">
      <c r="A102" s="39"/>
      <c r="B102" s="25" t="s">
        <v>17</v>
      </c>
      <c r="C102" s="40"/>
      <c r="D102" s="41"/>
      <c r="E102" s="27">
        <f>C102*D102</f>
        <v>0</v>
      </c>
      <c r="F102" s="64"/>
      <c r="G102" s="42">
        <v>300000</v>
      </c>
      <c r="H102" s="27">
        <f t="shared" si="13"/>
        <v>475544</v>
      </c>
      <c r="I102" s="104">
        <v>41747</v>
      </c>
    </row>
    <row r="103" spans="1:9" s="35" customFormat="1" ht="20.25" customHeight="1">
      <c r="A103" s="39">
        <v>41718</v>
      </c>
      <c r="B103" s="21" t="s">
        <v>18</v>
      </c>
      <c r="C103" s="40">
        <v>300</v>
      </c>
      <c r="D103" s="41">
        <v>147</v>
      </c>
      <c r="E103" s="27">
        <f t="shared" si="12"/>
        <v>44100</v>
      </c>
      <c r="F103" s="64"/>
      <c r="G103" s="42"/>
      <c r="H103" s="27">
        <f t="shared" si="13"/>
        <v>519644</v>
      </c>
      <c r="I103" s="105"/>
    </row>
    <row r="104" spans="1:9" s="35" customFormat="1" ht="20.25" customHeight="1">
      <c r="A104" s="39"/>
      <c r="B104" s="21" t="s">
        <v>262</v>
      </c>
      <c r="C104" s="40"/>
      <c r="D104" s="41"/>
      <c r="E104" s="27">
        <v>40215</v>
      </c>
      <c r="F104" s="64"/>
      <c r="G104" s="42"/>
      <c r="H104" s="27">
        <f t="shared" si="13"/>
        <v>559859</v>
      </c>
      <c r="I104" s="105"/>
    </row>
    <row r="105" spans="1:9" s="35" customFormat="1" ht="20.25" customHeight="1">
      <c r="A105" s="39">
        <v>41722</v>
      </c>
      <c r="B105" s="21" t="s">
        <v>18</v>
      </c>
      <c r="C105" s="40">
        <v>3540</v>
      </c>
      <c r="D105" s="41">
        <v>147</v>
      </c>
      <c r="E105" s="27">
        <f t="shared" si="12"/>
        <v>520380</v>
      </c>
      <c r="F105" s="64"/>
      <c r="G105" s="42"/>
      <c r="H105" s="27">
        <f t="shared" si="13"/>
        <v>1080239</v>
      </c>
      <c r="I105" s="105"/>
    </row>
    <row r="106" spans="1:9" s="35" customFormat="1" ht="20.25" customHeight="1">
      <c r="A106" s="39">
        <v>41726</v>
      </c>
      <c r="B106" s="21" t="s">
        <v>164</v>
      </c>
      <c r="C106" s="40">
        <v>804</v>
      </c>
      <c r="D106" s="41">
        <v>58</v>
      </c>
      <c r="E106" s="27">
        <f t="shared" si="12"/>
        <v>46632</v>
      </c>
      <c r="F106" s="64"/>
      <c r="G106" s="42"/>
      <c r="H106" s="27">
        <f t="shared" si="13"/>
        <v>1126871</v>
      </c>
      <c r="I106" s="105"/>
    </row>
    <row r="107" spans="1:9" s="35" customFormat="1" ht="20.25" customHeight="1">
      <c r="A107" s="39">
        <v>41731</v>
      </c>
      <c r="B107" s="21" t="s">
        <v>164</v>
      </c>
      <c r="C107" s="40">
        <v>1489</v>
      </c>
      <c r="D107" s="41">
        <v>59</v>
      </c>
      <c r="E107" s="27">
        <f t="shared" si="12"/>
        <v>87851</v>
      </c>
      <c r="F107" s="64"/>
      <c r="G107" s="42"/>
      <c r="H107" s="27">
        <f t="shared" si="13"/>
        <v>1214722</v>
      </c>
      <c r="I107" s="105"/>
    </row>
    <row r="108" spans="1:9" s="35" customFormat="1" ht="20.25" customHeight="1">
      <c r="A108" s="39"/>
      <c r="B108" s="21" t="s">
        <v>263</v>
      </c>
      <c r="C108" s="40">
        <v>15</v>
      </c>
      <c r="D108" s="41">
        <v>25</v>
      </c>
      <c r="E108" s="27">
        <f t="shared" si="12"/>
        <v>375</v>
      </c>
      <c r="F108" s="64"/>
      <c r="G108" s="42"/>
      <c r="H108" s="27">
        <f t="shared" si="13"/>
        <v>1215097</v>
      </c>
      <c r="I108" s="105"/>
    </row>
    <row r="109" spans="1:9" s="35" customFormat="1" ht="20.25" customHeight="1">
      <c r="A109" s="39"/>
      <c r="B109" s="21" t="s">
        <v>18</v>
      </c>
      <c r="C109" s="40">
        <v>330</v>
      </c>
      <c r="D109" s="41">
        <v>147</v>
      </c>
      <c r="E109" s="27">
        <f t="shared" si="12"/>
        <v>48510</v>
      </c>
      <c r="F109" s="64"/>
      <c r="G109" s="42"/>
      <c r="H109" s="27">
        <f t="shared" si="13"/>
        <v>1263607</v>
      </c>
      <c r="I109" s="105"/>
    </row>
    <row r="110" spans="1:9" s="35" customFormat="1" ht="20.25" customHeight="1">
      <c r="A110" s="39"/>
      <c r="B110" s="21" t="s">
        <v>19</v>
      </c>
      <c r="C110" s="40">
        <v>1215</v>
      </c>
      <c r="D110" s="41">
        <v>112</v>
      </c>
      <c r="E110" s="27">
        <f t="shared" si="12"/>
        <v>136080</v>
      </c>
      <c r="F110" s="64"/>
      <c r="G110" s="42"/>
      <c r="H110" s="27">
        <f t="shared" ref="H110:H121" si="14">IF(B110&lt;&gt;"",H109+E110-F110-G110,0)</f>
        <v>1399687</v>
      </c>
      <c r="I110" s="105"/>
    </row>
    <row r="111" spans="1:9" s="35" customFormat="1" ht="20.25" customHeight="1">
      <c r="A111" s="39">
        <v>41741</v>
      </c>
      <c r="B111" s="21" t="s">
        <v>20</v>
      </c>
      <c r="C111" s="40">
        <v>3000</v>
      </c>
      <c r="D111" s="41">
        <v>53</v>
      </c>
      <c r="E111" s="27">
        <f t="shared" si="12"/>
        <v>159000</v>
      </c>
      <c r="F111" s="64"/>
      <c r="G111" s="42"/>
      <c r="H111" s="27">
        <f t="shared" si="14"/>
        <v>1558687</v>
      </c>
      <c r="I111" s="105"/>
    </row>
    <row r="112" spans="1:9" s="35" customFormat="1" ht="20.25" customHeight="1">
      <c r="A112" s="39"/>
      <c r="B112" s="21" t="s">
        <v>18</v>
      </c>
      <c r="C112" s="40">
        <v>1080</v>
      </c>
      <c r="D112" s="41">
        <v>147</v>
      </c>
      <c r="E112" s="27">
        <f t="shared" si="12"/>
        <v>158760</v>
      </c>
      <c r="F112" s="64"/>
      <c r="G112" s="42"/>
      <c r="H112" s="27">
        <f t="shared" si="14"/>
        <v>1717447</v>
      </c>
      <c r="I112" s="105"/>
    </row>
    <row r="113" spans="1:9" s="35" customFormat="1" ht="20.25" customHeight="1">
      <c r="A113" s="39">
        <v>41742</v>
      </c>
      <c r="B113" s="21" t="s">
        <v>20</v>
      </c>
      <c r="C113" s="40">
        <v>5160</v>
      </c>
      <c r="D113" s="41">
        <v>53</v>
      </c>
      <c r="E113" s="27">
        <f t="shared" si="12"/>
        <v>273480</v>
      </c>
      <c r="F113" s="64"/>
      <c r="G113" s="42"/>
      <c r="H113" s="27">
        <f t="shared" si="14"/>
        <v>1990927</v>
      </c>
      <c r="I113" s="105"/>
    </row>
    <row r="114" spans="1:9" s="35" customFormat="1" ht="20.25" customHeight="1">
      <c r="A114" s="39">
        <v>41749</v>
      </c>
      <c r="B114" s="21" t="s">
        <v>164</v>
      </c>
      <c r="C114" s="40">
        <v>3582</v>
      </c>
      <c r="D114" s="41">
        <v>53</v>
      </c>
      <c r="E114" s="27">
        <f t="shared" si="12"/>
        <v>189846</v>
      </c>
      <c r="F114" s="64"/>
      <c r="G114" s="42"/>
      <c r="H114" s="27">
        <f t="shared" si="14"/>
        <v>2180773</v>
      </c>
      <c r="I114" s="105"/>
    </row>
    <row r="115" spans="1:9" s="35" customFormat="1" ht="20.25" customHeight="1">
      <c r="A115" s="39">
        <v>41771</v>
      </c>
      <c r="B115" s="21" t="s">
        <v>164</v>
      </c>
      <c r="C115" s="40">
        <v>3254</v>
      </c>
      <c r="D115" s="41">
        <v>53</v>
      </c>
      <c r="E115" s="27">
        <f t="shared" si="12"/>
        <v>172462</v>
      </c>
      <c r="F115" s="64"/>
      <c r="G115" s="42"/>
      <c r="H115" s="27">
        <f t="shared" si="14"/>
        <v>2353235</v>
      </c>
      <c r="I115" s="105"/>
    </row>
    <row r="116" spans="1:9" s="35" customFormat="1" ht="20.25" customHeight="1">
      <c r="A116" s="39">
        <v>41775</v>
      </c>
      <c r="B116" s="21" t="s">
        <v>164</v>
      </c>
      <c r="C116" s="40">
        <v>2183</v>
      </c>
      <c r="D116" s="41">
        <v>49</v>
      </c>
      <c r="E116" s="27">
        <f t="shared" si="12"/>
        <v>106967</v>
      </c>
      <c r="F116" s="64"/>
      <c r="G116" s="42"/>
      <c r="H116" s="27">
        <f t="shared" si="14"/>
        <v>2460202</v>
      </c>
      <c r="I116" s="105"/>
    </row>
    <row r="117" spans="1:9" s="35" customFormat="1" ht="20.25" customHeight="1">
      <c r="A117" s="39"/>
      <c r="B117" s="25" t="s">
        <v>17</v>
      </c>
      <c r="C117" s="40"/>
      <c r="D117" s="41"/>
      <c r="E117" s="27">
        <f t="shared" si="12"/>
        <v>0</v>
      </c>
      <c r="F117" s="64"/>
      <c r="G117" s="42">
        <v>200000</v>
      </c>
      <c r="H117" s="27">
        <f t="shared" si="14"/>
        <v>2260202</v>
      </c>
      <c r="I117" s="104">
        <v>41754</v>
      </c>
    </row>
    <row r="118" spans="1:9" s="35" customFormat="1" ht="20.25" customHeight="1">
      <c r="A118" s="39"/>
      <c r="B118" s="25" t="s">
        <v>17</v>
      </c>
      <c r="C118" s="40"/>
      <c r="D118" s="41"/>
      <c r="E118" s="27">
        <f t="shared" si="12"/>
        <v>0</v>
      </c>
      <c r="F118" s="64"/>
      <c r="G118" s="42">
        <v>200000</v>
      </c>
      <c r="H118" s="27">
        <f t="shared" si="14"/>
        <v>2060202</v>
      </c>
      <c r="I118" s="104">
        <v>41766</v>
      </c>
    </row>
    <row r="119" spans="1:9" s="35" customFormat="1" ht="20.25" customHeight="1">
      <c r="A119" s="39"/>
      <c r="B119" s="25" t="s">
        <v>17</v>
      </c>
      <c r="C119" s="40"/>
      <c r="D119" s="41"/>
      <c r="E119" s="27">
        <f t="shared" si="12"/>
        <v>0</v>
      </c>
      <c r="F119" s="64"/>
      <c r="G119" s="42">
        <v>200000</v>
      </c>
      <c r="H119" s="27">
        <f t="shared" si="14"/>
        <v>1860202</v>
      </c>
      <c r="I119" s="104">
        <v>41780</v>
      </c>
    </row>
    <row r="120" spans="1:9" s="35" customFormat="1" ht="20.25" customHeight="1">
      <c r="A120" s="39"/>
      <c r="B120" s="25" t="s">
        <v>17</v>
      </c>
      <c r="C120" s="40"/>
      <c r="D120" s="41"/>
      <c r="E120" s="27">
        <f t="shared" ref="E120:E130" si="15">C120*D120</f>
        <v>0</v>
      </c>
      <c r="F120" s="64"/>
      <c r="G120" s="42">
        <v>200000</v>
      </c>
      <c r="H120" s="27">
        <f t="shared" si="14"/>
        <v>1660202</v>
      </c>
      <c r="I120" s="104">
        <v>41793</v>
      </c>
    </row>
    <row r="121" spans="1:9" s="35" customFormat="1" ht="20.25" customHeight="1">
      <c r="A121" s="39"/>
      <c r="B121" s="25" t="s">
        <v>17</v>
      </c>
      <c r="C121" s="40"/>
      <c r="D121" s="41"/>
      <c r="E121" s="27">
        <f t="shared" si="15"/>
        <v>0</v>
      </c>
      <c r="F121" s="64"/>
      <c r="G121" s="42">
        <v>200000</v>
      </c>
      <c r="H121" s="27">
        <f t="shared" si="14"/>
        <v>1460202</v>
      </c>
      <c r="I121" s="104">
        <v>41803</v>
      </c>
    </row>
    <row r="122" spans="1:9" s="35" customFormat="1" ht="20.25" customHeight="1">
      <c r="A122" s="39"/>
      <c r="B122" s="25" t="s">
        <v>17</v>
      </c>
      <c r="C122" s="40"/>
      <c r="D122" s="41"/>
      <c r="E122" s="27">
        <f t="shared" si="15"/>
        <v>0</v>
      </c>
      <c r="F122" s="64"/>
      <c r="G122" s="42">
        <v>200000</v>
      </c>
      <c r="H122" s="27">
        <f t="shared" ref="H122:H132" si="16">IF(B122&lt;&gt;"",H121+E122-F122-G122,0)</f>
        <v>1260202</v>
      </c>
      <c r="I122" s="104">
        <v>41814</v>
      </c>
    </row>
    <row r="123" spans="1:9" s="35" customFormat="1" ht="20.25" customHeight="1">
      <c r="A123" s="39"/>
      <c r="B123" s="25" t="s">
        <v>17</v>
      </c>
      <c r="C123" s="40"/>
      <c r="D123" s="41"/>
      <c r="E123" s="27">
        <f t="shared" si="15"/>
        <v>0</v>
      </c>
      <c r="F123" s="64"/>
      <c r="G123" s="42">
        <v>200000</v>
      </c>
      <c r="H123" s="27">
        <f t="shared" si="16"/>
        <v>1060202</v>
      </c>
      <c r="I123" s="104">
        <v>41829</v>
      </c>
    </row>
    <row r="124" spans="1:9" s="35" customFormat="1" ht="20.25" customHeight="1">
      <c r="A124" s="39">
        <v>41823</v>
      </c>
      <c r="B124" s="21" t="s">
        <v>18</v>
      </c>
      <c r="C124" s="40">
        <v>150</v>
      </c>
      <c r="D124" s="41">
        <v>150</v>
      </c>
      <c r="E124" s="27">
        <f t="shared" si="15"/>
        <v>22500</v>
      </c>
      <c r="F124" s="64"/>
      <c r="G124" s="42"/>
      <c r="H124" s="27">
        <f t="shared" si="16"/>
        <v>1082702</v>
      </c>
      <c r="I124" s="105"/>
    </row>
    <row r="125" spans="1:9" s="35" customFormat="1" ht="20.25" customHeight="1">
      <c r="A125" s="39"/>
      <c r="B125" s="21" t="s">
        <v>273</v>
      </c>
      <c r="C125" s="40">
        <v>615</v>
      </c>
      <c r="D125" s="41">
        <v>88</v>
      </c>
      <c r="E125" s="27">
        <f t="shared" si="15"/>
        <v>54120</v>
      </c>
      <c r="F125" s="64"/>
      <c r="G125" s="42"/>
      <c r="H125" s="27">
        <f t="shared" si="16"/>
        <v>1136822</v>
      </c>
      <c r="I125" s="105"/>
    </row>
    <row r="126" spans="1:9" s="35" customFormat="1" ht="20.25" customHeight="1">
      <c r="A126" s="39">
        <v>41824</v>
      </c>
      <c r="B126" s="21" t="s">
        <v>274</v>
      </c>
      <c r="C126" s="40">
        <v>3970</v>
      </c>
      <c r="D126" s="41">
        <v>28.5</v>
      </c>
      <c r="E126" s="27">
        <f t="shared" si="15"/>
        <v>113145</v>
      </c>
      <c r="F126" s="64"/>
      <c r="G126" s="42"/>
      <c r="H126" s="27">
        <f t="shared" si="16"/>
        <v>1249967</v>
      </c>
      <c r="I126" s="105"/>
    </row>
    <row r="127" spans="1:9" s="35" customFormat="1" ht="20.25" customHeight="1">
      <c r="A127" s="39"/>
      <c r="B127" s="21" t="s">
        <v>273</v>
      </c>
      <c r="C127" s="40">
        <v>1035</v>
      </c>
      <c r="D127" s="41">
        <v>88</v>
      </c>
      <c r="E127" s="27">
        <f t="shared" si="15"/>
        <v>91080</v>
      </c>
      <c r="F127" s="64"/>
      <c r="G127" s="42"/>
      <c r="H127" s="27">
        <f t="shared" si="16"/>
        <v>1341047</v>
      </c>
      <c r="I127" s="105"/>
    </row>
    <row r="128" spans="1:9" s="35" customFormat="1" ht="20.25" customHeight="1">
      <c r="A128" s="39"/>
      <c r="B128" s="25" t="s">
        <v>17</v>
      </c>
      <c r="C128" s="40"/>
      <c r="D128" s="41"/>
      <c r="E128" s="27">
        <f t="shared" si="15"/>
        <v>0</v>
      </c>
      <c r="F128" s="64"/>
      <c r="G128" s="42">
        <v>200000</v>
      </c>
      <c r="H128" s="27">
        <f t="shared" si="16"/>
        <v>1141047</v>
      </c>
      <c r="I128" s="104">
        <v>41837</v>
      </c>
    </row>
    <row r="129" spans="1:9" s="35" customFormat="1" ht="20.25" customHeight="1">
      <c r="A129" s="39"/>
      <c r="B129" s="25" t="s">
        <v>17</v>
      </c>
      <c r="C129" s="40"/>
      <c r="D129" s="41"/>
      <c r="E129" s="27">
        <f t="shared" si="15"/>
        <v>0</v>
      </c>
      <c r="F129" s="64"/>
      <c r="G129" s="42">
        <v>200000</v>
      </c>
      <c r="H129" s="27">
        <f t="shared" si="16"/>
        <v>941047</v>
      </c>
      <c r="I129" s="104">
        <v>41850</v>
      </c>
    </row>
    <row r="130" spans="1:9" s="35" customFormat="1" ht="20.25" customHeight="1">
      <c r="A130" s="39"/>
      <c r="B130" s="25" t="s">
        <v>17</v>
      </c>
      <c r="C130" s="40"/>
      <c r="D130" s="41"/>
      <c r="E130" s="27">
        <f t="shared" si="15"/>
        <v>0</v>
      </c>
      <c r="F130" s="64"/>
      <c r="G130" s="42">
        <v>200000</v>
      </c>
      <c r="H130" s="27">
        <f t="shared" si="16"/>
        <v>741047</v>
      </c>
      <c r="I130" s="104">
        <v>41858</v>
      </c>
    </row>
    <row r="131" spans="1:9" s="35" customFormat="1" ht="20.25" customHeight="1">
      <c r="A131" s="39">
        <v>41860</v>
      </c>
      <c r="B131" s="21" t="s">
        <v>18</v>
      </c>
      <c r="C131" s="40">
        <v>1830</v>
      </c>
      <c r="D131" s="41">
        <v>150</v>
      </c>
      <c r="E131" s="27">
        <f t="shared" si="12"/>
        <v>274500</v>
      </c>
      <c r="F131" s="64"/>
      <c r="G131" s="42"/>
      <c r="H131" s="27">
        <f t="shared" si="16"/>
        <v>1015547</v>
      </c>
      <c r="I131" s="105"/>
    </row>
    <row r="132" spans="1:9" s="35" customFormat="1" ht="20.25" customHeight="1">
      <c r="A132" s="39">
        <v>41882</v>
      </c>
      <c r="B132" s="21" t="s">
        <v>164</v>
      </c>
      <c r="C132" s="40">
        <v>3450</v>
      </c>
      <c r="D132" s="41">
        <v>46</v>
      </c>
      <c r="E132" s="27">
        <f t="shared" ref="E132:E142" si="17">C132*D132</f>
        <v>158700</v>
      </c>
      <c r="F132" s="64"/>
      <c r="G132" s="42"/>
      <c r="H132" s="27">
        <f t="shared" si="16"/>
        <v>1174247</v>
      </c>
      <c r="I132" s="104"/>
    </row>
    <row r="133" spans="1:9" s="35" customFormat="1" ht="20.25" customHeight="1">
      <c r="A133" s="39"/>
      <c r="B133" s="25" t="s">
        <v>17</v>
      </c>
      <c r="C133" s="40"/>
      <c r="D133" s="41"/>
      <c r="E133" s="27">
        <f t="shared" si="17"/>
        <v>0</v>
      </c>
      <c r="F133" s="64"/>
      <c r="G133" s="42">
        <v>200000</v>
      </c>
      <c r="H133" s="27">
        <f>IF(B133&lt;&gt;"",H132+E133-F133-G133,0)</f>
        <v>974247</v>
      </c>
      <c r="I133" s="104">
        <v>41872</v>
      </c>
    </row>
    <row r="134" spans="1:9" s="35" customFormat="1" ht="20.25" customHeight="1">
      <c r="A134" s="39"/>
      <c r="B134" s="25" t="s">
        <v>17</v>
      </c>
      <c r="C134" s="40"/>
      <c r="D134" s="41"/>
      <c r="E134" s="27">
        <f t="shared" si="17"/>
        <v>0</v>
      </c>
      <c r="F134" s="64"/>
      <c r="G134" s="42">
        <v>200000</v>
      </c>
      <c r="H134" s="27">
        <f t="shared" ref="H134:H142" si="18">IF(B134&lt;&gt;"",H133+E134-F134-G134,0)</f>
        <v>774247</v>
      </c>
      <c r="I134" s="104">
        <v>41893</v>
      </c>
    </row>
    <row r="135" spans="1:9" s="35" customFormat="1" ht="20.25" customHeight="1">
      <c r="A135" s="39"/>
      <c r="B135" s="25" t="s">
        <v>17</v>
      </c>
      <c r="C135" s="40"/>
      <c r="D135" s="41"/>
      <c r="E135" s="27">
        <f t="shared" si="17"/>
        <v>0</v>
      </c>
      <c r="F135" s="64"/>
      <c r="G135" s="42">
        <v>200000</v>
      </c>
      <c r="H135" s="27">
        <f>IF(B135&lt;&gt;"",H134+E135-F135-G135,0)</f>
        <v>574247</v>
      </c>
      <c r="I135" s="104">
        <v>41907</v>
      </c>
    </row>
    <row r="136" spans="1:9" s="35" customFormat="1" ht="20.25" customHeight="1">
      <c r="A136" s="235"/>
      <c r="B136" s="236"/>
      <c r="C136" s="236"/>
      <c r="D136" s="236"/>
      <c r="E136" s="236"/>
      <c r="F136" s="236"/>
      <c r="G136" s="236"/>
      <c r="H136" s="236"/>
      <c r="I136" s="237"/>
    </row>
    <row r="137" spans="1:9" s="35" customFormat="1" ht="20.25" customHeight="1">
      <c r="A137" s="39"/>
      <c r="B137" s="25" t="s">
        <v>17</v>
      </c>
      <c r="C137" s="40"/>
      <c r="D137" s="41"/>
      <c r="E137" s="27">
        <f t="shared" si="17"/>
        <v>0</v>
      </c>
      <c r="F137" s="64"/>
      <c r="G137" s="42">
        <v>200000</v>
      </c>
      <c r="H137" s="27">
        <f>IF(B137&lt;&gt;"",H135+E137-F137-G137,0)</f>
        <v>374247</v>
      </c>
      <c r="I137" s="104">
        <v>41932</v>
      </c>
    </row>
    <row r="138" spans="1:9" s="35" customFormat="1" ht="20.25" customHeight="1">
      <c r="A138" s="39"/>
      <c r="B138" s="25" t="s">
        <v>17</v>
      </c>
      <c r="C138" s="40"/>
      <c r="D138" s="41"/>
      <c r="E138" s="27">
        <f t="shared" si="17"/>
        <v>0</v>
      </c>
      <c r="F138" s="64"/>
      <c r="G138" s="42">
        <v>200000</v>
      </c>
      <c r="H138" s="27">
        <f t="shared" si="18"/>
        <v>174247</v>
      </c>
      <c r="I138" s="104">
        <v>41946</v>
      </c>
    </row>
    <row r="139" spans="1:9" s="35" customFormat="1" ht="20.25" customHeight="1">
      <c r="A139" s="39">
        <v>41931</v>
      </c>
      <c r="B139" s="21" t="s">
        <v>20</v>
      </c>
      <c r="C139" s="40">
        <v>3420</v>
      </c>
      <c r="D139" s="41">
        <v>42.5</v>
      </c>
      <c r="E139" s="27">
        <f t="shared" si="17"/>
        <v>145350</v>
      </c>
      <c r="F139" s="64"/>
      <c r="G139" s="42"/>
      <c r="H139" s="27">
        <f t="shared" si="18"/>
        <v>319597</v>
      </c>
      <c r="I139" s="105"/>
    </row>
    <row r="140" spans="1:9" s="35" customFormat="1" ht="20.25" customHeight="1">
      <c r="A140" s="39">
        <v>41932</v>
      </c>
      <c r="B140" s="21" t="s">
        <v>20</v>
      </c>
      <c r="C140" s="40">
        <v>4730</v>
      </c>
      <c r="D140" s="41">
        <v>42.5</v>
      </c>
      <c r="E140" s="27">
        <f t="shared" si="17"/>
        <v>201025</v>
      </c>
      <c r="F140" s="64"/>
      <c r="G140" s="42"/>
      <c r="H140" s="27">
        <f t="shared" si="18"/>
        <v>520622</v>
      </c>
      <c r="I140" s="105"/>
    </row>
    <row r="141" spans="1:9" s="35" customFormat="1" ht="20.25" customHeight="1">
      <c r="A141" s="39">
        <v>41942</v>
      </c>
      <c r="B141" s="21" t="s">
        <v>20</v>
      </c>
      <c r="C141" s="40">
        <v>3730</v>
      </c>
      <c r="D141" s="41">
        <v>42</v>
      </c>
      <c r="E141" s="27">
        <f t="shared" si="17"/>
        <v>156660</v>
      </c>
      <c r="F141" s="64"/>
      <c r="G141" s="42"/>
      <c r="H141" s="27">
        <f t="shared" si="18"/>
        <v>677282</v>
      </c>
      <c r="I141" s="105"/>
    </row>
    <row r="142" spans="1:9" s="35" customFormat="1" ht="20.25" customHeight="1">
      <c r="A142" s="39">
        <v>41950</v>
      </c>
      <c r="B142" s="21" t="s">
        <v>20</v>
      </c>
      <c r="C142" s="40">
        <v>3920</v>
      </c>
      <c r="D142" s="41">
        <v>39</v>
      </c>
      <c r="E142" s="27">
        <f t="shared" si="17"/>
        <v>152880</v>
      </c>
      <c r="F142" s="64"/>
      <c r="G142" s="42"/>
      <c r="H142" s="27">
        <f t="shared" si="18"/>
        <v>830162</v>
      </c>
      <c r="I142" s="105"/>
    </row>
    <row r="143" spans="1:9" s="35" customFormat="1" ht="20.25" customHeight="1">
      <c r="A143" s="39">
        <v>41948</v>
      </c>
      <c r="B143" s="21" t="s">
        <v>18</v>
      </c>
      <c r="C143" s="40">
        <v>1500</v>
      </c>
      <c r="D143" s="41">
        <v>136</v>
      </c>
      <c r="E143" s="27">
        <f t="shared" ref="E143:E149" si="19">C143*D143</f>
        <v>204000</v>
      </c>
      <c r="F143" s="64"/>
      <c r="G143" s="42"/>
      <c r="H143" s="27">
        <f t="shared" ref="H143:H149" si="20">IF(B143&lt;&gt;"",H142+E143-F143-G143,0)</f>
        <v>1034162</v>
      </c>
      <c r="I143" s="105"/>
    </row>
    <row r="144" spans="1:9" s="35" customFormat="1" ht="20.25" customHeight="1">
      <c r="A144" s="39">
        <v>41956</v>
      </c>
      <c r="B144" s="21" t="s">
        <v>20</v>
      </c>
      <c r="C144" s="40">
        <v>4510</v>
      </c>
      <c r="D144" s="41">
        <v>39</v>
      </c>
      <c r="E144" s="27">
        <f t="shared" si="19"/>
        <v>175890</v>
      </c>
      <c r="F144" s="64"/>
      <c r="G144" s="42"/>
      <c r="H144" s="27">
        <f t="shared" si="20"/>
        <v>1210052</v>
      </c>
      <c r="I144" s="105"/>
    </row>
    <row r="145" spans="1:9" s="35" customFormat="1" ht="20.25" customHeight="1">
      <c r="A145" s="39"/>
      <c r="B145" s="25" t="s">
        <v>17</v>
      </c>
      <c r="C145" s="40"/>
      <c r="D145" s="41"/>
      <c r="E145" s="27">
        <f t="shared" si="19"/>
        <v>0</v>
      </c>
      <c r="F145" s="64"/>
      <c r="G145" s="42">
        <v>200000</v>
      </c>
      <c r="H145" s="27">
        <f>IF(B145&lt;&gt;"",H144+E145-F145-G145,0)</f>
        <v>1010052</v>
      </c>
      <c r="I145" s="104">
        <v>41963</v>
      </c>
    </row>
    <row r="146" spans="1:9" s="35" customFormat="1" ht="20.25" customHeight="1">
      <c r="A146" s="39"/>
      <c r="B146" s="25" t="s">
        <v>17</v>
      </c>
      <c r="C146" s="40"/>
      <c r="D146" s="41"/>
      <c r="E146" s="27">
        <f t="shared" si="19"/>
        <v>0</v>
      </c>
      <c r="F146" s="64"/>
      <c r="G146" s="42">
        <v>200000</v>
      </c>
      <c r="H146" s="27">
        <f>IF(B146&lt;&gt;"",H145+E146-F146-G146,0)</f>
        <v>810052</v>
      </c>
      <c r="I146" s="104">
        <v>41985</v>
      </c>
    </row>
    <row r="147" spans="1:9" s="35" customFormat="1" ht="20.25" customHeight="1">
      <c r="A147" s="39">
        <v>41968</v>
      </c>
      <c r="B147" s="21" t="s">
        <v>18</v>
      </c>
      <c r="C147" s="40">
        <v>3000</v>
      </c>
      <c r="D147" s="41">
        <v>130</v>
      </c>
      <c r="E147" s="27">
        <f t="shared" si="19"/>
        <v>390000</v>
      </c>
      <c r="F147" s="64"/>
      <c r="G147" s="42"/>
      <c r="H147" s="27">
        <f t="shared" si="20"/>
        <v>1200052</v>
      </c>
      <c r="I147" s="105"/>
    </row>
    <row r="148" spans="1:9" s="35" customFormat="1" ht="20.25" customHeight="1">
      <c r="A148" s="39">
        <v>41982</v>
      </c>
      <c r="B148" s="21" t="s">
        <v>164</v>
      </c>
      <c r="C148" s="40">
        <v>5890</v>
      </c>
      <c r="D148" s="41">
        <v>42</v>
      </c>
      <c r="E148" s="27">
        <f t="shared" si="19"/>
        <v>247380</v>
      </c>
      <c r="F148" s="64"/>
      <c r="G148" s="42"/>
      <c r="H148" s="27">
        <f t="shared" si="20"/>
        <v>1447432</v>
      </c>
      <c r="I148" s="105"/>
    </row>
    <row r="149" spans="1:9" s="35" customFormat="1" ht="20.25" customHeight="1">
      <c r="A149" s="39">
        <v>41986</v>
      </c>
      <c r="B149" s="21" t="s">
        <v>164</v>
      </c>
      <c r="C149" s="40">
        <v>6000</v>
      </c>
      <c r="D149" s="41">
        <v>38</v>
      </c>
      <c r="E149" s="27">
        <f t="shared" si="19"/>
        <v>228000</v>
      </c>
      <c r="F149" s="64"/>
      <c r="G149" s="42"/>
      <c r="H149" s="27">
        <f t="shared" si="20"/>
        <v>1675432</v>
      </c>
      <c r="I149" s="105"/>
    </row>
    <row r="150" spans="1:9" s="35" customFormat="1" ht="20.25" customHeight="1">
      <c r="A150" s="39">
        <v>41984</v>
      </c>
      <c r="B150" s="21" t="s">
        <v>34</v>
      </c>
      <c r="C150" s="40">
        <v>7050</v>
      </c>
      <c r="D150" s="41">
        <v>90</v>
      </c>
      <c r="E150" s="27">
        <f t="shared" ref="E150:E159" si="21">C150*D150</f>
        <v>634500</v>
      </c>
      <c r="F150" s="64"/>
      <c r="G150" s="42"/>
      <c r="H150" s="27">
        <f t="shared" ref="H150:H159" si="22">IF(B150&lt;&gt;"",H149+E150-F150-G150,0)</f>
        <v>2309932</v>
      </c>
      <c r="I150" s="105"/>
    </row>
    <row r="151" spans="1:9" s="35" customFormat="1" ht="20.25" customHeight="1">
      <c r="A151" s="39">
        <v>41986</v>
      </c>
      <c r="B151" s="21" t="s">
        <v>18</v>
      </c>
      <c r="C151" s="40">
        <v>2400</v>
      </c>
      <c r="D151" s="41">
        <v>130</v>
      </c>
      <c r="E151" s="27">
        <f t="shared" si="21"/>
        <v>312000</v>
      </c>
      <c r="F151" s="64"/>
      <c r="G151" s="42"/>
      <c r="H151" s="27">
        <f t="shared" si="22"/>
        <v>2621932</v>
      </c>
      <c r="I151" s="105"/>
    </row>
    <row r="152" spans="1:9" s="35" customFormat="1" ht="20.25" customHeight="1">
      <c r="A152" s="39"/>
      <c r="B152" s="21" t="s">
        <v>34</v>
      </c>
      <c r="C152" s="40">
        <v>5100</v>
      </c>
      <c r="D152" s="41">
        <v>90</v>
      </c>
      <c r="E152" s="27">
        <f t="shared" si="21"/>
        <v>459000</v>
      </c>
      <c r="F152" s="64"/>
      <c r="G152" s="42"/>
      <c r="H152" s="27">
        <f t="shared" si="22"/>
        <v>3080932</v>
      </c>
      <c r="I152" s="105"/>
    </row>
    <row r="153" spans="1:9" s="35" customFormat="1" ht="20.25" customHeight="1">
      <c r="A153" s="39">
        <v>41973</v>
      </c>
      <c r="B153" s="21" t="s">
        <v>186</v>
      </c>
      <c r="C153" s="40">
        <v>6080</v>
      </c>
      <c r="D153" s="41">
        <v>27</v>
      </c>
      <c r="E153" s="27">
        <f t="shared" si="21"/>
        <v>164160</v>
      </c>
      <c r="F153" s="64"/>
      <c r="G153" s="42"/>
      <c r="H153" s="27">
        <f t="shared" si="22"/>
        <v>3245092</v>
      </c>
      <c r="I153" s="105" t="s">
        <v>113</v>
      </c>
    </row>
    <row r="154" spans="1:9" s="35" customFormat="1" ht="20.25" customHeight="1">
      <c r="A154" s="39"/>
      <c r="B154" s="21" t="s">
        <v>281</v>
      </c>
      <c r="C154" s="40">
        <v>4650</v>
      </c>
      <c r="D154" s="41">
        <v>42</v>
      </c>
      <c r="E154" s="27">
        <f t="shared" si="21"/>
        <v>195300</v>
      </c>
      <c r="F154" s="64"/>
      <c r="G154" s="42"/>
      <c r="H154" s="27">
        <f t="shared" si="22"/>
        <v>3440392</v>
      </c>
      <c r="I154" s="105" t="s">
        <v>113</v>
      </c>
    </row>
    <row r="155" spans="1:9" s="35" customFormat="1" ht="20.25" customHeight="1">
      <c r="A155" s="39"/>
      <c r="B155" s="21" t="s">
        <v>282</v>
      </c>
      <c r="C155" s="40">
        <v>1210</v>
      </c>
      <c r="D155" s="41">
        <v>39</v>
      </c>
      <c r="E155" s="27">
        <f t="shared" si="21"/>
        <v>47190</v>
      </c>
      <c r="F155" s="64"/>
      <c r="G155" s="42"/>
      <c r="H155" s="27">
        <f t="shared" si="22"/>
        <v>3487582</v>
      </c>
      <c r="I155" s="105" t="s">
        <v>113</v>
      </c>
    </row>
    <row r="156" spans="1:9" s="35" customFormat="1" ht="20.25" customHeight="1">
      <c r="A156" s="39"/>
      <c r="B156" s="25" t="s">
        <v>17</v>
      </c>
      <c r="C156" s="40"/>
      <c r="D156" s="41"/>
      <c r="E156" s="27">
        <f t="shared" si="21"/>
        <v>0</v>
      </c>
      <c r="F156" s="64"/>
      <c r="G156" s="42">
        <v>200000</v>
      </c>
      <c r="H156" s="27">
        <f>IF(B156&lt;&gt;"",H155+E156-F156-G156,0)</f>
        <v>3287582</v>
      </c>
      <c r="I156" s="104">
        <v>41991</v>
      </c>
    </row>
    <row r="157" spans="1:9" s="35" customFormat="1" ht="20.25" customHeight="1">
      <c r="A157" s="39"/>
      <c r="B157" s="25" t="s">
        <v>17</v>
      </c>
      <c r="C157" s="40"/>
      <c r="D157" s="41"/>
      <c r="E157" s="27">
        <f t="shared" si="21"/>
        <v>0</v>
      </c>
      <c r="F157" s="64"/>
      <c r="G157" s="42">
        <v>200000</v>
      </c>
      <c r="H157" s="27">
        <f>IF(B157&lt;&gt;"",H156+E157-F157-G157,0)</f>
        <v>3087582</v>
      </c>
      <c r="I157" s="104">
        <v>41998</v>
      </c>
    </row>
    <row r="158" spans="1:9" s="35" customFormat="1" ht="20.25" customHeight="1">
      <c r="A158" s="39">
        <v>42014</v>
      </c>
      <c r="B158" s="21" t="s">
        <v>18</v>
      </c>
      <c r="C158" s="40">
        <v>7500</v>
      </c>
      <c r="D158" s="41">
        <v>120</v>
      </c>
      <c r="E158" s="27">
        <f t="shared" si="21"/>
        <v>900000</v>
      </c>
      <c r="F158" s="64"/>
      <c r="G158" s="42"/>
      <c r="H158" s="27">
        <f t="shared" si="22"/>
        <v>3987582</v>
      </c>
      <c r="I158" s="105"/>
    </row>
    <row r="159" spans="1:9" s="35" customFormat="1" ht="20.25" customHeight="1">
      <c r="A159" s="39">
        <v>42026</v>
      </c>
      <c r="B159" s="21" t="s">
        <v>18</v>
      </c>
      <c r="C159" s="40">
        <v>3000</v>
      </c>
      <c r="D159" s="41">
        <v>115</v>
      </c>
      <c r="E159" s="27">
        <f t="shared" si="21"/>
        <v>345000</v>
      </c>
      <c r="F159" s="64"/>
      <c r="G159" s="42"/>
      <c r="H159" s="27">
        <f t="shared" si="22"/>
        <v>4332582</v>
      </c>
      <c r="I159" s="105"/>
    </row>
    <row r="160" spans="1:9" s="35" customFormat="1" ht="20.25" customHeight="1">
      <c r="A160" s="39"/>
      <c r="B160" s="21" t="s">
        <v>34</v>
      </c>
      <c r="C160" s="40">
        <v>75</v>
      </c>
      <c r="D160" s="41">
        <v>90</v>
      </c>
      <c r="E160" s="27">
        <f t="shared" ref="E160:E167" si="23">C160*D160</f>
        <v>6750</v>
      </c>
      <c r="F160" s="64"/>
      <c r="G160" s="42"/>
      <c r="H160" s="27">
        <f t="shared" ref="H160:H167" si="24">IF(B160&lt;&gt;"",H159+E160-F160-G160,0)</f>
        <v>4339332</v>
      </c>
      <c r="I160" s="105"/>
    </row>
    <row r="161" spans="1:9" s="35" customFormat="1" ht="20.25" customHeight="1">
      <c r="A161" s="39">
        <v>42038</v>
      </c>
      <c r="B161" s="21" t="s">
        <v>18</v>
      </c>
      <c r="C161" s="40">
        <v>7530</v>
      </c>
      <c r="D161" s="41">
        <v>120</v>
      </c>
      <c r="E161" s="27">
        <f t="shared" si="23"/>
        <v>903600</v>
      </c>
      <c r="F161" s="64"/>
      <c r="G161" s="42"/>
      <c r="H161" s="27">
        <f t="shared" si="24"/>
        <v>5242932</v>
      </c>
      <c r="I161" s="105"/>
    </row>
    <row r="162" spans="1:9" s="35" customFormat="1" ht="20.25" customHeight="1">
      <c r="A162" s="39"/>
      <c r="B162" s="25" t="s">
        <v>17</v>
      </c>
      <c r="C162" s="40"/>
      <c r="D162" s="41"/>
      <c r="E162" s="27">
        <f t="shared" si="23"/>
        <v>0</v>
      </c>
      <c r="F162" s="64"/>
      <c r="G162" s="42">
        <v>300000</v>
      </c>
      <c r="H162" s="27">
        <f>IF(B162&lt;&gt;"",H161+E162-F162-G162,0)</f>
        <v>4942932</v>
      </c>
      <c r="I162" s="104">
        <v>42018</v>
      </c>
    </row>
    <row r="163" spans="1:9" s="35" customFormat="1" ht="20.25" customHeight="1">
      <c r="A163" s="39"/>
      <c r="B163" s="25" t="s">
        <v>17</v>
      </c>
      <c r="C163" s="40"/>
      <c r="D163" s="41"/>
      <c r="E163" s="27">
        <f t="shared" si="23"/>
        <v>0</v>
      </c>
      <c r="F163" s="64"/>
      <c r="G163" s="42">
        <v>200000</v>
      </c>
      <c r="H163" s="27">
        <f>IF(B163&lt;&gt;"",H162+E163-F163-G163,0)</f>
        <v>4742932</v>
      </c>
      <c r="I163" s="104">
        <v>42024</v>
      </c>
    </row>
    <row r="164" spans="1:9" s="35" customFormat="1" ht="20.25" customHeight="1">
      <c r="A164" s="39"/>
      <c r="B164" s="25" t="s">
        <v>17</v>
      </c>
      <c r="C164" s="40"/>
      <c r="D164" s="41"/>
      <c r="E164" s="27">
        <f>C164*D164</f>
        <v>0</v>
      </c>
      <c r="F164" s="64"/>
      <c r="G164" s="42">
        <v>500000</v>
      </c>
      <c r="H164" s="27">
        <f>IF(B164&lt;&gt;"",H163+E164-F164-G164,0)</f>
        <v>4242932</v>
      </c>
      <c r="I164" s="104">
        <v>42040</v>
      </c>
    </row>
    <row r="165" spans="1:9" s="35" customFormat="1" ht="20.25" customHeight="1">
      <c r="A165" s="39"/>
      <c r="B165" s="25" t="s">
        <v>17</v>
      </c>
      <c r="C165" s="40"/>
      <c r="D165" s="41"/>
      <c r="E165" s="27">
        <f t="shared" si="23"/>
        <v>0</v>
      </c>
      <c r="F165" s="64"/>
      <c r="G165" s="42">
        <v>1000000</v>
      </c>
      <c r="H165" s="27">
        <f t="shared" si="24"/>
        <v>3242932</v>
      </c>
      <c r="I165" s="104">
        <v>42049</v>
      </c>
    </row>
    <row r="166" spans="1:9" s="35" customFormat="1" ht="20.25" customHeight="1">
      <c r="A166" s="39"/>
      <c r="B166" s="25" t="s">
        <v>17</v>
      </c>
      <c r="C166" s="40"/>
      <c r="D166" s="41"/>
      <c r="E166" s="27">
        <f t="shared" si="23"/>
        <v>0</v>
      </c>
      <c r="F166" s="64"/>
      <c r="G166" s="42">
        <v>400000</v>
      </c>
      <c r="H166" s="27">
        <f t="shared" si="24"/>
        <v>2842932</v>
      </c>
      <c r="I166" s="104">
        <v>42060</v>
      </c>
    </row>
    <row r="167" spans="1:9" s="35" customFormat="1" ht="20.25" customHeight="1">
      <c r="A167" s="39">
        <v>42059</v>
      </c>
      <c r="B167" s="21" t="s">
        <v>18</v>
      </c>
      <c r="C167" s="40">
        <v>3657</v>
      </c>
      <c r="D167" s="41">
        <v>120</v>
      </c>
      <c r="E167" s="27">
        <f t="shared" si="23"/>
        <v>438840</v>
      </c>
      <c r="F167" s="64"/>
      <c r="G167" s="42"/>
      <c r="H167" s="27">
        <f t="shared" si="24"/>
        <v>3281772</v>
      </c>
      <c r="I167" s="104"/>
    </row>
    <row r="168" spans="1:9" s="35" customFormat="1" ht="20.25" customHeight="1">
      <c r="A168" s="39"/>
      <c r="B168" s="25" t="s">
        <v>17</v>
      </c>
      <c r="C168" s="40"/>
      <c r="D168" s="41"/>
      <c r="E168" s="27">
        <f t="shared" ref="E168" si="25">C168*D168</f>
        <v>0</v>
      </c>
      <c r="F168" s="64"/>
      <c r="G168" s="42">
        <v>400000</v>
      </c>
      <c r="H168" s="27">
        <f t="shared" ref="H168" si="26">IF(B168&lt;&gt;"",H167+E168-F168-G168,0)</f>
        <v>2881772</v>
      </c>
      <c r="I168" s="104">
        <v>42074</v>
      </c>
    </row>
    <row r="169" spans="1:9" s="35" customFormat="1" ht="20.25" customHeight="1">
      <c r="A169" s="39">
        <v>42083</v>
      </c>
      <c r="B169" s="21" t="s">
        <v>18</v>
      </c>
      <c r="C169" s="40">
        <v>1530</v>
      </c>
      <c r="D169" s="41">
        <v>125</v>
      </c>
      <c r="E169" s="27">
        <f>C169*D169</f>
        <v>191250</v>
      </c>
      <c r="F169" s="64"/>
      <c r="G169" s="42"/>
      <c r="H169" s="27">
        <f>IF(B169&lt;&gt;"",H168+E169-F169-G169,0)</f>
        <v>3073022</v>
      </c>
      <c r="I169" s="105"/>
    </row>
    <row r="170" spans="1:9" s="35" customFormat="1" ht="20.25" customHeight="1">
      <c r="A170" s="39"/>
      <c r="B170" s="25" t="s">
        <v>17</v>
      </c>
      <c r="C170" s="40"/>
      <c r="D170" s="41"/>
      <c r="E170" s="27">
        <f t="shared" ref="E170:E171" si="27">C170*D170</f>
        <v>0</v>
      </c>
      <c r="F170" s="64"/>
      <c r="G170" s="42">
        <v>300000</v>
      </c>
      <c r="H170" s="27">
        <f t="shared" ref="H170:H171" si="28">IF(B170&lt;&gt;"",H169+E170-F170-G170,0)</f>
        <v>2773022</v>
      </c>
      <c r="I170" s="104">
        <v>42086</v>
      </c>
    </row>
    <row r="171" spans="1:9" s="35" customFormat="1" ht="20.25" customHeight="1">
      <c r="A171" s="39"/>
      <c r="B171" s="25" t="s">
        <v>17</v>
      </c>
      <c r="C171" s="40"/>
      <c r="D171" s="41"/>
      <c r="E171" s="27">
        <f t="shared" si="27"/>
        <v>0</v>
      </c>
      <c r="F171" s="64"/>
      <c r="G171" s="42">
        <v>300000</v>
      </c>
      <c r="H171" s="27">
        <f t="shared" si="28"/>
        <v>2473022</v>
      </c>
      <c r="I171" s="104">
        <v>42098</v>
      </c>
    </row>
    <row r="172" spans="1:9" s="35" customFormat="1" ht="20.25" customHeight="1">
      <c r="A172" s="39">
        <v>42100</v>
      </c>
      <c r="B172" s="21" t="s">
        <v>18</v>
      </c>
      <c r="C172" s="40">
        <v>7500</v>
      </c>
      <c r="D172" s="41">
        <v>125</v>
      </c>
      <c r="E172" s="27">
        <f t="shared" ref="E172:E187" si="29">C172*D172</f>
        <v>937500</v>
      </c>
      <c r="F172" s="64"/>
      <c r="G172" s="42"/>
      <c r="H172" s="27">
        <f t="shared" ref="H172:H187" si="30">IF(B172&lt;&gt;"",H171+E172-F172-G172,0)</f>
        <v>3410522</v>
      </c>
      <c r="I172" s="104"/>
    </row>
    <row r="173" spans="1:9" s="35" customFormat="1" ht="20.25" customHeight="1">
      <c r="A173" s="39"/>
      <c r="B173" s="25" t="s">
        <v>17</v>
      </c>
      <c r="C173" s="40"/>
      <c r="D173" s="41"/>
      <c r="E173" s="27">
        <f t="shared" si="29"/>
        <v>0</v>
      </c>
      <c r="F173" s="64"/>
      <c r="G173" s="42">
        <v>200000</v>
      </c>
      <c r="H173" s="27">
        <f t="shared" si="30"/>
        <v>3210522</v>
      </c>
      <c r="I173" s="104">
        <v>42118</v>
      </c>
    </row>
    <row r="174" spans="1:9" s="35" customFormat="1" ht="20.25" customHeight="1">
      <c r="A174" s="39"/>
      <c r="B174" s="25" t="s">
        <v>17</v>
      </c>
      <c r="C174" s="40"/>
      <c r="D174" s="41"/>
      <c r="E174" s="27">
        <f t="shared" si="29"/>
        <v>0</v>
      </c>
      <c r="F174" s="64"/>
      <c r="G174" s="42">
        <v>200000</v>
      </c>
      <c r="H174" s="27">
        <f t="shared" si="30"/>
        <v>3010522</v>
      </c>
      <c r="I174" s="104">
        <v>42139</v>
      </c>
    </row>
    <row r="175" spans="1:9" s="35" customFormat="1" ht="20.25" customHeight="1">
      <c r="A175" s="39"/>
      <c r="B175" s="25" t="s">
        <v>17</v>
      </c>
      <c r="C175" s="40"/>
      <c r="D175" s="41"/>
      <c r="E175" s="27">
        <f t="shared" si="29"/>
        <v>0</v>
      </c>
      <c r="F175" s="64"/>
      <c r="G175" s="42">
        <v>250000</v>
      </c>
      <c r="H175" s="27">
        <f t="shared" si="30"/>
        <v>2760522</v>
      </c>
      <c r="I175" s="104">
        <v>42146</v>
      </c>
    </row>
    <row r="176" spans="1:9" s="35" customFormat="1" ht="20.25" customHeight="1">
      <c r="A176" s="39"/>
      <c r="B176" s="25" t="s">
        <v>17</v>
      </c>
      <c r="C176" s="40"/>
      <c r="D176" s="41"/>
      <c r="E176" s="27">
        <f t="shared" ref="E176:E186" si="31">C176*D176</f>
        <v>0</v>
      </c>
      <c r="F176" s="64"/>
      <c r="G176" s="42">
        <v>300000</v>
      </c>
      <c r="H176" s="27">
        <f t="shared" ref="H176:H186" si="32">IF(B176&lt;&gt;"",H175+E176-F176-G176,0)</f>
        <v>2460522</v>
      </c>
      <c r="I176" s="104">
        <v>42152</v>
      </c>
    </row>
    <row r="177" spans="1:9" s="35" customFormat="1" ht="20.25" customHeight="1">
      <c r="A177" s="39"/>
      <c r="B177" s="25" t="s">
        <v>17</v>
      </c>
      <c r="C177" s="40"/>
      <c r="D177" s="41"/>
      <c r="E177" s="27">
        <f t="shared" si="31"/>
        <v>0</v>
      </c>
      <c r="F177" s="64"/>
      <c r="G177" s="42">
        <v>250000</v>
      </c>
      <c r="H177" s="27">
        <f t="shared" si="32"/>
        <v>2210522</v>
      </c>
      <c r="I177" s="104">
        <v>42165</v>
      </c>
    </row>
    <row r="178" spans="1:9" s="35" customFormat="1" ht="20.25" customHeight="1">
      <c r="A178" s="39"/>
      <c r="B178" s="25" t="s">
        <v>17</v>
      </c>
      <c r="C178" s="40"/>
      <c r="D178" s="41"/>
      <c r="E178" s="27">
        <f t="shared" si="31"/>
        <v>0</v>
      </c>
      <c r="F178" s="64"/>
      <c r="G178" s="42">
        <v>300000</v>
      </c>
      <c r="H178" s="27">
        <f t="shared" si="32"/>
        <v>1910522</v>
      </c>
      <c r="I178" s="104">
        <v>42180</v>
      </c>
    </row>
    <row r="179" spans="1:9" s="35" customFormat="1" ht="20.25" customHeight="1">
      <c r="A179" s="39"/>
      <c r="B179" s="25" t="s">
        <v>17</v>
      </c>
      <c r="C179" s="40"/>
      <c r="D179" s="41"/>
      <c r="E179" s="27">
        <f t="shared" si="31"/>
        <v>0</v>
      </c>
      <c r="F179" s="64"/>
      <c r="G179" s="42">
        <v>200000</v>
      </c>
      <c r="H179" s="27">
        <f t="shared" si="32"/>
        <v>1710522</v>
      </c>
      <c r="I179" s="104">
        <v>42209</v>
      </c>
    </row>
    <row r="180" spans="1:9" s="35" customFormat="1" ht="20.25" customHeight="1">
      <c r="A180" s="39">
        <v>42176</v>
      </c>
      <c r="B180" s="21" t="s">
        <v>20</v>
      </c>
      <c r="C180" s="40">
        <v>4060</v>
      </c>
      <c r="D180" s="41">
        <v>32</v>
      </c>
      <c r="E180" s="27">
        <f t="shared" si="31"/>
        <v>129920</v>
      </c>
      <c r="F180" s="64"/>
      <c r="G180" s="42"/>
      <c r="H180" s="27">
        <f t="shared" si="32"/>
        <v>1840442</v>
      </c>
      <c r="I180" s="104"/>
    </row>
    <row r="181" spans="1:9" s="35" customFormat="1" ht="20.25" customHeight="1">
      <c r="A181" s="39"/>
      <c r="B181" s="25" t="s">
        <v>17</v>
      </c>
      <c r="C181" s="40"/>
      <c r="D181" s="41"/>
      <c r="E181" s="27">
        <f t="shared" si="31"/>
        <v>0</v>
      </c>
      <c r="F181" s="64"/>
      <c r="G181" s="42">
        <v>200000</v>
      </c>
      <c r="H181" s="27">
        <f t="shared" si="32"/>
        <v>1640442</v>
      </c>
      <c r="I181" s="104">
        <v>42229</v>
      </c>
    </row>
    <row r="182" spans="1:9" s="35" customFormat="1" ht="20.25" customHeight="1">
      <c r="A182" s="39"/>
      <c r="B182" s="21"/>
      <c r="C182" s="40"/>
      <c r="D182" s="41"/>
      <c r="E182" s="27">
        <f t="shared" si="31"/>
        <v>0</v>
      </c>
      <c r="F182" s="64"/>
      <c r="G182" s="42"/>
      <c r="H182" s="27">
        <f t="shared" si="32"/>
        <v>0</v>
      </c>
      <c r="I182" s="104"/>
    </row>
    <row r="183" spans="1:9" s="35" customFormat="1" ht="20.25" customHeight="1">
      <c r="A183" s="39"/>
      <c r="B183" s="21"/>
      <c r="C183" s="40"/>
      <c r="D183" s="41"/>
      <c r="E183" s="27">
        <f t="shared" si="31"/>
        <v>0</v>
      </c>
      <c r="F183" s="64"/>
      <c r="G183" s="42"/>
      <c r="H183" s="27">
        <f t="shared" si="32"/>
        <v>0</v>
      </c>
      <c r="I183" s="104"/>
    </row>
    <row r="184" spans="1:9" s="35" customFormat="1" ht="20.25" customHeight="1">
      <c r="A184" s="39"/>
      <c r="B184" s="21"/>
      <c r="C184" s="40"/>
      <c r="D184" s="41"/>
      <c r="E184" s="27">
        <f t="shared" si="31"/>
        <v>0</v>
      </c>
      <c r="F184" s="64"/>
      <c r="G184" s="42"/>
      <c r="H184" s="27">
        <f t="shared" si="32"/>
        <v>0</v>
      </c>
      <c r="I184" s="104"/>
    </row>
    <row r="185" spans="1:9" s="35" customFormat="1" ht="20.25" customHeight="1">
      <c r="A185" s="39"/>
      <c r="B185" s="21"/>
      <c r="C185" s="40"/>
      <c r="D185" s="41"/>
      <c r="E185" s="27">
        <f t="shared" si="31"/>
        <v>0</v>
      </c>
      <c r="F185" s="64"/>
      <c r="G185" s="42"/>
      <c r="H185" s="27">
        <f t="shared" si="32"/>
        <v>0</v>
      </c>
      <c r="I185" s="104"/>
    </row>
    <row r="186" spans="1:9" s="35" customFormat="1" ht="20.25" customHeight="1">
      <c r="A186" s="39"/>
      <c r="B186" s="21"/>
      <c r="C186" s="40"/>
      <c r="D186" s="41"/>
      <c r="E186" s="27">
        <f t="shared" si="31"/>
        <v>0</v>
      </c>
      <c r="F186" s="64"/>
      <c r="G186" s="42"/>
      <c r="H186" s="27">
        <f t="shared" si="32"/>
        <v>0</v>
      </c>
      <c r="I186" s="105"/>
    </row>
    <row r="187" spans="1:9" s="35" customFormat="1" ht="20.25" customHeight="1">
      <c r="A187" s="39"/>
      <c r="B187" s="21"/>
      <c r="C187" s="40"/>
      <c r="D187" s="41"/>
      <c r="E187" s="27">
        <f t="shared" si="29"/>
        <v>0</v>
      </c>
      <c r="F187" s="64"/>
      <c r="G187" s="42"/>
      <c r="H187" s="27">
        <f t="shared" si="30"/>
        <v>0</v>
      </c>
      <c r="I187" s="105"/>
    </row>
    <row r="188" spans="1:9" s="37" customFormat="1" ht="20.25" customHeight="1">
      <c r="A188" s="226" t="s">
        <v>14</v>
      </c>
      <c r="B188" s="226"/>
      <c r="C188" s="226"/>
      <c r="D188" s="226"/>
      <c r="E188" s="68">
        <f>SUM(E10:E187)</f>
        <v>17332086</v>
      </c>
      <c r="F188" s="68">
        <f>SUM(F10:F187)</f>
        <v>0</v>
      </c>
      <c r="G188" s="68">
        <f>SUM(G10:G187)</f>
        <v>18313698</v>
      </c>
      <c r="H188" s="68">
        <f>H10+E188-F188-G188</f>
        <v>1640442</v>
      </c>
      <c r="I188" s="106"/>
    </row>
    <row r="189" spans="1:9" ht="20.25" customHeight="1">
      <c r="G189" s="10"/>
      <c r="H189" s="7"/>
    </row>
    <row r="190" spans="1:9" s="111" customFormat="1" ht="21" customHeight="1">
      <c r="A190" s="108"/>
      <c r="B190" s="114" t="s">
        <v>99</v>
      </c>
      <c r="C190" s="109"/>
      <c r="D190" s="110"/>
      <c r="E190" s="128">
        <f>H188*1000</f>
        <v>1640442000</v>
      </c>
      <c r="F190" s="115" t="s">
        <v>88</v>
      </c>
      <c r="G190" s="115"/>
      <c r="H190" s="110"/>
      <c r="I190" s="110"/>
    </row>
    <row r="191" spans="1:9" s="111" customFormat="1" ht="21" customHeight="1">
      <c r="A191" s="108"/>
      <c r="B191" s="114" t="s">
        <v>89</v>
      </c>
      <c r="C191" s="112" t="str">
        <f>[1]!VND(E190,TRUE)</f>
        <v>Một tỷ, sáu trăm bốn mươi triệu, bốn trăm bốn mươi hai ngàn đồng</v>
      </c>
      <c r="D191" s="110"/>
      <c r="E191" s="110"/>
      <c r="F191" s="113"/>
      <c r="G191" s="110"/>
      <c r="H191" s="110"/>
      <c r="I191" s="110"/>
    </row>
    <row r="192" spans="1:9" ht="21.75" customHeight="1">
      <c r="F192" s="9"/>
      <c r="G192" s="6"/>
      <c r="H192" s="4"/>
      <c r="I192" s="4"/>
    </row>
    <row r="193" spans="1:9" ht="21.75" customHeight="1">
      <c r="A193" s="15"/>
      <c r="B193" s="14"/>
      <c r="E193" s="229"/>
      <c r="F193" s="229"/>
      <c r="G193" s="229"/>
      <c r="H193" s="229"/>
      <c r="I193" s="4"/>
    </row>
  </sheetData>
  <autoFilter ref="A9:I9"/>
  <mergeCells count="12">
    <mergeCell ref="E193:H193"/>
    <mergeCell ref="A188:D188"/>
    <mergeCell ref="C7:D7"/>
    <mergeCell ref="A7:B7"/>
    <mergeCell ref="A90:G90"/>
    <mergeCell ref="A136:I136"/>
    <mergeCell ref="A10:G10"/>
    <mergeCell ref="A1:D1"/>
    <mergeCell ref="A2:F2"/>
    <mergeCell ref="A3:B3"/>
    <mergeCell ref="C3:E3"/>
    <mergeCell ref="A5:I5"/>
  </mergeCells>
  <phoneticPr fontId="5" type="noConversion"/>
  <pageMargins left="0.16" right="0.17" top="0.16" bottom="0.17" header="0.16" footer="0.16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8" enableFormatConditionsCalculation="0">
    <tabColor theme="6"/>
  </sheetPr>
  <dimension ref="A1:H145"/>
  <sheetViews>
    <sheetView topLeftCell="A7" workbookViewId="0">
      <pane ySplit="3" topLeftCell="A110" activePane="bottomLeft" state="frozen"/>
      <selection activeCell="A184" sqref="A184"/>
      <selection pane="bottomLeft" activeCell="F123" activeCellId="1" sqref="F97:F119 F123:F136"/>
    </sheetView>
  </sheetViews>
  <sheetFormatPr defaultRowHeight="21.75" customHeight="1"/>
  <cols>
    <col min="1" max="1" width="11.5703125" style="4" customWidth="1"/>
    <col min="2" max="2" width="19.42578125" style="4" customWidth="1"/>
    <col min="3" max="3" width="12" style="5" customWidth="1"/>
    <col min="4" max="4" width="11" style="6" customWidth="1"/>
    <col min="5" max="5" width="18.42578125" style="6" customWidth="1"/>
    <col min="6" max="6" width="15.28515625" style="9" customWidth="1"/>
    <col min="7" max="7" width="17.5703125" style="6" customWidth="1"/>
    <col min="8" max="8" width="12.85546875" style="4" customWidth="1"/>
    <col min="9" max="16384" width="9.140625" style="4"/>
  </cols>
  <sheetData>
    <row r="1" spans="1:8" s="52" customFormat="1" ht="18.75" customHeight="1">
      <c r="A1" s="239" t="s">
        <v>38</v>
      </c>
      <c r="B1" s="239"/>
      <c r="C1" s="239"/>
      <c r="D1" s="239"/>
      <c r="G1" s="54"/>
      <c r="H1" s="54"/>
    </row>
    <row r="2" spans="1:8" s="52" customFormat="1" ht="18.75" customHeight="1">
      <c r="A2" s="239" t="s">
        <v>37</v>
      </c>
      <c r="B2" s="239"/>
      <c r="C2" s="239"/>
      <c r="D2" s="239"/>
      <c r="E2" s="239"/>
      <c r="F2" s="239"/>
      <c r="G2" s="54"/>
      <c r="H2" s="54"/>
    </row>
    <row r="3" spans="1:8" s="52" customFormat="1" ht="18.75" customHeight="1">
      <c r="A3" s="239" t="s">
        <v>40</v>
      </c>
      <c r="B3" s="239"/>
      <c r="C3" s="239" t="s">
        <v>41</v>
      </c>
      <c r="D3" s="239"/>
      <c r="E3" s="239"/>
      <c r="F3" s="51"/>
      <c r="G3" s="54"/>
      <c r="H3" s="54"/>
    </row>
    <row r="4" spans="1:8" ht="9.75" customHeight="1">
      <c r="C4" s="4"/>
      <c r="D4" s="4"/>
      <c r="E4" s="4"/>
      <c r="F4" s="4"/>
      <c r="H4" s="6"/>
    </row>
    <row r="5" spans="1:8" s="50" customFormat="1" ht="29.25" customHeight="1">
      <c r="A5" s="238" t="s">
        <v>39</v>
      </c>
      <c r="B5" s="238"/>
      <c r="C5" s="238"/>
      <c r="D5" s="238"/>
      <c r="E5" s="238"/>
      <c r="F5" s="238"/>
      <c r="G5" s="238"/>
      <c r="H5" s="238"/>
    </row>
    <row r="6" spans="1:8" ht="9.75" customHeight="1">
      <c r="C6" s="4"/>
      <c r="D6" s="4"/>
      <c r="E6" s="4"/>
      <c r="F6" s="4"/>
      <c r="H6" s="6"/>
    </row>
    <row r="7" spans="1:8" ht="21.75" customHeight="1">
      <c r="A7" s="231" t="s">
        <v>9</v>
      </c>
      <c r="B7" s="231"/>
      <c r="E7" s="185" t="s">
        <v>303</v>
      </c>
    </row>
    <row r="8" spans="1:8" ht="18.75" hidden="1" customHeight="1">
      <c r="G8" s="7"/>
    </row>
    <row r="9" spans="1:8" s="75" customFormat="1" ht="35.25" customHeight="1">
      <c r="A9" s="70" t="s">
        <v>0</v>
      </c>
      <c r="B9" s="70" t="s">
        <v>1</v>
      </c>
      <c r="C9" s="83" t="s">
        <v>24</v>
      </c>
      <c r="D9" s="83" t="s">
        <v>35</v>
      </c>
      <c r="E9" s="83" t="s">
        <v>75</v>
      </c>
      <c r="F9" s="72" t="s">
        <v>15</v>
      </c>
      <c r="G9" s="74" t="s">
        <v>2</v>
      </c>
      <c r="H9" s="70" t="s">
        <v>3</v>
      </c>
    </row>
    <row r="10" spans="1:8" ht="18" customHeight="1">
      <c r="A10" s="24">
        <v>41299</v>
      </c>
      <c r="B10" s="31" t="s">
        <v>32</v>
      </c>
      <c r="C10" s="26">
        <v>2010</v>
      </c>
      <c r="D10" s="27">
        <v>135</v>
      </c>
      <c r="E10" s="27">
        <f>C10*D10</f>
        <v>271350</v>
      </c>
      <c r="F10" s="29"/>
      <c r="G10" s="27">
        <f>IF(B10&lt;&gt;"",E10-F10,0)</f>
        <v>271350</v>
      </c>
      <c r="H10" s="31"/>
    </row>
    <row r="11" spans="1:8" ht="18" customHeight="1">
      <c r="A11" s="24"/>
      <c r="B11" s="31" t="s">
        <v>74</v>
      </c>
      <c r="C11" s="26">
        <f>313*15</f>
        <v>4695</v>
      </c>
      <c r="D11" s="27">
        <v>57</v>
      </c>
      <c r="E11" s="27"/>
      <c r="F11" s="29">
        <f>C11*D11</f>
        <v>267615</v>
      </c>
      <c r="G11" s="27">
        <f t="shared" ref="G11:G17" si="0">IF(B11&lt;&gt;"",G10+E11-F11,0)</f>
        <v>3735</v>
      </c>
      <c r="H11" s="31"/>
    </row>
    <row r="12" spans="1:8" ht="18" customHeight="1">
      <c r="A12" s="24">
        <v>41368</v>
      </c>
      <c r="B12" s="31" t="s">
        <v>101</v>
      </c>
      <c r="C12" s="26">
        <v>29.5</v>
      </c>
      <c r="D12" s="27">
        <v>60</v>
      </c>
      <c r="E12" s="27">
        <f t="shared" ref="E12:E17" si="1">C12*D12</f>
        <v>1770</v>
      </c>
      <c r="F12" s="29"/>
      <c r="G12" s="27">
        <f t="shared" si="0"/>
        <v>5505</v>
      </c>
      <c r="H12" s="31"/>
    </row>
    <row r="13" spans="1:8" ht="18" customHeight="1">
      <c r="A13" s="24">
        <v>41371</v>
      </c>
      <c r="B13" s="31" t="s">
        <v>101</v>
      </c>
      <c r="C13" s="26">
        <v>3000</v>
      </c>
      <c r="D13" s="27">
        <v>60</v>
      </c>
      <c r="E13" s="27">
        <f t="shared" si="1"/>
        <v>180000</v>
      </c>
      <c r="F13" s="29"/>
      <c r="G13" s="27">
        <f t="shared" si="0"/>
        <v>185505</v>
      </c>
      <c r="H13" s="31"/>
    </row>
    <row r="14" spans="1:8" ht="18" customHeight="1">
      <c r="A14" s="24"/>
      <c r="B14" s="25" t="s">
        <v>17</v>
      </c>
      <c r="C14" s="26"/>
      <c r="D14" s="27"/>
      <c r="E14" s="27">
        <f t="shared" si="1"/>
        <v>0</v>
      </c>
      <c r="F14" s="29">
        <f>G13</f>
        <v>185505</v>
      </c>
      <c r="G14" s="27">
        <f t="shared" si="0"/>
        <v>0</v>
      </c>
      <c r="H14" s="30">
        <v>41390</v>
      </c>
    </row>
    <row r="15" spans="1:8" ht="18" customHeight="1">
      <c r="A15" s="24">
        <v>41418</v>
      </c>
      <c r="B15" s="31" t="s">
        <v>101</v>
      </c>
      <c r="C15" s="26">
        <v>6734</v>
      </c>
      <c r="D15" s="27">
        <v>60</v>
      </c>
      <c r="E15" s="27">
        <f t="shared" si="1"/>
        <v>404040</v>
      </c>
      <c r="F15" s="29"/>
      <c r="G15" s="27">
        <f t="shared" si="0"/>
        <v>404040</v>
      </c>
      <c r="H15" s="31"/>
    </row>
    <row r="16" spans="1:8" ht="18" customHeight="1">
      <c r="A16" s="24"/>
      <c r="B16" s="25" t="s">
        <v>17</v>
      </c>
      <c r="C16" s="26"/>
      <c r="D16" s="27"/>
      <c r="E16" s="27">
        <f t="shared" si="1"/>
        <v>0</v>
      </c>
      <c r="F16" s="29">
        <v>100000</v>
      </c>
      <c r="G16" s="27">
        <f t="shared" si="0"/>
        <v>304040</v>
      </c>
      <c r="H16" s="30">
        <v>41425</v>
      </c>
    </row>
    <row r="17" spans="1:8" ht="18" customHeight="1">
      <c r="A17" s="24"/>
      <c r="B17" s="25" t="s">
        <v>17</v>
      </c>
      <c r="C17" s="26"/>
      <c r="D17" s="27"/>
      <c r="E17" s="27">
        <f t="shared" si="1"/>
        <v>0</v>
      </c>
      <c r="F17" s="29">
        <v>300000</v>
      </c>
      <c r="G17" s="27">
        <f t="shared" si="0"/>
        <v>4040</v>
      </c>
      <c r="H17" s="30">
        <v>41429</v>
      </c>
    </row>
    <row r="18" spans="1:8" ht="18" customHeight="1">
      <c r="A18" s="24">
        <v>41621</v>
      </c>
      <c r="B18" s="31" t="s">
        <v>101</v>
      </c>
      <c r="C18" s="26">
        <v>40</v>
      </c>
      <c r="D18" s="27">
        <v>48</v>
      </c>
      <c r="E18" s="27">
        <f t="shared" ref="E18:E23" si="2">C18*D18</f>
        <v>1920</v>
      </c>
      <c r="F18" s="29"/>
      <c r="G18" s="27">
        <f>IF(B18&lt;&gt;"",G17+E18-F18,0)</f>
        <v>5960</v>
      </c>
      <c r="H18" s="31"/>
    </row>
    <row r="19" spans="1:8" ht="18" customHeight="1">
      <c r="A19" s="24">
        <v>41622</v>
      </c>
      <c r="B19" s="31" t="s">
        <v>101</v>
      </c>
      <c r="C19" s="26">
        <v>6000</v>
      </c>
      <c r="D19" s="27">
        <v>48</v>
      </c>
      <c r="E19" s="27">
        <f t="shared" si="2"/>
        <v>288000</v>
      </c>
      <c r="F19" s="29"/>
      <c r="G19" s="27">
        <f t="shared" ref="G19:G28" si="3">IF(B19&lt;&gt;"",G18+E19-F19,0)</f>
        <v>293960</v>
      </c>
      <c r="H19" s="31"/>
    </row>
    <row r="20" spans="1:8" ht="18" customHeight="1">
      <c r="A20" s="24"/>
      <c r="B20" s="31" t="s">
        <v>18</v>
      </c>
      <c r="C20" s="26">
        <v>3507</v>
      </c>
      <c r="D20" s="27">
        <v>142</v>
      </c>
      <c r="E20" s="27">
        <f t="shared" si="2"/>
        <v>497994</v>
      </c>
      <c r="F20" s="29"/>
      <c r="G20" s="27">
        <f t="shared" si="3"/>
        <v>791954</v>
      </c>
      <c r="H20" s="31"/>
    </row>
    <row r="21" spans="1:8" ht="18" customHeight="1">
      <c r="A21" s="24">
        <v>41628</v>
      </c>
      <c r="B21" s="31" t="s">
        <v>18</v>
      </c>
      <c r="C21" s="26">
        <v>1050</v>
      </c>
      <c r="D21" s="27">
        <v>139</v>
      </c>
      <c r="E21" s="27">
        <f t="shared" si="2"/>
        <v>145950</v>
      </c>
      <c r="F21" s="29"/>
      <c r="G21" s="27">
        <f t="shared" si="3"/>
        <v>937904</v>
      </c>
      <c r="H21" s="31"/>
    </row>
    <row r="22" spans="1:8" ht="18" customHeight="1">
      <c r="A22" s="24"/>
      <c r="B22" s="31" t="s">
        <v>206</v>
      </c>
      <c r="C22" s="26">
        <v>1543</v>
      </c>
      <c r="D22" s="27">
        <v>75</v>
      </c>
      <c r="E22" s="27">
        <f t="shared" si="2"/>
        <v>115725</v>
      </c>
      <c r="F22" s="29"/>
      <c r="G22" s="27">
        <f t="shared" si="3"/>
        <v>1053629</v>
      </c>
      <c r="H22" s="31"/>
    </row>
    <row r="23" spans="1:8" ht="18" customHeight="1">
      <c r="A23" s="39"/>
      <c r="B23" s="67" t="s">
        <v>17</v>
      </c>
      <c r="C23" s="40"/>
      <c r="D23" s="41"/>
      <c r="E23" s="41">
        <f t="shared" si="2"/>
        <v>0</v>
      </c>
      <c r="F23" s="42">
        <v>200000</v>
      </c>
      <c r="G23" s="41">
        <f t="shared" si="3"/>
        <v>853629</v>
      </c>
      <c r="H23" s="47">
        <v>41635</v>
      </c>
    </row>
    <row r="24" spans="1:8" s="35" customFormat="1" ht="18" customHeight="1">
      <c r="A24" s="240" t="s">
        <v>251</v>
      </c>
      <c r="B24" s="240"/>
      <c r="C24" s="240"/>
      <c r="D24" s="240"/>
      <c r="E24" s="240"/>
      <c r="F24" s="240"/>
      <c r="G24" s="172">
        <f>G23</f>
        <v>853629</v>
      </c>
      <c r="H24" s="153"/>
    </row>
    <row r="25" spans="1:8" ht="18" customHeight="1">
      <c r="A25" s="39"/>
      <c r="B25" s="67" t="s">
        <v>17</v>
      </c>
      <c r="C25" s="40"/>
      <c r="D25" s="41"/>
      <c r="E25" s="41">
        <f t="shared" ref="E25:E41" si="4">C25*D25</f>
        <v>0</v>
      </c>
      <c r="F25" s="42">
        <v>50000</v>
      </c>
      <c r="G25" s="41">
        <f>IF(B25&lt;&gt;"",G24+E25-F25,0)</f>
        <v>803629</v>
      </c>
      <c r="H25" s="47">
        <v>41650</v>
      </c>
    </row>
    <row r="26" spans="1:8" ht="18" customHeight="1">
      <c r="A26" s="39"/>
      <c r="B26" s="67" t="s">
        <v>17</v>
      </c>
      <c r="C26" s="40"/>
      <c r="D26" s="41"/>
      <c r="E26" s="41">
        <f t="shared" si="4"/>
        <v>0</v>
      </c>
      <c r="F26" s="42">
        <v>500000</v>
      </c>
      <c r="G26" s="41">
        <f>IF(B26&lt;&gt;"",G25+E26-F26,0)</f>
        <v>303629</v>
      </c>
      <c r="H26" s="47">
        <v>41653</v>
      </c>
    </row>
    <row r="27" spans="1:8" ht="18" customHeight="1">
      <c r="A27" s="24"/>
      <c r="B27" s="67" t="s">
        <v>17</v>
      </c>
      <c r="C27" s="26"/>
      <c r="D27" s="27"/>
      <c r="E27" s="27">
        <f t="shared" si="4"/>
        <v>0</v>
      </c>
      <c r="F27" s="29">
        <v>299589</v>
      </c>
      <c r="G27" s="27">
        <f t="shared" si="3"/>
        <v>4040</v>
      </c>
      <c r="H27" s="47">
        <v>41659</v>
      </c>
    </row>
    <row r="28" spans="1:8" ht="18" customHeight="1">
      <c r="A28" s="24">
        <v>41655</v>
      </c>
      <c r="B28" s="31" t="s">
        <v>18</v>
      </c>
      <c r="C28" s="26">
        <v>1500</v>
      </c>
      <c r="D28" s="27">
        <v>140</v>
      </c>
      <c r="E28" s="27">
        <f t="shared" si="4"/>
        <v>210000</v>
      </c>
      <c r="F28" s="29"/>
      <c r="G28" s="27">
        <f t="shared" si="3"/>
        <v>214040</v>
      </c>
      <c r="H28" s="31"/>
    </row>
    <row r="29" spans="1:8" ht="18" customHeight="1">
      <c r="A29" s="24"/>
      <c r="B29" s="31" t="s">
        <v>34</v>
      </c>
      <c r="C29" s="26">
        <v>4605</v>
      </c>
      <c r="D29" s="27">
        <v>87</v>
      </c>
      <c r="E29" s="27">
        <f t="shared" si="4"/>
        <v>400635</v>
      </c>
      <c r="F29" s="29"/>
      <c r="G29" s="27">
        <f t="shared" ref="G29:G41" si="5">IF(B29&lt;&gt;"",G28+E29-F29,0)</f>
        <v>614675</v>
      </c>
      <c r="H29" s="31"/>
    </row>
    <row r="30" spans="1:8" ht="18" customHeight="1">
      <c r="A30" s="24"/>
      <c r="B30" s="31" t="s">
        <v>101</v>
      </c>
      <c r="C30" s="26">
        <v>400</v>
      </c>
      <c r="D30" s="27">
        <v>48</v>
      </c>
      <c r="E30" s="27">
        <f t="shared" si="4"/>
        <v>19200</v>
      </c>
      <c r="F30" s="29"/>
      <c r="G30" s="27">
        <f t="shared" si="5"/>
        <v>633875</v>
      </c>
      <c r="H30" s="31"/>
    </row>
    <row r="31" spans="1:8" ht="18" customHeight="1">
      <c r="A31" s="24">
        <v>41678</v>
      </c>
      <c r="B31" s="31" t="s">
        <v>18</v>
      </c>
      <c r="C31" s="26">
        <v>2700</v>
      </c>
      <c r="D31" s="27">
        <v>140</v>
      </c>
      <c r="E31" s="27">
        <f t="shared" si="4"/>
        <v>378000</v>
      </c>
      <c r="F31" s="29"/>
      <c r="G31" s="27">
        <f t="shared" si="5"/>
        <v>1011875</v>
      </c>
      <c r="H31" s="31"/>
    </row>
    <row r="32" spans="1:8" ht="18" customHeight="1">
      <c r="A32" s="24"/>
      <c r="B32" s="31" t="s">
        <v>34</v>
      </c>
      <c r="C32" s="26">
        <v>2250</v>
      </c>
      <c r="D32" s="27">
        <v>87</v>
      </c>
      <c r="E32" s="27">
        <f t="shared" si="4"/>
        <v>195750</v>
      </c>
      <c r="F32" s="29"/>
      <c r="G32" s="27">
        <f t="shared" si="5"/>
        <v>1207625</v>
      </c>
      <c r="H32" s="31"/>
    </row>
    <row r="33" spans="1:8" ht="18" customHeight="1">
      <c r="A33" s="24">
        <v>41686</v>
      </c>
      <c r="B33" s="31" t="s">
        <v>18</v>
      </c>
      <c r="C33" s="26">
        <v>30</v>
      </c>
      <c r="D33" s="27">
        <v>100</v>
      </c>
      <c r="E33" s="27">
        <f t="shared" si="4"/>
        <v>3000</v>
      </c>
      <c r="F33" s="29"/>
      <c r="G33" s="27">
        <f t="shared" si="5"/>
        <v>1210625</v>
      </c>
      <c r="H33" s="31"/>
    </row>
    <row r="34" spans="1:8" ht="18" customHeight="1">
      <c r="A34" s="24">
        <v>41687</v>
      </c>
      <c r="B34" s="31" t="s">
        <v>34</v>
      </c>
      <c r="C34" s="26">
        <v>15</v>
      </c>
      <c r="D34" s="27">
        <v>87</v>
      </c>
      <c r="E34" s="27">
        <f t="shared" si="4"/>
        <v>1305</v>
      </c>
      <c r="F34" s="29"/>
      <c r="G34" s="27">
        <f t="shared" si="5"/>
        <v>1211930</v>
      </c>
      <c r="H34" s="31"/>
    </row>
    <row r="35" spans="1:8" ht="18" customHeight="1">
      <c r="A35" s="24"/>
      <c r="B35" s="31" t="s">
        <v>187</v>
      </c>
      <c r="C35" s="26">
        <v>1980</v>
      </c>
      <c r="D35" s="27">
        <v>100</v>
      </c>
      <c r="E35" s="27">
        <f t="shared" si="4"/>
        <v>198000</v>
      </c>
      <c r="F35" s="29"/>
      <c r="G35" s="27">
        <f t="shared" si="5"/>
        <v>1409930</v>
      </c>
      <c r="H35" s="31"/>
    </row>
    <row r="36" spans="1:8" ht="18" customHeight="1">
      <c r="A36" s="24"/>
      <c r="B36" s="31" t="s">
        <v>187</v>
      </c>
      <c r="C36" s="26">
        <v>1005</v>
      </c>
      <c r="D36" s="27">
        <v>90</v>
      </c>
      <c r="E36" s="27">
        <f t="shared" si="4"/>
        <v>90450</v>
      </c>
      <c r="F36" s="29"/>
      <c r="G36" s="27">
        <f t="shared" si="5"/>
        <v>1500380</v>
      </c>
      <c r="H36" s="31"/>
    </row>
    <row r="37" spans="1:8" ht="18" customHeight="1">
      <c r="A37" s="39"/>
      <c r="B37" s="67" t="s">
        <v>17</v>
      </c>
      <c r="C37" s="40"/>
      <c r="D37" s="41"/>
      <c r="E37" s="41">
        <f t="shared" si="4"/>
        <v>0</v>
      </c>
      <c r="F37" s="42">
        <v>300000</v>
      </c>
      <c r="G37" s="41">
        <f t="shared" si="5"/>
        <v>1200380</v>
      </c>
      <c r="H37" s="47">
        <v>41682</v>
      </c>
    </row>
    <row r="38" spans="1:8" ht="18" customHeight="1">
      <c r="A38" s="39"/>
      <c r="B38" s="67" t="s">
        <v>17</v>
      </c>
      <c r="C38" s="40"/>
      <c r="D38" s="41"/>
      <c r="E38" s="41">
        <f t="shared" si="4"/>
        <v>0</v>
      </c>
      <c r="F38" s="42">
        <v>200000</v>
      </c>
      <c r="G38" s="41">
        <f t="shared" si="5"/>
        <v>1000380</v>
      </c>
      <c r="H38" s="47">
        <v>41694</v>
      </c>
    </row>
    <row r="39" spans="1:8" ht="18" customHeight="1">
      <c r="A39" s="39"/>
      <c r="B39" s="67" t="s">
        <v>17</v>
      </c>
      <c r="C39" s="40"/>
      <c r="D39" s="41"/>
      <c r="E39" s="41">
        <f t="shared" si="4"/>
        <v>0</v>
      </c>
      <c r="F39" s="42">
        <v>300000</v>
      </c>
      <c r="G39" s="41">
        <f t="shared" si="5"/>
        <v>700380</v>
      </c>
      <c r="H39" s="47">
        <v>41713</v>
      </c>
    </row>
    <row r="40" spans="1:8" ht="18" customHeight="1">
      <c r="A40" s="39"/>
      <c r="B40" s="67" t="s">
        <v>17</v>
      </c>
      <c r="C40" s="40"/>
      <c r="D40" s="41"/>
      <c r="E40" s="41">
        <f t="shared" si="4"/>
        <v>0</v>
      </c>
      <c r="F40" s="42">
        <v>200000</v>
      </c>
      <c r="G40" s="41">
        <f t="shared" si="5"/>
        <v>500380</v>
      </c>
      <c r="H40" s="47">
        <v>41724</v>
      </c>
    </row>
    <row r="41" spans="1:8" ht="18" customHeight="1">
      <c r="A41" s="24"/>
      <c r="B41" s="67" t="s">
        <v>17</v>
      </c>
      <c r="C41" s="26"/>
      <c r="D41" s="27"/>
      <c r="E41" s="27">
        <f t="shared" si="4"/>
        <v>0</v>
      </c>
      <c r="F41" s="42">
        <v>300000</v>
      </c>
      <c r="G41" s="27">
        <f t="shared" si="5"/>
        <v>200380</v>
      </c>
      <c r="H41" s="47">
        <v>41734</v>
      </c>
    </row>
    <row r="42" spans="1:8" ht="18" customHeight="1">
      <c r="A42" s="24">
        <v>41725</v>
      </c>
      <c r="B42" s="31" t="s">
        <v>181</v>
      </c>
      <c r="C42" s="26">
        <v>3225</v>
      </c>
      <c r="D42" s="27">
        <v>145</v>
      </c>
      <c r="E42" s="27">
        <f t="shared" ref="E42:E48" si="6">C42*D42</f>
        <v>467625</v>
      </c>
      <c r="F42" s="29"/>
      <c r="G42" s="27">
        <f t="shared" ref="G42:G55" si="7">IF(B42&lt;&gt;"",G41+E42-F42,0)</f>
        <v>668005</v>
      </c>
      <c r="H42" s="47"/>
    </row>
    <row r="43" spans="1:8" ht="18" customHeight="1">
      <c r="A43" s="24"/>
      <c r="B43" s="67" t="s">
        <v>17</v>
      </c>
      <c r="C43" s="26"/>
      <c r="D43" s="27"/>
      <c r="E43" s="27">
        <f t="shared" si="6"/>
        <v>0</v>
      </c>
      <c r="F43" s="42">
        <v>300000</v>
      </c>
      <c r="G43" s="27">
        <f>IF(B43&lt;&gt;"",G42+E43-F43,0)</f>
        <v>368005</v>
      </c>
      <c r="H43" s="47">
        <v>41747</v>
      </c>
    </row>
    <row r="44" spans="1:8" ht="18" customHeight="1">
      <c r="A44" s="24"/>
      <c r="B44" s="67" t="s">
        <v>17</v>
      </c>
      <c r="C44" s="26"/>
      <c r="D44" s="27"/>
      <c r="E44" s="27">
        <f t="shared" si="6"/>
        <v>0</v>
      </c>
      <c r="F44" s="29">
        <v>150000</v>
      </c>
      <c r="G44" s="27">
        <f>IF(B44&lt;&gt;"",G43+E44-F44,0)</f>
        <v>218005</v>
      </c>
      <c r="H44" s="47">
        <v>41766</v>
      </c>
    </row>
    <row r="45" spans="1:8" ht="18" customHeight="1">
      <c r="A45" s="24">
        <v>41776</v>
      </c>
      <c r="B45" s="31" t="s">
        <v>265</v>
      </c>
      <c r="C45" s="26">
        <v>420</v>
      </c>
      <c r="D45" s="27">
        <v>40</v>
      </c>
      <c r="E45" s="27">
        <f t="shared" si="6"/>
        <v>16800</v>
      </c>
      <c r="F45" s="29"/>
      <c r="G45" s="27">
        <f t="shared" si="7"/>
        <v>234805</v>
      </c>
      <c r="H45" s="31"/>
    </row>
    <row r="46" spans="1:8" ht="18" customHeight="1">
      <c r="A46" s="24"/>
      <c r="B46" s="31" t="s">
        <v>164</v>
      </c>
      <c r="C46" s="26">
        <v>195</v>
      </c>
      <c r="D46" s="27">
        <v>47</v>
      </c>
      <c r="E46" s="27">
        <f t="shared" si="6"/>
        <v>9165</v>
      </c>
      <c r="F46" s="29"/>
      <c r="G46" s="27">
        <f t="shared" si="7"/>
        <v>243970</v>
      </c>
      <c r="H46" s="31"/>
    </row>
    <row r="47" spans="1:8" ht="18" customHeight="1">
      <c r="A47" s="24">
        <v>41778</v>
      </c>
      <c r="B47" s="31" t="s">
        <v>164</v>
      </c>
      <c r="C47" s="26">
        <v>185</v>
      </c>
      <c r="D47" s="27">
        <v>47</v>
      </c>
      <c r="E47" s="27">
        <f t="shared" si="6"/>
        <v>8695</v>
      </c>
      <c r="F47" s="29"/>
      <c r="G47" s="27">
        <f t="shared" si="7"/>
        <v>252665</v>
      </c>
      <c r="H47" s="31"/>
    </row>
    <row r="48" spans="1:8" ht="18" customHeight="1">
      <c r="A48" s="24">
        <v>41780</v>
      </c>
      <c r="B48" s="31" t="s">
        <v>164</v>
      </c>
      <c r="C48" s="26">
        <v>307</v>
      </c>
      <c r="D48" s="27">
        <v>47</v>
      </c>
      <c r="E48" s="27">
        <f t="shared" si="6"/>
        <v>14429</v>
      </c>
      <c r="F48" s="29"/>
      <c r="G48" s="27">
        <f t="shared" si="7"/>
        <v>267094</v>
      </c>
      <c r="H48" s="31"/>
    </row>
    <row r="49" spans="1:8" ht="18" customHeight="1">
      <c r="A49" s="24">
        <v>41774</v>
      </c>
      <c r="B49" s="31" t="s">
        <v>266</v>
      </c>
      <c r="C49" s="26">
        <f>108*15</f>
        <v>1620</v>
      </c>
      <c r="D49" s="27">
        <v>60</v>
      </c>
      <c r="E49" s="27"/>
      <c r="F49" s="29">
        <f>C49*D49</f>
        <v>97200</v>
      </c>
      <c r="G49" s="27">
        <f t="shared" si="7"/>
        <v>169894</v>
      </c>
      <c r="H49" s="31"/>
    </row>
    <row r="50" spans="1:8" ht="18" customHeight="1">
      <c r="A50" s="24"/>
      <c r="B50" s="31" t="s">
        <v>267</v>
      </c>
      <c r="C50" s="26">
        <f>5*15</f>
        <v>75</v>
      </c>
      <c r="D50" s="27">
        <v>70</v>
      </c>
      <c r="E50" s="27"/>
      <c r="F50" s="29">
        <f>C50*D50</f>
        <v>5250</v>
      </c>
      <c r="G50" s="27">
        <f t="shared" si="7"/>
        <v>164644</v>
      </c>
      <c r="H50" s="31"/>
    </row>
    <row r="51" spans="1:8" ht="18" customHeight="1">
      <c r="A51" s="24"/>
      <c r="B51" s="31" t="s">
        <v>268</v>
      </c>
      <c r="C51" s="26">
        <f>2*15</f>
        <v>30</v>
      </c>
      <c r="D51" s="27">
        <v>90</v>
      </c>
      <c r="E51" s="27"/>
      <c r="F51" s="29">
        <f>C51*D51</f>
        <v>2700</v>
      </c>
      <c r="G51" s="27">
        <f t="shared" si="7"/>
        <v>161944</v>
      </c>
      <c r="H51" s="31"/>
    </row>
    <row r="52" spans="1:8" ht="18" customHeight="1">
      <c r="A52" s="24"/>
      <c r="B52" s="67" t="s">
        <v>17</v>
      </c>
      <c r="C52" s="26"/>
      <c r="D52" s="27"/>
      <c r="E52" s="27">
        <f t="shared" ref="E52:E66" si="8">C52*D52</f>
        <v>0</v>
      </c>
      <c r="F52" s="29">
        <v>157904</v>
      </c>
      <c r="G52" s="27">
        <f>IF(B52&lt;&gt;"",G51+E52-F52,0)</f>
        <v>4040</v>
      </c>
      <c r="H52" s="47">
        <v>41780</v>
      </c>
    </row>
    <row r="53" spans="1:8" ht="18" customHeight="1">
      <c r="A53" s="24">
        <v>41628</v>
      </c>
      <c r="B53" s="31" t="s">
        <v>101</v>
      </c>
      <c r="C53" s="26">
        <f>5*15</f>
        <v>75</v>
      </c>
      <c r="D53" s="27">
        <v>75</v>
      </c>
      <c r="E53" s="27">
        <f t="shared" si="8"/>
        <v>5625</v>
      </c>
      <c r="F53" s="29"/>
      <c r="G53" s="27">
        <f t="shared" si="7"/>
        <v>9665</v>
      </c>
      <c r="H53" s="31"/>
    </row>
    <row r="54" spans="1:8" ht="18" customHeight="1">
      <c r="A54" s="24">
        <v>41782</v>
      </c>
      <c r="B54" s="31" t="s">
        <v>164</v>
      </c>
      <c r="C54" s="26">
        <v>385</v>
      </c>
      <c r="D54" s="27">
        <v>47</v>
      </c>
      <c r="E54" s="27">
        <f t="shared" si="8"/>
        <v>18095</v>
      </c>
      <c r="F54" s="29"/>
      <c r="G54" s="27">
        <f t="shared" si="7"/>
        <v>27760</v>
      </c>
      <c r="H54" s="31"/>
    </row>
    <row r="55" spans="1:8" ht="18" customHeight="1">
      <c r="A55" s="24">
        <v>41785</v>
      </c>
      <c r="B55" s="31" t="s">
        <v>164</v>
      </c>
      <c r="C55" s="26">
        <v>220</v>
      </c>
      <c r="D55" s="27">
        <v>46</v>
      </c>
      <c r="E55" s="27">
        <f t="shared" si="8"/>
        <v>10120</v>
      </c>
      <c r="F55" s="29"/>
      <c r="G55" s="27">
        <f t="shared" si="7"/>
        <v>37880</v>
      </c>
      <c r="H55" s="31"/>
    </row>
    <row r="56" spans="1:8" ht="18" customHeight="1">
      <c r="A56" s="24">
        <v>41787</v>
      </c>
      <c r="B56" s="31" t="s">
        <v>164</v>
      </c>
      <c r="C56" s="26">
        <v>545</v>
      </c>
      <c r="D56" s="27">
        <v>46</v>
      </c>
      <c r="E56" s="27">
        <f t="shared" si="8"/>
        <v>25070</v>
      </c>
      <c r="F56" s="29"/>
      <c r="G56" s="27">
        <f t="shared" ref="G56:G66" si="9">IF(B56&lt;&gt;"",G55+E56-F56,0)</f>
        <v>62950</v>
      </c>
      <c r="H56" s="31"/>
    </row>
    <row r="57" spans="1:8" ht="18" customHeight="1">
      <c r="A57" s="24">
        <v>41788</v>
      </c>
      <c r="B57" s="31" t="s">
        <v>164</v>
      </c>
      <c r="C57" s="26">
        <v>315</v>
      </c>
      <c r="D57" s="27">
        <v>46</v>
      </c>
      <c r="E57" s="27">
        <f t="shared" si="8"/>
        <v>14490</v>
      </c>
      <c r="F57" s="29"/>
      <c r="G57" s="27">
        <f t="shared" si="9"/>
        <v>77440</v>
      </c>
      <c r="H57" s="31"/>
    </row>
    <row r="58" spans="1:8" ht="18" customHeight="1">
      <c r="A58" s="24">
        <v>41789</v>
      </c>
      <c r="B58" s="31" t="s">
        <v>164</v>
      </c>
      <c r="C58" s="26">
        <v>450</v>
      </c>
      <c r="D58" s="27">
        <v>46</v>
      </c>
      <c r="E58" s="27">
        <f t="shared" si="8"/>
        <v>20700</v>
      </c>
      <c r="F58" s="29"/>
      <c r="G58" s="27">
        <f t="shared" si="9"/>
        <v>98140</v>
      </c>
      <c r="H58" s="31"/>
    </row>
    <row r="59" spans="1:8" ht="18" customHeight="1">
      <c r="A59" s="24">
        <v>41790</v>
      </c>
      <c r="B59" s="31" t="s">
        <v>164</v>
      </c>
      <c r="C59" s="26">
        <v>335</v>
      </c>
      <c r="D59" s="27">
        <v>46</v>
      </c>
      <c r="E59" s="27">
        <f t="shared" si="8"/>
        <v>15410</v>
      </c>
      <c r="F59" s="29"/>
      <c r="G59" s="27">
        <f t="shared" si="9"/>
        <v>113550</v>
      </c>
      <c r="H59" s="31"/>
    </row>
    <row r="60" spans="1:8" ht="18" customHeight="1">
      <c r="A60" s="24">
        <v>41792</v>
      </c>
      <c r="B60" s="31" t="s">
        <v>164</v>
      </c>
      <c r="C60" s="26">
        <v>270</v>
      </c>
      <c r="D60" s="27">
        <v>45</v>
      </c>
      <c r="E60" s="27">
        <f t="shared" si="8"/>
        <v>12150</v>
      </c>
      <c r="F60" s="29"/>
      <c r="G60" s="27">
        <f t="shared" si="9"/>
        <v>125700</v>
      </c>
      <c r="H60" s="31"/>
    </row>
    <row r="61" spans="1:8" ht="18" customHeight="1">
      <c r="A61" s="24"/>
      <c r="B61" s="31" t="s">
        <v>186</v>
      </c>
      <c r="C61" s="26">
        <v>25</v>
      </c>
      <c r="D61" s="27">
        <v>32</v>
      </c>
      <c r="E61" s="27">
        <f t="shared" si="8"/>
        <v>800</v>
      </c>
      <c r="F61" s="29"/>
      <c r="G61" s="27">
        <f t="shared" si="9"/>
        <v>126500</v>
      </c>
      <c r="H61" s="31"/>
    </row>
    <row r="62" spans="1:8" ht="18" customHeight="1">
      <c r="A62" s="24"/>
      <c r="B62" s="67" t="s">
        <v>17</v>
      </c>
      <c r="C62" s="26"/>
      <c r="D62" s="27"/>
      <c r="E62" s="27">
        <f t="shared" si="8"/>
        <v>0</v>
      </c>
      <c r="F62" s="29">
        <v>116915</v>
      </c>
      <c r="G62" s="27">
        <f t="shared" si="9"/>
        <v>9585</v>
      </c>
      <c r="H62" s="47">
        <v>41803</v>
      </c>
    </row>
    <row r="63" spans="1:8" ht="18" customHeight="1">
      <c r="A63" s="24">
        <v>41809</v>
      </c>
      <c r="B63" s="31" t="s">
        <v>23</v>
      </c>
      <c r="C63" s="26">
        <v>750</v>
      </c>
      <c r="D63" s="27">
        <v>110</v>
      </c>
      <c r="E63" s="27">
        <f t="shared" si="8"/>
        <v>82500</v>
      </c>
      <c r="F63" s="29"/>
      <c r="G63" s="27">
        <f t="shared" si="9"/>
        <v>92085</v>
      </c>
      <c r="H63" s="31"/>
    </row>
    <row r="64" spans="1:8" ht="18" customHeight="1">
      <c r="A64" s="24"/>
      <c r="B64" s="31" t="s">
        <v>270</v>
      </c>
      <c r="C64" s="26">
        <v>418</v>
      </c>
      <c r="D64" s="27">
        <v>85</v>
      </c>
      <c r="E64" s="27">
        <f t="shared" si="8"/>
        <v>35530</v>
      </c>
      <c r="F64" s="29"/>
      <c r="G64" s="27">
        <f t="shared" si="9"/>
        <v>127615</v>
      </c>
      <c r="H64" s="31"/>
    </row>
    <row r="65" spans="1:8" ht="18" customHeight="1">
      <c r="A65" s="24">
        <v>41817</v>
      </c>
      <c r="B65" s="31" t="s">
        <v>33</v>
      </c>
      <c r="C65" s="26">
        <v>435</v>
      </c>
      <c r="D65" s="27">
        <v>90</v>
      </c>
      <c r="E65" s="27">
        <f t="shared" si="8"/>
        <v>39150</v>
      </c>
      <c r="F65" s="29"/>
      <c r="G65" s="27">
        <f t="shared" si="9"/>
        <v>166765</v>
      </c>
      <c r="H65" s="31"/>
    </row>
    <row r="66" spans="1:8" ht="18" customHeight="1">
      <c r="A66" s="24">
        <v>41818</v>
      </c>
      <c r="B66" s="31" t="s">
        <v>33</v>
      </c>
      <c r="C66" s="26">
        <v>1410</v>
      </c>
      <c r="D66" s="27">
        <v>90</v>
      </c>
      <c r="E66" s="27">
        <f t="shared" si="8"/>
        <v>126900</v>
      </c>
      <c r="F66" s="29"/>
      <c r="G66" s="27">
        <f t="shared" si="9"/>
        <v>293665</v>
      </c>
      <c r="H66" s="31"/>
    </row>
    <row r="67" spans="1:8" ht="18" customHeight="1">
      <c r="A67" s="24"/>
      <c r="B67" s="31" t="s">
        <v>124</v>
      </c>
      <c r="C67" s="26">
        <v>39.799999999999997</v>
      </c>
      <c r="D67" s="27">
        <v>40</v>
      </c>
      <c r="E67" s="27">
        <f t="shared" ref="E67:E97" si="10">C67*D67</f>
        <v>1592</v>
      </c>
      <c r="F67" s="29"/>
      <c r="G67" s="27">
        <f t="shared" ref="G67:G98" si="11">IF(B67&lt;&gt;"",G66+E67-F67,0)</f>
        <v>295257</v>
      </c>
      <c r="H67" s="31"/>
    </row>
    <row r="68" spans="1:8" ht="18" customHeight="1">
      <c r="A68" s="24">
        <v>41821</v>
      </c>
      <c r="B68" s="31" t="s">
        <v>33</v>
      </c>
      <c r="C68" s="26">
        <v>840</v>
      </c>
      <c r="D68" s="27">
        <v>88</v>
      </c>
      <c r="E68" s="27">
        <f t="shared" si="10"/>
        <v>73920</v>
      </c>
      <c r="F68" s="29"/>
      <c r="G68" s="27">
        <f t="shared" si="11"/>
        <v>369177</v>
      </c>
      <c r="H68" s="31"/>
    </row>
    <row r="69" spans="1:8" ht="18" customHeight="1">
      <c r="A69" s="24"/>
      <c r="B69" s="31" t="s">
        <v>276</v>
      </c>
      <c r="C69" s="26">
        <v>757</v>
      </c>
      <c r="D69" s="27">
        <v>9</v>
      </c>
      <c r="E69" s="27">
        <f t="shared" si="10"/>
        <v>6813</v>
      </c>
      <c r="F69" s="29"/>
      <c r="G69" s="27">
        <f t="shared" si="11"/>
        <v>375990</v>
      </c>
      <c r="H69" s="31"/>
    </row>
    <row r="70" spans="1:8" ht="18" customHeight="1">
      <c r="A70" s="24">
        <v>41822</v>
      </c>
      <c r="B70" s="31" t="s">
        <v>33</v>
      </c>
      <c r="C70" s="26">
        <v>795</v>
      </c>
      <c r="D70" s="27">
        <v>88</v>
      </c>
      <c r="E70" s="27">
        <f t="shared" si="10"/>
        <v>69960</v>
      </c>
      <c r="F70" s="29"/>
      <c r="G70" s="27">
        <f t="shared" si="11"/>
        <v>445950</v>
      </c>
      <c r="H70" s="31"/>
    </row>
    <row r="71" spans="1:8" ht="18" customHeight="1">
      <c r="A71" s="24"/>
      <c r="B71" s="31" t="s">
        <v>206</v>
      </c>
      <c r="C71" s="26">
        <v>13</v>
      </c>
      <c r="D71" s="27">
        <v>50</v>
      </c>
      <c r="E71" s="27">
        <f t="shared" si="10"/>
        <v>650</v>
      </c>
      <c r="F71" s="29"/>
      <c r="G71" s="27">
        <f t="shared" si="11"/>
        <v>446600</v>
      </c>
      <c r="H71" s="31"/>
    </row>
    <row r="72" spans="1:8" ht="18" customHeight="1">
      <c r="A72" s="24"/>
      <c r="B72" s="31" t="s">
        <v>276</v>
      </c>
      <c r="C72" s="26">
        <v>41</v>
      </c>
      <c r="D72" s="27">
        <v>9</v>
      </c>
      <c r="E72" s="27">
        <f t="shared" si="10"/>
        <v>369</v>
      </c>
      <c r="F72" s="29"/>
      <c r="G72" s="27">
        <f t="shared" si="11"/>
        <v>446969</v>
      </c>
      <c r="H72" s="31"/>
    </row>
    <row r="73" spans="1:8" ht="18" customHeight="1">
      <c r="A73" s="24">
        <v>41824</v>
      </c>
      <c r="B73" s="31" t="s">
        <v>33</v>
      </c>
      <c r="C73" s="26">
        <v>778</v>
      </c>
      <c r="D73" s="27">
        <v>90</v>
      </c>
      <c r="E73" s="27">
        <f t="shared" si="10"/>
        <v>70020</v>
      </c>
      <c r="F73" s="29"/>
      <c r="G73" s="27">
        <f t="shared" si="11"/>
        <v>516989</v>
      </c>
      <c r="H73" s="31"/>
    </row>
    <row r="74" spans="1:8" ht="18" customHeight="1">
      <c r="A74" s="24"/>
      <c r="B74" s="31" t="s">
        <v>124</v>
      </c>
      <c r="C74" s="26">
        <v>2830</v>
      </c>
      <c r="D74" s="27">
        <v>40</v>
      </c>
      <c r="E74" s="27">
        <f t="shared" si="10"/>
        <v>113200</v>
      </c>
      <c r="F74" s="29"/>
      <c r="G74" s="27">
        <f t="shared" si="11"/>
        <v>630189</v>
      </c>
      <c r="H74" s="31"/>
    </row>
    <row r="75" spans="1:8" ht="18" customHeight="1">
      <c r="A75" s="24">
        <v>41825</v>
      </c>
      <c r="B75" s="31" t="s">
        <v>33</v>
      </c>
      <c r="C75" s="26">
        <v>1080</v>
      </c>
      <c r="D75" s="27">
        <v>90</v>
      </c>
      <c r="E75" s="27">
        <f t="shared" si="10"/>
        <v>97200</v>
      </c>
      <c r="F75" s="29"/>
      <c r="G75" s="27">
        <f t="shared" si="11"/>
        <v>727389</v>
      </c>
      <c r="H75" s="31"/>
    </row>
    <row r="76" spans="1:8" ht="18" customHeight="1">
      <c r="A76" s="24"/>
      <c r="B76" s="31" t="s">
        <v>206</v>
      </c>
      <c r="C76" s="26">
        <v>2860</v>
      </c>
      <c r="D76" s="27">
        <v>50</v>
      </c>
      <c r="E76" s="27">
        <f t="shared" si="10"/>
        <v>143000</v>
      </c>
      <c r="F76" s="29"/>
      <c r="G76" s="27">
        <f t="shared" si="11"/>
        <v>870389</v>
      </c>
      <c r="H76" s="31"/>
    </row>
    <row r="77" spans="1:8" ht="18" customHeight="1">
      <c r="A77" s="24">
        <v>41834</v>
      </c>
      <c r="B77" s="31" t="s">
        <v>276</v>
      </c>
      <c r="C77" s="26">
        <v>745</v>
      </c>
      <c r="D77" s="27">
        <v>9</v>
      </c>
      <c r="E77" s="27">
        <f t="shared" si="10"/>
        <v>6705</v>
      </c>
      <c r="F77" s="29"/>
      <c r="G77" s="27">
        <f t="shared" si="11"/>
        <v>877094</v>
      </c>
      <c r="H77" s="31"/>
    </row>
    <row r="78" spans="1:8" ht="18" customHeight="1">
      <c r="A78" s="24">
        <v>41860</v>
      </c>
      <c r="B78" s="31" t="s">
        <v>18</v>
      </c>
      <c r="C78" s="26">
        <v>300</v>
      </c>
      <c r="D78" s="27">
        <v>150</v>
      </c>
      <c r="E78" s="27">
        <f t="shared" si="10"/>
        <v>45000</v>
      </c>
      <c r="F78" s="29"/>
      <c r="G78" s="27">
        <f t="shared" si="11"/>
        <v>922094</v>
      </c>
      <c r="H78" s="31"/>
    </row>
    <row r="79" spans="1:8" ht="18" customHeight="1">
      <c r="A79" s="24"/>
      <c r="B79" s="67" t="s">
        <v>17</v>
      </c>
      <c r="C79" s="26"/>
      <c r="D79" s="27"/>
      <c r="E79" s="27">
        <f t="shared" si="10"/>
        <v>0</v>
      </c>
      <c r="F79" s="29">
        <v>200000</v>
      </c>
      <c r="G79" s="27">
        <f t="shared" si="11"/>
        <v>722094</v>
      </c>
      <c r="H79" s="47">
        <v>41829</v>
      </c>
    </row>
    <row r="80" spans="1:8" ht="18" customHeight="1">
      <c r="A80" s="24"/>
      <c r="B80" s="67" t="s">
        <v>17</v>
      </c>
      <c r="C80" s="26"/>
      <c r="D80" s="27"/>
      <c r="E80" s="27">
        <f>C80*D80</f>
        <v>0</v>
      </c>
      <c r="F80" s="29">
        <v>100000</v>
      </c>
      <c r="G80" s="27">
        <f>IF(B80&lt;&gt;"",G79+E80-F80,0)</f>
        <v>622094</v>
      </c>
      <c r="H80" s="47">
        <v>41858</v>
      </c>
    </row>
    <row r="81" spans="1:8" ht="18" customHeight="1">
      <c r="A81" s="24"/>
      <c r="B81" s="67" t="s">
        <v>17</v>
      </c>
      <c r="C81" s="26"/>
      <c r="D81" s="27"/>
      <c r="E81" s="27">
        <f>C81*D81</f>
        <v>0</v>
      </c>
      <c r="F81" s="29">
        <v>100000</v>
      </c>
      <c r="G81" s="27">
        <f>IF(B81&lt;&gt;"",G80+E81-F81,0)</f>
        <v>522094</v>
      </c>
      <c r="H81" s="47">
        <v>41877</v>
      </c>
    </row>
    <row r="82" spans="1:8" ht="18" customHeight="1">
      <c r="A82" s="24"/>
      <c r="B82" s="67" t="s">
        <v>278</v>
      </c>
      <c r="C82" s="26">
        <v>1209</v>
      </c>
      <c r="D82" s="27">
        <v>50</v>
      </c>
      <c r="E82" s="27"/>
      <c r="F82" s="29">
        <f>C82*D82</f>
        <v>60450</v>
      </c>
      <c r="G82" s="27">
        <f>IF(B82&lt;&gt;"",G81+E82-F82,0)</f>
        <v>461644</v>
      </c>
      <c r="H82" s="47">
        <v>41872</v>
      </c>
    </row>
    <row r="83" spans="1:8" ht="18" customHeight="1">
      <c r="A83" s="24"/>
      <c r="B83" s="67" t="s">
        <v>17</v>
      </c>
      <c r="C83" s="26"/>
      <c r="D83" s="27"/>
      <c r="E83" s="27">
        <f>C83*D83</f>
        <v>0</v>
      </c>
      <c r="F83" s="29">
        <v>100000</v>
      </c>
      <c r="G83" s="27">
        <f>IF(B83&lt;&gt;"",G82+E83-F83,0)</f>
        <v>361644</v>
      </c>
      <c r="H83" s="47">
        <v>41894</v>
      </c>
    </row>
    <row r="84" spans="1:8" ht="18" customHeight="1">
      <c r="A84" s="24"/>
      <c r="B84" s="67" t="s">
        <v>17</v>
      </c>
      <c r="C84" s="26"/>
      <c r="D84" s="27"/>
      <c r="E84" s="27">
        <f>C84*D84</f>
        <v>0</v>
      </c>
      <c r="F84" s="29">
        <v>200000</v>
      </c>
      <c r="G84" s="27">
        <f>IF(B84&lt;&gt;"",G83+E84-F84,0)</f>
        <v>161644</v>
      </c>
      <c r="H84" s="47">
        <v>41907</v>
      </c>
    </row>
    <row r="85" spans="1:8" ht="18" customHeight="1">
      <c r="A85" s="24">
        <v>41894</v>
      </c>
      <c r="B85" s="31" t="s">
        <v>34</v>
      </c>
      <c r="C85" s="26">
        <v>3900</v>
      </c>
      <c r="D85" s="27">
        <v>105</v>
      </c>
      <c r="E85" s="27">
        <f t="shared" si="10"/>
        <v>409500</v>
      </c>
      <c r="F85" s="29"/>
      <c r="G85" s="27">
        <f t="shared" si="11"/>
        <v>571144</v>
      </c>
      <c r="H85" s="31"/>
    </row>
    <row r="86" spans="1:8" ht="18" customHeight="1">
      <c r="A86" s="24"/>
      <c r="B86" s="31" t="s">
        <v>34</v>
      </c>
      <c r="C86" s="26">
        <v>3000</v>
      </c>
      <c r="D86" s="27">
        <v>100</v>
      </c>
      <c r="E86" s="27">
        <f t="shared" si="10"/>
        <v>300000</v>
      </c>
      <c r="F86" s="29"/>
      <c r="G86" s="27">
        <f t="shared" si="11"/>
        <v>871144</v>
      </c>
      <c r="H86" s="31"/>
    </row>
    <row r="87" spans="1:8" ht="18" customHeight="1">
      <c r="A87" s="24"/>
      <c r="B87" s="67" t="s">
        <v>74</v>
      </c>
      <c r="C87" s="26">
        <v>145</v>
      </c>
      <c r="D87" s="27">
        <v>50</v>
      </c>
      <c r="E87" s="27"/>
      <c r="F87" s="29">
        <f>C87*D87</f>
        <v>7250</v>
      </c>
      <c r="G87" s="27">
        <f>IF(B87&lt;&gt;"",G86+E87-F87,0)</f>
        <v>863894</v>
      </c>
      <c r="H87" s="47">
        <v>41894</v>
      </c>
    </row>
    <row r="88" spans="1:8" ht="18" customHeight="1">
      <c r="A88" s="24">
        <v>41897</v>
      </c>
      <c r="B88" s="31" t="s">
        <v>279</v>
      </c>
      <c r="C88" s="26">
        <v>29.8</v>
      </c>
      <c r="D88" s="27">
        <v>47</v>
      </c>
      <c r="E88" s="27">
        <f t="shared" si="10"/>
        <v>1400.6000000000001</v>
      </c>
      <c r="F88" s="29"/>
      <c r="G88" s="27">
        <f t="shared" si="11"/>
        <v>865294.6</v>
      </c>
      <c r="H88" s="31"/>
    </row>
    <row r="89" spans="1:8" ht="18" customHeight="1">
      <c r="A89" s="24">
        <v>41899</v>
      </c>
      <c r="B89" s="31" t="s">
        <v>279</v>
      </c>
      <c r="C89" s="26">
        <v>5066</v>
      </c>
      <c r="D89" s="27">
        <v>47</v>
      </c>
      <c r="E89" s="27">
        <f t="shared" si="10"/>
        <v>238102</v>
      </c>
      <c r="F89" s="29"/>
      <c r="G89" s="27">
        <f t="shared" si="11"/>
        <v>1103396.6000000001</v>
      </c>
      <c r="H89" s="31"/>
    </row>
    <row r="90" spans="1:8" ht="18" customHeight="1">
      <c r="A90" s="24">
        <v>41904</v>
      </c>
      <c r="B90" s="31" t="s">
        <v>34</v>
      </c>
      <c r="C90" s="26">
        <v>1200</v>
      </c>
      <c r="D90" s="27">
        <v>105</v>
      </c>
      <c r="E90" s="27">
        <f t="shared" si="10"/>
        <v>126000</v>
      </c>
      <c r="F90" s="29"/>
      <c r="G90" s="27">
        <f t="shared" si="11"/>
        <v>1229396.6000000001</v>
      </c>
      <c r="H90" s="31"/>
    </row>
    <row r="91" spans="1:8" ht="18" customHeight="1">
      <c r="A91" s="24"/>
      <c r="B91" s="67" t="s">
        <v>17</v>
      </c>
      <c r="C91" s="26"/>
      <c r="D91" s="27"/>
      <c r="E91" s="27">
        <f>C91*D91</f>
        <v>0</v>
      </c>
      <c r="F91" s="29">
        <v>500000</v>
      </c>
      <c r="G91" s="27">
        <f t="shared" ref="G91:G96" si="12">IF(B91&lt;&gt;"",G90+E91-F91,0)</f>
        <v>729396.60000000009</v>
      </c>
      <c r="H91" s="47">
        <v>41921</v>
      </c>
    </row>
    <row r="92" spans="1:8" ht="18" customHeight="1">
      <c r="A92" s="24"/>
      <c r="B92" s="67" t="s">
        <v>17</v>
      </c>
      <c r="C92" s="26"/>
      <c r="D92" s="27"/>
      <c r="E92" s="27">
        <f>C92*D92</f>
        <v>0</v>
      </c>
      <c r="F92" s="29">
        <v>200000</v>
      </c>
      <c r="G92" s="27">
        <f t="shared" si="12"/>
        <v>529396.60000000009</v>
      </c>
      <c r="H92" s="47">
        <v>41936</v>
      </c>
    </row>
    <row r="93" spans="1:8" ht="18" customHeight="1">
      <c r="A93" s="24"/>
      <c r="B93" s="67" t="s">
        <v>17</v>
      </c>
      <c r="C93" s="26"/>
      <c r="D93" s="27"/>
      <c r="E93" s="27">
        <f t="shared" si="10"/>
        <v>0</v>
      </c>
      <c r="F93" s="29">
        <v>120000</v>
      </c>
      <c r="G93" s="27">
        <f t="shared" si="12"/>
        <v>409396.60000000009</v>
      </c>
      <c r="H93" s="24">
        <v>41964</v>
      </c>
    </row>
    <row r="94" spans="1:8" ht="18" customHeight="1">
      <c r="A94" s="24"/>
      <c r="B94" s="67" t="s">
        <v>17</v>
      </c>
      <c r="C94" s="26"/>
      <c r="D94" s="27"/>
      <c r="E94" s="27">
        <f t="shared" si="10"/>
        <v>0</v>
      </c>
      <c r="F94" s="29">
        <v>200000</v>
      </c>
      <c r="G94" s="27">
        <f t="shared" si="12"/>
        <v>209396.60000000009</v>
      </c>
      <c r="H94" s="24">
        <v>41985</v>
      </c>
    </row>
    <row r="95" spans="1:8" ht="18" customHeight="1">
      <c r="A95" s="24"/>
      <c r="B95" s="67" t="s">
        <v>17</v>
      </c>
      <c r="C95" s="26"/>
      <c r="D95" s="27"/>
      <c r="E95" s="27">
        <f t="shared" si="10"/>
        <v>0</v>
      </c>
      <c r="F95" s="29">
        <v>200000</v>
      </c>
      <c r="G95" s="27">
        <f t="shared" si="12"/>
        <v>9396.6000000000931</v>
      </c>
      <c r="H95" s="24">
        <v>41997</v>
      </c>
    </row>
    <row r="96" spans="1:8" ht="18" customHeight="1">
      <c r="A96" s="24">
        <v>41982</v>
      </c>
      <c r="B96" s="31" t="s">
        <v>124</v>
      </c>
      <c r="C96" s="26">
        <v>5080</v>
      </c>
      <c r="D96" s="27">
        <v>42</v>
      </c>
      <c r="E96" s="27">
        <f t="shared" si="10"/>
        <v>213360</v>
      </c>
      <c r="F96" s="29"/>
      <c r="G96" s="27">
        <f t="shared" si="12"/>
        <v>222756.60000000009</v>
      </c>
      <c r="H96" s="31"/>
    </row>
    <row r="97" spans="1:8" ht="18" customHeight="1">
      <c r="A97" s="24">
        <v>41991</v>
      </c>
      <c r="B97" s="31" t="s">
        <v>124</v>
      </c>
      <c r="C97" s="26">
        <v>6700</v>
      </c>
      <c r="D97" s="27">
        <v>42</v>
      </c>
      <c r="E97" s="27">
        <f t="shared" si="10"/>
        <v>281400</v>
      </c>
      <c r="F97" s="29"/>
      <c r="G97" s="27">
        <f t="shared" si="11"/>
        <v>504156.60000000009</v>
      </c>
      <c r="H97" s="31"/>
    </row>
    <row r="98" spans="1:8" ht="18" customHeight="1">
      <c r="A98" s="24"/>
      <c r="B98" s="67" t="s">
        <v>17</v>
      </c>
      <c r="C98" s="26"/>
      <c r="D98" s="27"/>
      <c r="E98" s="27">
        <f>C98*D98</f>
        <v>0</v>
      </c>
      <c r="F98" s="29">
        <v>150000</v>
      </c>
      <c r="G98" s="27">
        <f t="shared" si="11"/>
        <v>354156.60000000009</v>
      </c>
      <c r="H98" s="24">
        <v>42018</v>
      </c>
    </row>
    <row r="99" spans="1:8" ht="18" customHeight="1">
      <c r="A99" s="24">
        <v>42023</v>
      </c>
      <c r="B99" s="31" t="s">
        <v>124</v>
      </c>
      <c r="C99" s="26">
        <v>6400</v>
      </c>
      <c r="D99" s="27">
        <v>48</v>
      </c>
      <c r="E99" s="27">
        <f t="shared" ref="E99:E107" si="13">C99*D99</f>
        <v>307200</v>
      </c>
      <c r="F99" s="29"/>
      <c r="G99" s="27">
        <f t="shared" ref="G99:G120" si="14">IF(B99&lt;&gt;"",G98+E99-F99,0)</f>
        <v>661356.60000000009</v>
      </c>
      <c r="H99" s="31"/>
    </row>
    <row r="100" spans="1:8" ht="18" customHeight="1">
      <c r="A100" s="24">
        <v>42020</v>
      </c>
      <c r="B100" s="31" t="s">
        <v>124</v>
      </c>
      <c r="C100" s="26">
        <v>13</v>
      </c>
      <c r="D100" s="27">
        <v>48</v>
      </c>
      <c r="E100" s="27">
        <f t="shared" si="13"/>
        <v>624</v>
      </c>
      <c r="F100" s="29"/>
      <c r="G100" s="27">
        <f t="shared" si="14"/>
        <v>661980.60000000009</v>
      </c>
      <c r="H100" s="31"/>
    </row>
    <row r="101" spans="1:8" ht="18" customHeight="1">
      <c r="A101" s="24"/>
      <c r="B101" s="31" t="s">
        <v>279</v>
      </c>
      <c r="C101" s="26">
        <v>26</v>
      </c>
      <c r="D101" s="27">
        <v>52</v>
      </c>
      <c r="E101" s="27">
        <f t="shared" si="13"/>
        <v>1352</v>
      </c>
      <c r="F101" s="29"/>
      <c r="G101" s="27">
        <f t="shared" si="14"/>
        <v>663332.60000000009</v>
      </c>
      <c r="H101" s="31"/>
    </row>
    <row r="102" spans="1:8" ht="18" customHeight="1">
      <c r="A102" s="24">
        <v>42024</v>
      </c>
      <c r="B102" s="31" t="s">
        <v>124</v>
      </c>
      <c r="C102" s="26">
        <v>4288.5</v>
      </c>
      <c r="D102" s="27">
        <v>48</v>
      </c>
      <c r="E102" s="27">
        <f t="shared" si="13"/>
        <v>205848</v>
      </c>
      <c r="F102" s="29"/>
      <c r="G102" s="27">
        <f t="shared" si="14"/>
        <v>869180.60000000009</v>
      </c>
      <c r="H102" s="31"/>
    </row>
    <row r="103" spans="1:8" ht="18" customHeight="1">
      <c r="A103" s="24"/>
      <c r="B103" s="31" t="s">
        <v>279</v>
      </c>
      <c r="C103" s="26">
        <v>910</v>
      </c>
      <c r="D103" s="27">
        <v>52</v>
      </c>
      <c r="E103" s="27">
        <f t="shared" si="13"/>
        <v>47320</v>
      </c>
      <c r="F103" s="29"/>
      <c r="G103" s="27">
        <f t="shared" si="14"/>
        <v>916500.60000000009</v>
      </c>
      <c r="H103" s="31"/>
    </row>
    <row r="104" spans="1:8" ht="18" customHeight="1">
      <c r="A104" s="24"/>
      <c r="B104" s="67" t="s">
        <v>17</v>
      </c>
      <c r="C104" s="26"/>
      <c r="D104" s="27"/>
      <c r="E104" s="27">
        <f t="shared" si="13"/>
        <v>0</v>
      </c>
      <c r="F104" s="29">
        <v>562344</v>
      </c>
      <c r="G104" s="27">
        <f t="shared" si="14"/>
        <v>354156.60000000009</v>
      </c>
      <c r="H104" s="24">
        <v>42027</v>
      </c>
    </row>
    <row r="105" spans="1:8" ht="18" customHeight="1">
      <c r="A105" s="24">
        <v>42032</v>
      </c>
      <c r="B105" s="31" t="s">
        <v>124</v>
      </c>
      <c r="C105" s="26">
        <v>4966</v>
      </c>
      <c r="D105" s="27">
        <v>51.5</v>
      </c>
      <c r="E105" s="27">
        <f t="shared" si="13"/>
        <v>255749</v>
      </c>
      <c r="F105" s="29"/>
      <c r="G105" s="27">
        <f t="shared" si="14"/>
        <v>609905.60000000009</v>
      </c>
      <c r="H105" s="24"/>
    </row>
    <row r="106" spans="1:8" ht="18" customHeight="1">
      <c r="A106" s="24"/>
      <c r="B106" s="31" t="s">
        <v>279</v>
      </c>
      <c r="C106" s="26">
        <v>13</v>
      </c>
      <c r="D106" s="27">
        <v>58</v>
      </c>
      <c r="E106" s="27">
        <f t="shared" si="13"/>
        <v>754</v>
      </c>
      <c r="F106" s="29"/>
      <c r="G106" s="27">
        <f t="shared" si="14"/>
        <v>610659.60000000009</v>
      </c>
      <c r="H106" s="24"/>
    </row>
    <row r="107" spans="1:8" ht="18" customHeight="1">
      <c r="A107" s="24"/>
      <c r="B107" s="67" t="s">
        <v>17</v>
      </c>
      <c r="C107" s="26"/>
      <c r="D107" s="27"/>
      <c r="E107" s="27">
        <f t="shared" si="13"/>
        <v>0</v>
      </c>
      <c r="F107" s="29">
        <v>256503</v>
      </c>
      <c r="G107" s="27">
        <f t="shared" si="14"/>
        <v>354156.60000000009</v>
      </c>
      <c r="H107" s="24">
        <v>42033</v>
      </c>
    </row>
    <row r="108" spans="1:8" ht="18" customHeight="1">
      <c r="A108" s="24">
        <v>42033</v>
      </c>
      <c r="B108" s="31" t="s">
        <v>124</v>
      </c>
      <c r="C108" s="26">
        <v>996</v>
      </c>
      <c r="D108" s="27">
        <v>51.5</v>
      </c>
      <c r="E108" s="27">
        <f t="shared" ref="E108:E119" si="15">C108*D108</f>
        <v>51294</v>
      </c>
      <c r="F108" s="29"/>
      <c r="G108" s="27">
        <f t="shared" ref="G108:G119" si="16">IF(B108&lt;&gt;"",G107+E108-F108,0)</f>
        <v>405450.60000000009</v>
      </c>
      <c r="H108" s="24"/>
    </row>
    <row r="109" spans="1:8" ht="18" customHeight="1">
      <c r="A109" s="24"/>
      <c r="B109" s="31" t="s">
        <v>279</v>
      </c>
      <c r="C109" s="26">
        <v>2106</v>
      </c>
      <c r="D109" s="27">
        <v>58</v>
      </c>
      <c r="E109" s="27">
        <f t="shared" si="15"/>
        <v>122148</v>
      </c>
      <c r="F109" s="29"/>
      <c r="G109" s="27">
        <f t="shared" si="16"/>
        <v>527598.60000000009</v>
      </c>
      <c r="H109" s="24"/>
    </row>
    <row r="110" spans="1:8" ht="18" customHeight="1">
      <c r="A110" s="24"/>
      <c r="B110" s="67" t="s">
        <v>17</v>
      </c>
      <c r="C110" s="26"/>
      <c r="D110" s="27"/>
      <c r="E110" s="27">
        <f t="shared" si="15"/>
        <v>0</v>
      </c>
      <c r="F110" s="29">
        <v>173442</v>
      </c>
      <c r="G110" s="27">
        <f t="shared" si="16"/>
        <v>354156.60000000009</v>
      </c>
      <c r="H110" s="24">
        <v>42039</v>
      </c>
    </row>
    <row r="111" spans="1:8" ht="18" customHeight="1">
      <c r="A111" s="24">
        <v>42045</v>
      </c>
      <c r="B111" s="31" t="s">
        <v>124</v>
      </c>
      <c r="C111" s="26">
        <v>2620</v>
      </c>
      <c r="D111" s="27">
        <v>42</v>
      </c>
      <c r="E111" s="27">
        <f t="shared" si="15"/>
        <v>110040</v>
      </c>
      <c r="F111" s="29"/>
      <c r="G111" s="27">
        <f t="shared" si="16"/>
        <v>464196.60000000009</v>
      </c>
      <c r="H111" s="24"/>
    </row>
    <row r="112" spans="1:8" ht="18" customHeight="1">
      <c r="A112" s="24"/>
      <c r="B112" s="31" t="s">
        <v>18</v>
      </c>
      <c r="C112" s="26">
        <v>8685</v>
      </c>
      <c r="D112" s="27">
        <v>120</v>
      </c>
      <c r="E112" s="27">
        <f t="shared" si="15"/>
        <v>1042200</v>
      </c>
      <c r="F112" s="29"/>
      <c r="G112" s="27">
        <f t="shared" si="16"/>
        <v>1506396.6</v>
      </c>
      <c r="H112" s="24"/>
    </row>
    <row r="113" spans="1:8" ht="18" customHeight="1">
      <c r="A113" s="24"/>
      <c r="B113" s="31" t="s">
        <v>17</v>
      </c>
      <c r="C113" s="26"/>
      <c r="D113" s="27"/>
      <c r="E113" s="27">
        <f t="shared" si="15"/>
        <v>0</v>
      </c>
      <c r="F113" s="29">
        <v>300000</v>
      </c>
      <c r="G113" s="27">
        <f t="shared" si="16"/>
        <v>1206396.6000000001</v>
      </c>
      <c r="H113" s="24">
        <v>42060</v>
      </c>
    </row>
    <row r="114" spans="1:8" ht="18" customHeight="1">
      <c r="A114" s="24">
        <v>42059</v>
      </c>
      <c r="B114" s="31" t="s">
        <v>34</v>
      </c>
      <c r="C114" s="26">
        <v>6015</v>
      </c>
      <c r="D114" s="27">
        <v>90</v>
      </c>
      <c r="E114" s="27">
        <f t="shared" si="15"/>
        <v>541350</v>
      </c>
      <c r="F114" s="29"/>
      <c r="G114" s="27">
        <f t="shared" si="16"/>
        <v>1747746.6</v>
      </c>
      <c r="H114" s="24"/>
    </row>
    <row r="115" spans="1:8" ht="18" customHeight="1">
      <c r="A115" s="24"/>
      <c r="B115" s="31" t="s">
        <v>17</v>
      </c>
      <c r="C115" s="26"/>
      <c r="D115" s="27"/>
      <c r="E115" s="27">
        <f t="shared" si="15"/>
        <v>0</v>
      </c>
      <c r="F115" s="29">
        <v>200000</v>
      </c>
      <c r="G115" s="27">
        <f t="shared" si="16"/>
        <v>1547746.6</v>
      </c>
      <c r="H115" s="24">
        <v>42068</v>
      </c>
    </row>
    <row r="116" spans="1:8" ht="18" customHeight="1">
      <c r="A116" s="24"/>
      <c r="B116" s="31" t="s">
        <v>17</v>
      </c>
      <c r="C116" s="26"/>
      <c r="D116" s="27"/>
      <c r="E116" s="27">
        <f t="shared" si="15"/>
        <v>0</v>
      </c>
      <c r="F116" s="29">
        <v>300000</v>
      </c>
      <c r="G116" s="27">
        <f t="shared" si="16"/>
        <v>1247746.6000000001</v>
      </c>
      <c r="H116" s="24">
        <v>42074</v>
      </c>
    </row>
    <row r="117" spans="1:8" ht="18" customHeight="1">
      <c r="A117" s="24"/>
      <c r="B117" s="31" t="s">
        <v>17</v>
      </c>
      <c r="C117" s="26"/>
      <c r="D117" s="27"/>
      <c r="E117" s="27">
        <f t="shared" si="15"/>
        <v>0</v>
      </c>
      <c r="F117" s="29">
        <v>200000</v>
      </c>
      <c r="G117" s="27">
        <f t="shared" si="16"/>
        <v>1047746.6000000001</v>
      </c>
      <c r="H117" s="24">
        <v>42087</v>
      </c>
    </row>
    <row r="118" spans="1:8" ht="18" customHeight="1">
      <c r="A118" s="24"/>
      <c r="B118" s="31" t="s">
        <v>17</v>
      </c>
      <c r="C118" s="26"/>
      <c r="D118" s="27"/>
      <c r="E118" s="27">
        <f t="shared" si="15"/>
        <v>0</v>
      </c>
      <c r="F118" s="29">
        <v>200000</v>
      </c>
      <c r="G118" s="27">
        <f t="shared" si="16"/>
        <v>847746.60000000009</v>
      </c>
      <c r="H118" s="24">
        <v>42098</v>
      </c>
    </row>
    <row r="119" spans="1:8" ht="18" customHeight="1">
      <c r="A119" s="24">
        <v>42098</v>
      </c>
      <c r="B119" s="31" t="s">
        <v>34</v>
      </c>
      <c r="C119" s="26">
        <v>2243.5</v>
      </c>
      <c r="D119" s="27">
        <v>90</v>
      </c>
      <c r="E119" s="27">
        <f t="shared" si="15"/>
        <v>201915</v>
      </c>
      <c r="F119" s="29"/>
      <c r="G119" s="27">
        <f t="shared" si="16"/>
        <v>1049661.6000000001</v>
      </c>
      <c r="H119" s="24"/>
    </row>
    <row r="120" spans="1:8" ht="18" customHeight="1">
      <c r="A120" s="24">
        <v>42107</v>
      </c>
      <c r="B120" s="31" t="s">
        <v>366</v>
      </c>
      <c r="C120" s="26">
        <v>1419</v>
      </c>
      <c r="D120" s="27">
        <v>120</v>
      </c>
      <c r="E120" s="27"/>
      <c r="F120" s="29">
        <f t="shared" ref="F120:F122" si="17">C120*D120</f>
        <v>170280</v>
      </c>
      <c r="G120" s="27">
        <f t="shared" si="14"/>
        <v>879381.60000000009</v>
      </c>
      <c r="H120" s="24"/>
    </row>
    <row r="121" spans="1:8" ht="18" customHeight="1">
      <c r="A121" s="24"/>
      <c r="B121" s="31" t="s">
        <v>266</v>
      </c>
      <c r="C121" s="26">
        <v>975</v>
      </c>
      <c r="D121" s="27">
        <v>55</v>
      </c>
      <c r="E121" s="27"/>
      <c r="F121" s="29">
        <f t="shared" si="17"/>
        <v>53625</v>
      </c>
      <c r="G121" s="27">
        <f t="shared" ref="G121:G137" si="18">IF(B121&lt;&gt;"",G120+E121-F121,0)</f>
        <v>825756.60000000009</v>
      </c>
      <c r="H121" s="24"/>
    </row>
    <row r="122" spans="1:8" ht="18" customHeight="1">
      <c r="A122" s="24"/>
      <c r="B122" s="31" t="s">
        <v>367</v>
      </c>
      <c r="C122" s="26">
        <v>525</v>
      </c>
      <c r="D122" s="27">
        <v>40</v>
      </c>
      <c r="E122" s="27"/>
      <c r="F122" s="29">
        <f t="shared" si="17"/>
        <v>21000</v>
      </c>
      <c r="G122" s="27">
        <f t="shared" si="18"/>
        <v>804756.60000000009</v>
      </c>
      <c r="H122" s="24"/>
    </row>
    <row r="123" spans="1:8" ht="18" customHeight="1">
      <c r="A123" s="24"/>
      <c r="B123" s="31" t="s">
        <v>17</v>
      </c>
      <c r="C123" s="26"/>
      <c r="D123" s="27"/>
      <c r="E123" s="27">
        <f t="shared" ref="E123:E137" si="19">C123*D123</f>
        <v>0</v>
      </c>
      <c r="F123" s="29">
        <v>150000</v>
      </c>
      <c r="G123" s="27">
        <f t="shared" si="18"/>
        <v>654756.60000000009</v>
      </c>
      <c r="H123" s="24">
        <v>42139</v>
      </c>
    </row>
    <row r="124" spans="1:8" ht="18" customHeight="1">
      <c r="A124" s="24"/>
      <c r="B124" s="31" t="s">
        <v>17</v>
      </c>
      <c r="C124" s="26"/>
      <c r="D124" s="27"/>
      <c r="E124" s="27">
        <f t="shared" si="19"/>
        <v>0</v>
      </c>
      <c r="F124" s="29">
        <v>150000</v>
      </c>
      <c r="G124" s="27">
        <f t="shared" si="18"/>
        <v>504756.60000000009</v>
      </c>
      <c r="H124" s="24">
        <v>42146</v>
      </c>
    </row>
    <row r="125" spans="1:8" ht="18" customHeight="1">
      <c r="A125" s="24"/>
      <c r="B125" s="31" t="s">
        <v>17</v>
      </c>
      <c r="C125" s="26"/>
      <c r="D125" s="27"/>
      <c r="E125" s="27">
        <f t="shared" si="19"/>
        <v>0</v>
      </c>
      <c r="F125" s="29">
        <v>200000</v>
      </c>
      <c r="G125" s="27">
        <f t="shared" si="18"/>
        <v>304756.60000000009</v>
      </c>
      <c r="H125" s="24">
        <v>42152</v>
      </c>
    </row>
    <row r="126" spans="1:8" ht="18" customHeight="1">
      <c r="A126" s="24"/>
      <c r="B126" s="31" t="s">
        <v>17</v>
      </c>
      <c r="C126" s="26"/>
      <c r="D126" s="27"/>
      <c r="E126" s="27">
        <f t="shared" si="19"/>
        <v>0</v>
      </c>
      <c r="F126" s="29">
        <v>200000</v>
      </c>
      <c r="G126" s="27">
        <f t="shared" si="18"/>
        <v>104756.60000000009</v>
      </c>
      <c r="H126" s="24">
        <v>42165</v>
      </c>
    </row>
    <row r="127" spans="1:8" ht="18" customHeight="1">
      <c r="A127" s="24">
        <v>42151</v>
      </c>
      <c r="B127" s="31" t="s">
        <v>279</v>
      </c>
      <c r="C127" s="26">
        <v>25.6</v>
      </c>
      <c r="D127" s="27">
        <v>49</v>
      </c>
      <c r="E127" s="27">
        <f t="shared" si="19"/>
        <v>1254.4000000000001</v>
      </c>
      <c r="F127" s="29"/>
      <c r="G127" s="27">
        <f t="shared" si="18"/>
        <v>106011.00000000009</v>
      </c>
      <c r="H127" s="24"/>
    </row>
    <row r="128" spans="1:8" ht="18" customHeight="1">
      <c r="A128" s="24">
        <v>42156</v>
      </c>
      <c r="B128" s="31" t="s">
        <v>279</v>
      </c>
      <c r="C128" s="26">
        <v>2838</v>
      </c>
      <c r="D128" s="27">
        <v>49</v>
      </c>
      <c r="E128" s="27">
        <f t="shared" si="19"/>
        <v>139062</v>
      </c>
      <c r="F128" s="29"/>
      <c r="G128" s="27">
        <f t="shared" si="18"/>
        <v>245073.00000000009</v>
      </c>
      <c r="H128" s="24"/>
    </row>
    <row r="129" spans="1:8" ht="18" customHeight="1">
      <c r="A129" s="24">
        <v>42161</v>
      </c>
      <c r="B129" s="31" t="s">
        <v>279</v>
      </c>
      <c r="C129" s="26">
        <v>3510</v>
      </c>
      <c r="D129" s="27">
        <v>47</v>
      </c>
      <c r="E129" s="27">
        <f t="shared" si="19"/>
        <v>164970</v>
      </c>
      <c r="F129" s="29"/>
      <c r="G129" s="27">
        <f t="shared" si="18"/>
        <v>410043.00000000012</v>
      </c>
      <c r="H129" s="24"/>
    </row>
    <row r="130" spans="1:8" ht="18" customHeight="1">
      <c r="A130" s="24"/>
      <c r="B130" s="31" t="s">
        <v>124</v>
      </c>
      <c r="C130" s="26">
        <v>1740</v>
      </c>
      <c r="D130" s="27">
        <v>40</v>
      </c>
      <c r="E130" s="27">
        <f t="shared" si="19"/>
        <v>69600</v>
      </c>
      <c r="F130" s="29"/>
      <c r="G130" s="27">
        <f t="shared" si="18"/>
        <v>479643.00000000012</v>
      </c>
      <c r="H130" s="24"/>
    </row>
    <row r="131" spans="1:8" ht="18" customHeight="1">
      <c r="A131" s="24"/>
      <c r="B131" s="31" t="s">
        <v>368</v>
      </c>
      <c r="C131" s="26">
        <v>1294</v>
      </c>
      <c r="D131" s="27">
        <v>3.5</v>
      </c>
      <c r="E131" s="27">
        <f t="shared" si="19"/>
        <v>4529</v>
      </c>
      <c r="F131" s="29"/>
      <c r="G131" s="27">
        <f t="shared" si="18"/>
        <v>484172.00000000012</v>
      </c>
      <c r="H131" s="24"/>
    </row>
    <row r="132" spans="1:8" ht="18" customHeight="1">
      <c r="A132" s="24">
        <v>42167</v>
      </c>
      <c r="B132" s="31" t="s">
        <v>206</v>
      </c>
      <c r="C132" s="26">
        <v>130</v>
      </c>
      <c r="D132" s="27">
        <v>83</v>
      </c>
      <c r="E132" s="27">
        <f t="shared" si="19"/>
        <v>10790</v>
      </c>
      <c r="F132" s="29"/>
      <c r="G132" s="27">
        <f t="shared" si="18"/>
        <v>494962.00000000012</v>
      </c>
      <c r="H132" s="24"/>
    </row>
    <row r="133" spans="1:8" ht="18" customHeight="1">
      <c r="A133" s="24"/>
      <c r="B133" s="31" t="s">
        <v>17</v>
      </c>
      <c r="C133" s="26"/>
      <c r="D133" s="27"/>
      <c r="E133" s="27">
        <f t="shared" si="19"/>
        <v>0</v>
      </c>
      <c r="F133" s="29">
        <v>100000</v>
      </c>
      <c r="G133" s="27">
        <f t="shared" si="18"/>
        <v>394962.00000000012</v>
      </c>
      <c r="H133" s="24">
        <v>42174</v>
      </c>
    </row>
    <row r="134" spans="1:8" ht="18" customHeight="1">
      <c r="A134" s="24"/>
      <c r="B134" s="31" t="s">
        <v>17</v>
      </c>
      <c r="C134" s="26"/>
      <c r="D134" s="27"/>
      <c r="E134" s="27">
        <f t="shared" si="19"/>
        <v>0</v>
      </c>
      <c r="F134" s="29">
        <v>100000</v>
      </c>
      <c r="G134" s="27">
        <f t="shared" si="18"/>
        <v>294962.00000000012</v>
      </c>
      <c r="H134" s="24">
        <v>42186</v>
      </c>
    </row>
    <row r="135" spans="1:8" ht="18" customHeight="1">
      <c r="A135" s="24"/>
      <c r="B135" s="31" t="s">
        <v>17</v>
      </c>
      <c r="C135" s="26"/>
      <c r="D135" s="27"/>
      <c r="E135" s="27">
        <f t="shared" si="19"/>
        <v>0</v>
      </c>
      <c r="F135" s="29">
        <v>100000</v>
      </c>
      <c r="G135" s="27">
        <f t="shared" si="18"/>
        <v>194962.00000000012</v>
      </c>
      <c r="H135" s="24">
        <v>42209</v>
      </c>
    </row>
    <row r="136" spans="1:8" ht="18" customHeight="1">
      <c r="A136" s="24"/>
      <c r="B136" s="31" t="s">
        <v>17</v>
      </c>
      <c r="C136" s="26"/>
      <c r="D136" s="27"/>
      <c r="E136" s="27">
        <f t="shared" si="19"/>
        <v>0</v>
      </c>
      <c r="F136" s="29">
        <v>100000</v>
      </c>
      <c r="G136" s="27">
        <f t="shared" si="18"/>
        <v>94962.000000000116</v>
      </c>
      <c r="H136" s="24">
        <v>42229</v>
      </c>
    </row>
    <row r="137" spans="1:8" ht="18" customHeight="1">
      <c r="A137" s="24"/>
      <c r="B137" s="31"/>
      <c r="C137" s="26"/>
      <c r="D137" s="27"/>
      <c r="E137" s="27">
        <f t="shared" si="19"/>
        <v>0</v>
      </c>
      <c r="F137" s="29"/>
      <c r="G137" s="27">
        <f t="shared" si="18"/>
        <v>0</v>
      </c>
      <c r="H137" s="24"/>
    </row>
    <row r="138" spans="1:8" ht="18" customHeight="1">
      <c r="A138" s="24"/>
      <c r="B138" s="31"/>
      <c r="C138" s="26"/>
      <c r="D138" s="27"/>
      <c r="E138" s="27">
        <f t="shared" ref="E138:E139" si="20">C138*D138</f>
        <v>0</v>
      </c>
      <c r="F138" s="29"/>
      <c r="G138" s="27">
        <f t="shared" ref="G138:G139" si="21">IF(B138&lt;&gt;"",G137+E138-F138,0)</f>
        <v>0</v>
      </c>
      <c r="H138" s="24"/>
    </row>
    <row r="139" spans="1:8" ht="18" customHeight="1">
      <c r="A139" s="24"/>
      <c r="B139" s="31"/>
      <c r="C139" s="26"/>
      <c r="D139" s="27"/>
      <c r="E139" s="27">
        <f t="shared" si="20"/>
        <v>0</v>
      </c>
      <c r="F139" s="29"/>
      <c r="G139" s="27">
        <f t="shared" si="21"/>
        <v>0</v>
      </c>
      <c r="H139" s="24"/>
    </row>
    <row r="140" spans="1:8" s="37" customFormat="1" ht="18" customHeight="1">
      <c r="A140" s="226" t="s">
        <v>14</v>
      </c>
      <c r="B140" s="226"/>
      <c r="C140" s="226"/>
      <c r="D140" s="226"/>
      <c r="E140" s="68">
        <f>SUM(E10:E139)</f>
        <v>9802534</v>
      </c>
      <c r="F140" s="68">
        <f>SUM(F10:F139)</f>
        <v>9707572</v>
      </c>
      <c r="G140" s="82">
        <f>E140-F140</f>
        <v>94962</v>
      </c>
      <c r="H140" s="69"/>
    </row>
    <row r="141" spans="1:8" ht="21.75" hidden="1" customHeight="1">
      <c r="F141" s="11"/>
      <c r="G141" s="7"/>
    </row>
    <row r="142" spans="1:8" s="111" customFormat="1" ht="21" hidden="1" customHeight="1">
      <c r="A142" s="108"/>
      <c r="B142" s="114" t="s">
        <v>99</v>
      </c>
      <c r="C142" s="109"/>
      <c r="D142" s="110"/>
      <c r="E142" s="128">
        <f>G140*1000</f>
        <v>94962000</v>
      </c>
      <c r="F142" s="115" t="s">
        <v>88</v>
      </c>
      <c r="G142" s="115"/>
      <c r="H142" s="110"/>
    </row>
    <row r="143" spans="1:8" s="111" customFormat="1" ht="21" hidden="1" customHeight="1">
      <c r="A143" s="108"/>
      <c r="B143" s="114" t="s">
        <v>89</v>
      </c>
      <c r="C143" s="112" t="str">
        <f>[1]!VND(E142, TRUE)</f>
        <v>Chín mươi bốn triệu, chín trăm sáu mươi hai ngàn đồng</v>
      </c>
      <c r="D143" s="110"/>
      <c r="E143" s="110"/>
      <c r="F143" s="113"/>
      <c r="G143" s="110"/>
      <c r="H143" s="110"/>
    </row>
    <row r="144" spans="1:8" ht="21.75" hidden="1" customHeight="1"/>
    <row r="145" ht="21.75" hidden="1" customHeight="1"/>
  </sheetData>
  <autoFilter ref="A9:H9"/>
  <mergeCells count="8">
    <mergeCell ref="A7:B7"/>
    <mergeCell ref="A140:D140"/>
    <mergeCell ref="A5:H5"/>
    <mergeCell ref="A1:D1"/>
    <mergeCell ref="A2:F2"/>
    <mergeCell ref="A3:B3"/>
    <mergeCell ref="C3:E3"/>
    <mergeCell ref="A24:F24"/>
  </mergeCells>
  <phoneticPr fontId="5" type="noConversion"/>
  <pageMargins left="0.34" right="0.23" top="0.32" bottom="0.2" header="0.3" footer="0.3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J88"/>
  <sheetViews>
    <sheetView topLeftCell="A7" workbookViewId="0">
      <pane ySplit="3" topLeftCell="A10" activePane="bottomLeft" state="frozen"/>
      <selection activeCell="B80" sqref="B80"/>
      <selection pane="bottomLeft" activeCell="G78" sqref="G78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27" t="s">
        <v>38</v>
      </c>
      <c r="B1" s="227"/>
      <c r="C1" s="227"/>
      <c r="D1" s="227"/>
      <c r="F1" s="92"/>
      <c r="H1" s="62"/>
      <c r="I1" s="62"/>
    </row>
    <row r="2" spans="1:10" s="60" customFormat="1" ht="18.75" customHeight="1">
      <c r="A2" s="227" t="s">
        <v>37</v>
      </c>
      <c r="B2" s="227"/>
      <c r="C2" s="227"/>
      <c r="D2" s="227"/>
      <c r="E2" s="227"/>
      <c r="F2" s="227"/>
      <c r="G2" s="227"/>
      <c r="H2" s="62"/>
      <c r="I2" s="62"/>
    </row>
    <row r="3" spans="1:10" s="60" customFormat="1" ht="18.75" customHeight="1">
      <c r="A3" s="227" t="s">
        <v>40</v>
      </c>
      <c r="B3" s="227"/>
      <c r="C3" s="227" t="s">
        <v>41</v>
      </c>
      <c r="D3" s="227"/>
      <c r="E3" s="227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28" t="s">
        <v>39</v>
      </c>
      <c r="B5" s="228"/>
      <c r="C5" s="228"/>
      <c r="D5" s="228"/>
      <c r="E5" s="228"/>
      <c r="F5" s="228"/>
      <c r="G5" s="228"/>
      <c r="H5" s="228"/>
      <c r="I5" s="228"/>
      <c r="J5" s="228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31" t="s">
        <v>398</v>
      </c>
      <c r="B7" s="231"/>
      <c r="C7" s="230" t="s">
        <v>399</v>
      </c>
      <c r="D7" s="230"/>
      <c r="E7" s="241" t="s">
        <v>29</v>
      </c>
      <c r="F7" s="241"/>
      <c r="G7" s="241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hidden="1" customHeight="1">
      <c r="A10" s="24">
        <v>41528</v>
      </c>
      <c r="B10" s="16" t="s">
        <v>183</v>
      </c>
      <c r="C10" s="26">
        <v>5320</v>
      </c>
      <c r="D10" s="27">
        <v>38</v>
      </c>
      <c r="E10" s="27">
        <f t="shared" ref="E10:E28" si="0">C10*D10</f>
        <v>202160</v>
      </c>
      <c r="F10" s="28"/>
      <c r="G10" s="29"/>
      <c r="H10" s="27">
        <f>IF(B10&lt;&gt;"",E10-F10-G10,0)</f>
        <v>202160</v>
      </c>
      <c r="I10" s="30"/>
    </row>
    <row r="11" spans="1:10" ht="20.25" hidden="1" customHeight="1">
      <c r="A11" s="24">
        <v>41529</v>
      </c>
      <c r="B11" s="16" t="s">
        <v>183</v>
      </c>
      <c r="C11" s="26">
        <v>2139</v>
      </c>
      <c r="D11" s="27">
        <v>38</v>
      </c>
      <c r="E11" s="27">
        <f t="shared" si="0"/>
        <v>81282</v>
      </c>
      <c r="F11" s="28"/>
      <c r="G11" s="29"/>
      <c r="H11" s="27">
        <f t="shared" ref="H11:H28" si="1">IF(B11&lt;&gt;"",H10+E11-F11-G11,0)</f>
        <v>283442</v>
      </c>
      <c r="I11" s="30"/>
    </row>
    <row r="12" spans="1:10" s="8" customFormat="1" ht="20.25" hidden="1" customHeight="1">
      <c r="A12" s="18">
        <v>41531</v>
      </c>
      <c r="B12" s="16" t="s">
        <v>183</v>
      </c>
      <c r="C12" s="20">
        <v>4110</v>
      </c>
      <c r="D12" s="27">
        <v>37</v>
      </c>
      <c r="E12" s="27">
        <f t="shared" si="0"/>
        <v>152070</v>
      </c>
      <c r="F12" s="28"/>
      <c r="G12" s="19"/>
      <c r="H12" s="27">
        <f t="shared" si="1"/>
        <v>435512</v>
      </c>
      <c r="I12" s="16"/>
    </row>
    <row r="13" spans="1:10" ht="20.25" hidden="1" customHeight="1">
      <c r="A13" s="39"/>
      <c r="B13" s="67" t="s">
        <v>17</v>
      </c>
      <c r="C13" s="40"/>
      <c r="D13" s="41"/>
      <c r="E13" s="41">
        <f t="shared" si="0"/>
        <v>0</v>
      </c>
      <c r="F13" s="64"/>
      <c r="G13" s="42">
        <v>100000</v>
      </c>
      <c r="H13" s="41">
        <f t="shared" si="1"/>
        <v>335512</v>
      </c>
      <c r="I13" s="30">
        <v>41544</v>
      </c>
    </row>
    <row r="14" spans="1:10" ht="20.25" hidden="1" customHeight="1">
      <c r="A14" s="39"/>
      <c r="B14" s="67" t="s">
        <v>17</v>
      </c>
      <c r="C14" s="40"/>
      <c r="D14" s="41"/>
      <c r="E14" s="41">
        <f>C14*D14</f>
        <v>0</v>
      </c>
      <c r="F14" s="64"/>
      <c r="G14" s="42">
        <v>300000</v>
      </c>
      <c r="H14" s="41">
        <f>IF(B14&lt;&gt;"",H13+E14-F14-G14,0)</f>
        <v>35512</v>
      </c>
      <c r="I14" s="30">
        <v>41549</v>
      </c>
    </row>
    <row r="15" spans="1:10" ht="20.25" hidden="1" customHeight="1">
      <c r="A15" s="24">
        <v>41568</v>
      </c>
      <c r="B15" s="16" t="s">
        <v>183</v>
      </c>
      <c r="C15" s="26">
        <v>3639</v>
      </c>
      <c r="D15" s="27">
        <v>41</v>
      </c>
      <c r="E15" s="27">
        <f t="shared" si="0"/>
        <v>149199</v>
      </c>
      <c r="F15" s="28"/>
      <c r="G15" s="29"/>
      <c r="H15" s="27">
        <f t="shared" si="1"/>
        <v>184711</v>
      </c>
      <c r="I15" s="30"/>
    </row>
    <row r="16" spans="1:10" ht="20.25" hidden="1" customHeight="1">
      <c r="A16" s="24">
        <v>41572</v>
      </c>
      <c r="B16" s="16" t="s">
        <v>183</v>
      </c>
      <c r="C16" s="26">
        <v>4198</v>
      </c>
      <c r="D16" s="27">
        <v>42</v>
      </c>
      <c r="E16" s="27">
        <f t="shared" si="0"/>
        <v>176316</v>
      </c>
      <c r="F16" s="28"/>
      <c r="G16" s="29"/>
      <c r="H16" s="27">
        <f t="shared" si="1"/>
        <v>361027</v>
      </c>
      <c r="I16" s="30"/>
    </row>
    <row r="17" spans="1:9" ht="20.25" hidden="1" customHeight="1">
      <c r="A17" s="24">
        <v>41577</v>
      </c>
      <c r="B17" s="16" t="s">
        <v>183</v>
      </c>
      <c r="C17" s="26">
        <v>4632</v>
      </c>
      <c r="D17" s="27">
        <v>44</v>
      </c>
      <c r="E17" s="27">
        <f t="shared" si="0"/>
        <v>203808</v>
      </c>
      <c r="F17" s="28"/>
      <c r="G17" s="29"/>
      <c r="H17" s="27">
        <f t="shared" si="1"/>
        <v>564835</v>
      </c>
      <c r="I17" s="31"/>
    </row>
    <row r="18" spans="1:9" ht="20.25" hidden="1" customHeight="1">
      <c r="A18" s="39"/>
      <c r="B18" s="67" t="s">
        <v>17</v>
      </c>
      <c r="C18" s="40"/>
      <c r="D18" s="41"/>
      <c r="E18" s="41">
        <f>C18*D18</f>
        <v>0</v>
      </c>
      <c r="F18" s="64"/>
      <c r="G18" s="42">
        <v>250000</v>
      </c>
      <c r="H18" s="41">
        <f>IF(B18&lt;&gt;"",H17+E18-F18-G18,0)</f>
        <v>314835</v>
      </c>
      <c r="I18" s="30">
        <v>41576</v>
      </c>
    </row>
    <row r="19" spans="1:9" ht="20.25" hidden="1" customHeight="1">
      <c r="A19" s="39"/>
      <c r="B19" s="67" t="s">
        <v>17</v>
      </c>
      <c r="C19" s="40"/>
      <c r="D19" s="41"/>
      <c r="E19" s="41">
        <f>C19*D19</f>
        <v>0</v>
      </c>
      <c r="F19" s="64"/>
      <c r="G19" s="42">
        <v>200000</v>
      </c>
      <c r="H19" s="41">
        <f>IF(B19&lt;&gt;"",H18+E19-F19-G19,0)</f>
        <v>114835</v>
      </c>
      <c r="I19" s="30">
        <v>41585</v>
      </c>
    </row>
    <row r="20" spans="1:9" ht="20.25" hidden="1" customHeight="1">
      <c r="A20" s="24">
        <v>41584</v>
      </c>
      <c r="B20" s="16" t="s">
        <v>183</v>
      </c>
      <c r="C20" s="26">
        <v>4832</v>
      </c>
      <c r="D20" s="27">
        <v>43</v>
      </c>
      <c r="E20" s="27">
        <f>C20*D20</f>
        <v>207776</v>
      </c>
      <c r="F20" s="28"/>
      <c r="G20" s="29"/>
      <c r="H20" s="27">
        <f>IF(B20&lt;&gt;"",H19+E20-F20-G20,0)</f>
        <v>322611</v>
      </c>
      <c r="I20" s="31"/>
    </row>
    <row r="21" spans="1:9" ht="20.25" hidden="1" customHeight="1">
      <c r="A21" s="24">
        <v>41586</v>
      </c>
      <c r="B21" s="16" t="s">
        <v>183</v>
      </c>
      <c r="C21" s="26">
        <v>4178</v>
      </c>
      <c r="D21" s="27">
        <v>43</v>
      </c>
      <c r="E21" s="27">
        <f t="shared" si="0"/>
        <v>179654</v>
      </c>
      <c r="F21" s="28"/>
      <c r="G21" s="29"/>
      <c r="H21" s="27">
        <f t="shared" si="1"/>
        <v>502265</v>
      </c>
      <c r="I21" s="31"/>
    </row>
    <row r="22" spans="1:9" ht="20.25" hidden="1" customHeight="1">
      <c r="A22" s="24">
        <v>41590</v>
      </c>
      <c r="B22" s="16" t="s">
        <v>183</v>
      </c>
      <c r="C22" s="26">
        <v>4490</v>
      </c>
      <c r="D22" s="27">
        <v>43</v>
      </c>
      <c r="E22" s="27">
        <f t="shared" si="0"/>
        <v>193070</v>
      </c>
      <c r="F22" s="28"/>
      <c r="G22" s="29"/>
      <c r="H22" s="27">
        <f t="shared" si="1"/>
        <v>695335</v>
      </c>
      <c r="I22" s="30"/>
    </row>
    <row r="23" spans="1:9" ht="20.25" hidden="1" customHeight="1">
      <c r="A23" s="39"/>
      <c r="B23" s="67" t="s">
        <v>17</v>
      </c>
      <c r="C23" s="40"/>
      <c r="D23" s="41"/>
      <c r="E23" s="41">
        <f t="shared" si="0"/>
        <v>0</v>
      </c>
      <c r="F23" s="64"/>
      <c r="G23" s="42">
        <v>200000</v>
      </c>
      <c r="H23" s="41">
        <f t="shared" si="1"/>
        <v>495335</v>
      </c>
      <c r="I23" s="30">
        <v>41597</v>
      </c>
    </row>
    <row r="24" spans="1:9" ht="20.25" hidden="1" customHeight="1">
      <c r="A24" s="39"/>
      <c r="B24" s="67" t="s">
        <v>17</v>
      </c>
      <c r="C24" s="40"/>
      <c r="D24" s="41"/>
      <c r="E24" s="41">
        <f t="shared" si="0"/>
        <v>0</v>
      </c>
      <c r="F24" s="64"/>
      <c r="G24" s="42">
        <v>200000</v>
      </c>
      <c r="H24" s="41">
        <f t="shared" si="1"/>
        <v>295335</v>
      </c>
      <c r="I24" s="30">
        <v>41606</v>
      </c>
    </row>
    <row r="25" spans="1:9" ht="20.25" hidden="1" customHeight="1">
      <c r="A25" s="24">
        <v>41623</v>
      </c>
      <c r="B25" s="16" t="s">
        <v>183</v>
      </c>
      <c r="C25" s="26">
        <v>4961</v>
      </c>
      <c r="D25" s="27">
        <v>45</v>
      </c>
      <c r="E25" s="27">
        <f t="shared" si="0"/>
        <v>223245</v>
      </c>
      <c r="F25" s="28"/>
      <c r="G25" s="29"/>
      <c r="H25" s="41">
        <f t="shared" si="1"/>
        <v>518580</v>
      </c>
      <c r="I25" s="31"/>
    </row>
    <row r="26" spans="1:9" ht="20.25" hidden="1" customHeight="1">
      <c r="A26" s="39"/>
      <c r="B26" s="67" t="s">
        <v>17</v>
      </c>
      <c r="C26" s="40"/>
      <c r="D26" s="41"/>
      <c r="E26" s="41">
        <f t="shared" si="0"/>
        <v>0</v>
      </c>
      <c r="F26" s="64"/>
      <c r="G26" s="42">
        <v>200000</v>
      </c>
      <c r="H26" s="41">
        <f t="shared" si="1"/>
        <v>318580</v>
      </c>
      <c r="I26" s="201">
        <v>41626</v>
      </c>
    </row>
    <row r="27" spans="1:9" ht="20.25" hidden="1" customHeight="1">
      <c r="A27" s="39"/>
      <c r="B27" s="67" t="s">
        <v>17</v>
      </c>
      <c r="C27" s="40"/>
      <c r="D27" s="41"/>
      <c r="E27" s="41">
        <f t="shared" si="0"/>
        <v>0</v>
      </c>
      <c r="F27" s="64"/>
      <c r="G27" s="42">
        <v>200000</v>
      </c>
      <c r="H27" s="41">
        <f t="shared" si="1"/>
        <v>118580</v>
      </c>
      <c r="I27" s="201">
        <v>41654</v>
      </c>
    </row>
    <row r="28" spans="1:9" ht="20.25" hidden="1" customHeight="1">
      <c r="A28" s="39"/>
      <c r="B28" s="67" t="s">
        <v>17</v>
      </c>
      <c r="C28" s="40"/>
      <c r="D28" s="41"/>
      <c r="E28" s="41">
        <f t="shared" si="0"/>
        <v>0</v>
      </c>
      <c r="F28" s="64"/>
      <c r="G28" s="42">
        <f>H27</f>
        <v>118580</v>
      </c>
      <c r="H28" s="41">
        <f t="shared" si="1"/>
        <v>0</v>
      </c>
      <c r="I28" s="201">
        <v>41704</v>
      </c>
    </row>
    <row r="29" spans="1:9" s="35" customFormat="1" ht="20.25" hidden="1" customHeight="1">
      <c r="A29" s="240" t="s">
        <v>252</v>
      </c>
      <c r="B29" s="240"/>
      <c r="C29" s="240"/>
      <c r="D29" s="240"/>
      <c r="E29" s="240"/>
      <c r="F29" s="240"/>
      <c r="G29" s="240"/>
      <c r="H29" s="153">
        <f>H28</f>
        <v>0</v>
      </c>
      <c r="I29" s="173"/>
    </row>
    <row r="30" spans="1:9" ht="20.25" hidden="1" customHeight="1">
      <c r="A30" s="43">
        <v>41584</v>
      </c>
      <c r="B30" s="130" t="s">
        <v>284</v>
      </c>
      <c r="C30" s="44">
        <v>96</v>
      </c>
      <c r="D30" s="45">
        <v>25</v>
      </c>
      <c r="E30" s="45">
        <f t="shared" ref="E30:E87" si="2">C30*D30</f>
        <v>2400</v>
      </c>
      <c r="F30" s="143"/>
      <c r="G30" s="46"/>
      <c r="H30" s="45">
        <f>IF(B30&lt;&gt;"",H29+E30-F30-G30,0)</f>
        <v>2400</v>
      </c>
      <c r="I30" s="130"/>
    </row>
    <row r="31" spans="1:9" ht="20.25" hidden="1" customHeight="1">
      <c r="A31" s="24">
        <v>41796</v>
      </c>
      <c r="B31" s="130" t="s">
        <v>285</v>
      </c>
      <c r="C31" s="26">
        <v>1940</v>
      </c>
      <c r="D31" s="27">
        <v>6</v>
      </c>
      <c r="E31" s="27">
        <f t="shared" si="2"/>
        <v>11640</v>
      </c>
      <c r="F31" s="28"/>
      <c r="G31" s="29"/>
      <c r="H31" s="45">
        <f>IF(B31&lt;&gt;"",H30+E31-F31-G31,0)</f>
        <v>14040</v>
      </c>
      <c r="I31" s="31"/>
    </row>
    <row r="32" spans="1:9" ht="20.25" hidden="1" customHeight="1">
      <c r="A32" s="24">
        <v>41829</v>
      </c>
      <c r="B32" s="31" t="s">
        <v>183</v>
      </c>
      <c r="C32" s="26">
        <v>1173</v>
      </c>
      <c r="D32" s="27">
        <v>53</v>
      </c>
      <c r="E32" s="27">
        <f t="shared" si="2"/>
        <v>62169</v>
      </c>
      <c r="F32" s="28"/>
      <c r="G32" s="29"/>
      <c r="H32" s="45">
        <f>IF(B32&lt;&gt;"",H31+E32-F32-G32,0)</f>
        <v>76209</v>
      </c>
      <c r="I32" s="31"/>
    </row>
    <row r="33" spans="1:9" ht="20.25" hidden="1" customHeight="1">
      <c r="A33" s="39"/>
      <c r="B33" s="67" t="s">
        <v>17</v>
      </c>
      <c r="C33" s="40"/>
      <c r="D33" s="41"/>
      <c r="E33" s="41">
        <f t="shared" si="2"/>
        <v>0</v>
      </c>
      <c r="F33" s="64"/>
      <c r="G33" s="42">
        <f>H32</f>
        <v>76209</v>
      </c>
      <c r="H33" s="41">
        <f>IF(B33&lt;&gt;"",H32+E33-F33-G33,0)</f>
        <v>0</v>
      </c>
      <c r="I33" s="201">
        <v>41837</v>
      </c>
    </row>
    <row r="34" spans="1:9" ht="20.25" hidden="1" customHeight="1">
      <c r="A34" s="24">
        <v>41862</v>
      </c>
      <c r="B34" s="31" t="s">
        <v>183</v>
      </c>
      <c r="C34" s="26">
        <v>2121</v>
      </c>
      <c r="D34" s="27">
        <v>48</v>
      </c>
      <c r="E34" s="27">
        <f t="shared" si="2"/>
        <v>101808</v>
      </c>
      <c r="F34" s="28"/>
      <c r="G34" s="29"/>
      <c r="H34" s="27">
        <f t="shared" ref="H34:H87" si="3">IF(B34&lt;&gt;"",H33+E34-F34-G34,0)</f>
        <v>101808</v>
      </c>
      <c r="I34" s="31"/>
    </row>
    <row r="35" spans="1:9" ht="20.25" hidden="1" customHeight="1">
      <c r="A35" s="24"/>
      <c r="B35" s="31" t="s">
        <v>183</v>
      </c>
      <c r="C35" s="26">
        <v>508</v>
      </c>
      <c r="D35" s="27">
        <v>48</v>
      </c>
      <c r="E35" s="27">
        <f t="shared" si="2"/>
        <v>24384</v>
      </c>
      <c r="F35" s="28"/>
      <c r="G35" s="29"/>
      <c r="H35" s="27">
        <f t="shared" si="3"/>
        <v>126192</v>
      </c>
      <c r="I35" s="31"/>
    </row>
    <row r="36" spans="1:9" ht="20.25" hidden="1" customHeight="1">
      <c r="A36" s="24">
        <v>41866</v>
      </c>
      <c r="B36" s="31" t="s">
        <v>183</v>
      </c>
      <c r="C36" s="26">
        <v>1709</v>
      </c>
      <c r="D36" s="27">
        <v>48</v>
      </c>
      <c r="E36" s="27">
        <f t="shared" si="2"/>
        <v>82032</v>
      </c>
      <c r="F36" s="28"/>
      <c r="G36" s="29"/>
      <c r="H36" s="27">
        <f t="shared" si="3"/>
        <v>208224</v>
      </c>
      <c r="I36" s="31"/>
    </row>
    <row r="37" spans="1:9" ht="20.25" hidden="1" customHeight="1">
      <c r="A37" s="24"/>
      <c r="B37" s="31" t="s">
        <v>183</v>
      </c>
      <c r="C37" s="26">
        <v>275</v>
      </c>
      <c r="D37" s="27">
        <v>48</v>
      </c>
      <c r="E37" s="27">
        <f t="shared" si="2"/>
        <v>13200</v>
      </c>
      <c r="F37" s="28"/>
      <c r="G37" s="29"/>
      <c r="H37" s="27">
        <f t="shared" si="3"/>
        <v>221424</v>
      </c>
      <c r="I37" s="31"/>
    </row>
    <row r="38" spans="1:9" ht="20.25" hidden="1" customHeight="1">
      <c r="A38" s="24">
        <v>41875</v>
      </c>
      <c r="B38" s="31" t="s">
        <v>183</v>
      </c>
      <c r="C38" s="26">
        <v>2599</v>
      </c>
      <c r="D38" s="27">
        <v>48</v>
      </c>
      <c r="E38" s="27">
        <f t="shared" si="2"/>
        <v>124752</v>
      </c>
      <c r="F38" s="28"/>
      <c r="G38" s="29"/>
      <c r="H38" s="27">
        <f t="shared" si="3"/>
        <v>346176</v>
      </c>
      <c r="I38" s="31"/>
    </row>
    <row r="39" spans="1:9" ht="20.25" hidden="1" customHeight="1">
      <c r="A39" s="24">
        <v>41880</v>
      </c>
      <c r="B39" s="31" t="s">
        <v>183</v>
      </c>
      <c r="C39" s="26">
        <v>2860</v>
      </c>
      <c r="D39" s="27">
        <v>48</v>
      </c>
      <c r="E39" s="27">
        <f t="shared" si="2"/>
        <v>137280</v>
      </c>
      <c r="F39" s="28"/>
      <c r="G39" s="29"/>
      <c r="H39" s="27">
        <f t="shared" si="3"/>
        <v>483456</v>
      </c>
      <c r="I39" s="31"/>
    </row>
    <row r="40" spans="1:9" ht="20.25" hidden="1" customHeight="1">
      <c r="A40" s="24">
        <v>41881</v>
      </c>
      <c r="B40" s="31" t="s">
        <v>183</v>
      </c>
      <c r="C40" s="26">
        <v>3170</v>
      </c>
      <c r="D40" s="27">
        <v>48</v>
      </c>
      <c r="E40" s="27">
        <f t="shared" si="2"/>
        <v>152160</v>
      </c>
      <c r="F40" s="28"/>
      <c r="G40" s="29"/>
      <c r="H40" s="27">
        <f t="shared" si="3"/>
        <v>635616</v>
      </c>
      <c r="I40" s="31"/>
    </row>
    <row r="41" spans="1:9" ht="20.25" hidden="1" customHeight="1">
      <c r="A41" s="39"/>
      <c r="B41" s="67" t="s">
        <v>17</v>
      </c>
      <c r="C41" s="40"/>
      <c r="D41" s="41"/>
      <c r="E41" s="41">
        <f t="shared" si="2"/>
        <v>0</v>
      </c>
      <c r="F41" s="64"/>
      <c r="G41" s="42">
        <v>200000</v>
      </c>
      <c r="H41" s="41">
        <f t="shared" si="3"/>
        <v>435616</v>
      </c>
      <c r="I41" s="201">
        <v>41872</v>
      </c>
    </row>
    <row r="42" spans="1:9" ht="20.25" hidden="1" customHeight="1">
      <c r="A42" s="24">
        <v>41888</v>
      </c>
      <c r="B42" s="31" t="s">
        <v>183</v>
      </c>
      <c r="C42" s="26">
        <v>2702</v>
      </c>
      <c r="D42" s="27">
        <v>48</v>
      </c>
      <c r="E42" s="27">
        <f t="shared" si="2"/>
        <v>129696</v>
      </c>
      <c r="F42" s="28"/>
      <c r="G42" s="29"/>
      <c r="H42" s="27">
        <f t="shared" si="3"/>
        <v>565312</v>
      </c>
      <c r="I42" s="31"/>
    </row>
    <row r="43" spans="1:9" ht="20.25" hidden="1" customHeight="1">
      <c r="A43" s="24">
        <v>41891</v>
      </c>
      <c r="B43" s="31" t="s">
        <v>183</v>
      </c>
      <c r="C43" s="26">
        <v>1038</v>
      </c>
      <c r="D43" s="27">
        <v>48</v>
      </c>
      <c r="E43" s="27">
        <f t="shared" si="2"/>
        <v>49824</v>
      </c>
      <c r="F43" s="28"/>
      <c r="G43" s="29"/>
      <c r="H43" s="27">
        <f t="shared" si="3"/>
        <v>615136</v>
      </c>
      <c r="I43" s="31"/>
    </row>
    <row r="44" spans="1:9" ht="20.25" hidden="1" customHeight="1">
      <c r="A44" s="24"/>
      <c r="B44" s="31" t="s">
        <v>286</v>
      </c>
      <c r="C44" s="26">
        <v>1303</v>
      </c>
      <c r="D44" s="27">
        <v>43</v>
      </c>
      <c r="E44" s="27">
        <f t="shared" si="2"/>
        <v>56029</v>
      </c>
      <c r="F44" s="28"/>
      <c r="G44" s="29"/>
      <c r="H44" s="27">
        <f t="shared" si="3"/>
        <v>671165</v>
      </c>
      <c r="I44" s="31"/>
    </row>
    <row r="45" spans="1:9" ht="20.25" hidden="1" customHeight="1">
      <c r="A45" s="39"/>
      <c r="B45" s="67" t="s">
        <v>17</v>
      </c>
      <c r="C45" s="40"/>
      <c r="D45" s="41"/>
      <c r="E45" s="41">
        <f t="shared" si="2"/>
        <v>0</v>
      </c>
      <c r="F45" s="64"/>
      <c r="G45" s="42">
        <v>250000</v>
      </c>
      <c r="H45" s="41">
        <f>IF(B45&lt;&gt;"",H44+E45-F45-G45,0)</f>
        <v>421165</v>
      </c>
      <c r="I45" s="201">
        <v>41891</v>
      </c>
    </row>
    <row r="46" spans="1:9" ht="20.25" hidden="1" customHeight="1">
      <c r="A46" s="24">
        <v>41905</v>
      </c>
      <c r="B46" s="31" t="s">
        <v>183</v>
      </c>
      <c r="C46" s="26">
        <v>3186</v>
      </c>
      <c r="D46" s="27">
        <v>50</v>
      </c>
      <c r="E46" s="27">
        <f t="shared" si="2"/>
        <v>159300</v>
      </c>
      <c r="F46" s="28"/>
      <c r="G46" s="29"/>
      <c r="H46" s="27">
        <f t="shared" si="3"/>
        <v>580465</v>
      </c>
      <c r="I46" s="31"/>
    </row>
    <row r="47" spans="1:9" ht="20.25" hidden="1" customHeight="1">
      <c r="A47" s="39"/>
      <c r="B47" s="67" t="s">
        <v>17</v>
      </c>
      <c r="C47" s="40"/>
      <c r="D47" s="41"/>
      <c r="E47" s="41">
        <f t="shared" si="2"/>
        <v>0</v>
      </c>
      <c r="F47" s="64"/>
      <c r="G47" s="42">
        <v>250000</v>
      </c>
      <c r="H47" s="41">
        <f t="shared" si="3"/>
        <v>330465</v>
      </c>
      <c r="I47" s="201">
        <v>41905</v>
      </c>
    </row>
    <row r="48" spans="1:9" ht="20.25" hidden="1" customHeight="1">
      <c r="A48" s="24">
        <v>41907</v>
      </c>
      <c r="B48" s="31" t="s">
        <v>183</v>
      </c>
      <c r="C48" s="26">
        <v>2632</v>
      </c>
      <c r="D48" s="27">
        <v>50</v>
      </c>
      <c r="E48" s="27">
        <f t="shared" si="2"/>
        <v>131600</v>
      </c>
      <c r="F48" s="28"/>
      <c r="G48" s="29"/>
      <c r="H48" s="27">
        <f t="shared" si="3"/>
        <v>462065</v>
      </c>
      <c r="I48" s="31"/>
    </row>
    <row r="49" spans="1:9" ht="20.25" hidden="1" customHeight="1">
      <c r="A49" s="24">
        <v>41909</v>
      </c>
      <c r="B49" s="31" t="s">
        <v>183</v>
      </c>
      <c r="C49" s="26">
        <v>3456</v>
      </c>
      <c r="D49" s="27">
        <v>50</v>
      </c>
      <c r="E49" s="27">
        <f t="shared" si="2"/>
        <v>172800</v>
      </c>
      <c r="F49" s="28"/>
      <c r="G49" s="29"/>
      <c r="H49" s="27">
        <f t="shared" si="3"/>
        <v>634865</v>
      </c>
      <c r="I49" s="31"/>
    </row>
    <row r="50" spans="1:9" ht="20.25" hidden="1" customHeight="1">
      <c r="A50" s="24">
        <v>41916</v>
      </c>
      <c r="B50" s="31" t="s">
        <v>183</v>
      </c>
      <c r="C50" s="26">
        <v>1538</v>
      </c>
      <c r="D50" s="27">
        <v>47</v>
      </c>
      <c r="E50" s="27">
        <f t="shared" si="2"/>
        <v>72286</v>
      </c>
      <c r="F50" s="28"/>
      <c r="G50" s="29"/>
      <c r="H50" s="27">
        <f t="shared" si="3"/>
        <v>707151</v>
      </c>
      <c r="I50" s="31"/>
    </row>
    <row r="51" spans="1:9" ht="20.25" hidden="1" customHeight="1">
      <c r="A51" s="24"/>
      <c r="B51" s="31" t="s">
        <v>183</v>
      </c>
      <c r="C51" s="26">
        <v>2485</v>
      </c>
      <c r="D51" s="27">
        <v>47</v>
      </c>
      <c r="E51" s="27">
        <f t="shared" si="2"/>
        <v>116795</v>
      </c>
      <c r="F51" s="28"/>
      <c r="G51" s="29"/>
      <c r="H51" s="27">
        <f t="shared" si="3"/>
        <v>823946</v>
      </c>
      <c r="I51" s="31"/>
    </row>
    <row r="52" spans="1:9" ht="20.25" hidden="1" customHeight="1">
      <c r="A52" s="24"/>
      <c r="B52" s="31" t="s">
        <v>183</v>
      </c>
      <c r="C52" s="26">
        <v>371</v>
      </c>
      <c r="D52" s="27">
        <v>20</v>
      </c>
      <c r="E52" s="27">
        <f t="shared" si="2"/>
        <v>7420</v>
      </c>
      <c r="F52" s="28"/>
      <c r="G52" s="29"/>
      <c r="H52" s="27">
        <f t="shared" si="3"/>
        <v>831366</v>
      </c>
      <c r="I52" s="31"/>
    </row>
    <row r="53" spans="1:9" ht="20.25" hidden="1" customHeight="1">
      <c r="A53" s="39"/>
      <c r="B53" s="67" t="s">
        <v>17</v>
      </c>
      <c r="C53" s="40"/>
      <c r="D53" s="41"/>
      <c r="E53" s="41">
        <f>C53*D53</f>
        <v>0</v>
      </c>
      <c r="F53" s="64"/>
      <c r="G53" s="42">
        <v>250000</v>
      </c>
      <c r="H53" s="27">
        <f t="shared" si="3"/>
        <v>581366</v>
      </c>
      <c r="I53" s="201">
        <v>41921</v>
      </c>
    </row>
    <row r="54" spans="1:9" ht="20.25" hidden="1" customHeight="1">
      <c r="A54" s="39"/>
      <c r="B54" s="67" t="s">
        <v>17</v>
      </c>
      <c r="C54" s="40"/>
      <c r="D54" s="41"/>
      <c r="E54" s="41">
        <f>C54*D54</f>
        <v>0</v>
      </c>
      <c r="F54" s="64"/>
      <c r="G54" s="42">
        <v>200000</v>
      </c>
      <c r="H54" s="27">
        <f t="shared" si="3"/>
        <v>381366</v>
      </c>
      <c r="I54" s="201">
        <v>41932</v>
      </c>
    </row>
    <row r="55" spans="1:9" ht="20.25" hidden="1" customHeight="1">
      <c r="A55" s="24">
        <v>41930</v>
      </c>
      <c r="B55" s="31" t="s">
        <v>183</v>
      </c>
      <c r="C55" s="26">
        <v>4139</v>
      </c>
      <c r="D55" s="27">
        <v>42</v>
      </c>
      <c r="E55" s="27">
        <f t="shared" si="2"/>
        <v>173838</v>
      </c>
      <c r="F55" s="28"/>
      <c r="G55" s="29"/>
      <c r="H55" s="27">
        <f t="shared" si="3"/>
        <v>555204</v>
      </c>
      <c r="I55" s="31"/>
    </row>
    <row r="56" spans="1:9" ht="20.25" hidden="1" customHeight="1">
      <c r="A56" s="24"/>
      <c r="B56" s="31" t="s">
        <v>183</v>
      </c>
      <c r="C56" s="26">
        <v>1357</v>
      </c>
      <c r="D56" s="27">
        <v>42</v>
      </c>
      <c r="E56" s="27">
        <f t="shared" si="2"/>
        <v>56994</v>
      </c>
      <c r="F56" s="28"/>
      <c r="G56" s="29"/>
      <c r="H56" s="27">
        <f t="shared" si="3"/>
        <v>612198</v>
      </c>
      <c r="I56" s="31"/>
    </row>
    <row r="57" spans="1:9" ht="20.25" hidden="1" customHeight="1">
      <c r="A57" s="24">
        <v>41931</v>
      </c>
      <c r="B57" s="31" t="s">
        <v>183</v>
      </c>
      <c r="C57" s="26">
        <v>2685</v>
      </c>
      <c r="D57" s="27">
        <v>42</v>
      </c>
      <c r="E57" s="27">
        <f t="shared" si="2"/>
        <v>112770</v>
      </c>
      <c r="F57" s="28"/>
      <c r="G57" s="29"/>
      <c r="H57" s="27">
        <f t="shared" si="3"/>
        <v>724968</v>
      </c>
      <c r="I57" s="31"/>
    </row>
    <row r="58" spans="1:9" ht="20.25" hidden="1" customHeight="1">
      <c r="A58" s="24">
        <v>41934</v>
      </c>
      <c r="B58" s="31" t="s">
        <v>183</v>
      </c>
      <c r="C58" s="26">
        <v>3099</v>
      </c>
      <c r="D58" s="27">
        <v>40</v>
      </c>
      <c r="E58" s="27">
        <f t="shared" si="2"/>
        <v>123960</v>
      </c>
      <c r="F58" s="28"/>
      <c r="G58" s="29"/>
      <c r="H58" s="27">
        <f t="shared" si="3"/>
        <v>848928</v>
      </c>
      <c r="I58" s="31"/>
    </row>
    <row r="59" spans="1:9" ht="20.25" hidden="1" customHeight="1">
      <c r="A59" s="24"/>
      <c r="B59" s="31" t="s">
        <v>183</v>
      </c>
      <c r="C59" s="26">
        <v>2161</v>
      </c>
      <c r="D59" s="27">
        <v>40</v>
      </c>
      <c r="E59" s="27">
        <f t="shared" si="2"/>
        <v>86440</v>
      </c>
      <c r="F59" s="28"/>
      <c r="G59" s="29"/>
      <c r="H59" s="27">
        <f t="shared" si="3"/>
        <v>935368</v>
      </c>
      <c r="I59" s="31"/>
    </row>
    <row r="60" spans="1:9" ht="20.25" hidden="1" customHeight="1">
      <c r="A60" s="24">
        <v>41936</v>
      </c>
      <c r="B60" s="31" t="s">
        <v>183</v>
      </c>
      <c r="C60" s="26">
        <v>2719</v>
      </c>
      <c r="D60" s="27">
        <v>40</v>
      </c>
      <c r="E60" s="27">
        <f t="shared" si="2"/>
        <v>108760</v>
      </c>
      <c r="F60" s="28"/>
      <c r="G60" s="29"/>
      <c r="H60" s="27">
        <f t="shared" si="3"/>
        <v>1044128</v>
      </c>
      <c r="I60" s="31"/>
    </row>
    <row r="61" spans="1:9" ht="20.25" hidden="1" customHeight="1">
      <c r="A61" s="24"/>
      <c r="B61" s="31" t="s">
        <v>183</v>
      </c>
      <c r="C61" s="26">
        <v>2568</v>
      </c>
      <c r="D61" s="27">
        <v>38</v>
      </c>
      <c r="E61" s="27">
        <f t="shared" si="2"/>
        <v>97584</v>
      </c>
      <c r="F61" s="28"/>
      <c r="G61" s="29"/>
      <c r="H61" s="27">
        <f t="shared" si="3"/>
        <v>1141712</v>
      </c>
      <c r="I61" s="31"/>
    </row>
    <row r="62" spans="1:9" ht="20.25" hidden="1" customHeight="1">
      <c r="A62" s="24">
        <v>41939</v>
      </c>
      <c r="B62" s="31" t="s">
        <v>183</v>
      </c>
      <c r="C62" s="26">
        <v>2884</v>
      </c>
      <c r="D62" s="27">
        <v>35</v>
      </c>
      <c r="E62" s="27">
        <f t="shared" si="2"/>
        <v>100940</v>
      </c>
      <c r="F62" s="28"/>
      <c r="G62" s="29"/>
      <c r="H62" s="27">
        <f t="shared" si="3"/>
        <v>1242652</v>
      </c>
      <c r="I62" s="31"/>
    </row>
    <row r="63" spans="1:9" ht="20.25" hidden="1" customHeight="1">
      <c r="A63" s="39"/>
      <c r="B63" s="67" t="s">
        <v>17</v>
      </c>
      <c r="C63" s="40"/>
      <c r="D63" s="41"/>
      <c r="E63" s="41">
        <f>C63*D63</f>
        <v>0</v>
      </c>
      <c r="F63" s="64"/>
      <c r="G63" s="42">
        <v>200000</v>
      </c>
      <c r="H63" s="27">
        <f>IF(B63&lt;&gt;"",H62+E63-F63-G63,0)</f>
        <v>1042652</v>
      </c>
      <c r="I63" s="201">
        <v>41941</v>
      </c>
    </row>
    <row r="64" spans="1:9" ht="20.25" hidden="1" customHeight="1">
      <c r="A64" s="24"/>
      <c r="B64" s="67" t="s">
        <v>17</v>
      </c>
      <c r="C64" s="26"/>
      <c r="D64" s="27"/>
      <c r="E64" s="27">
        <f t="shared" si="2"/>
        <v>0</v>
      </c>
      <c r="F64" s="28"/>
      <c r="G64" s="42">
        <v>200000</v>
      </c>
      <c r="H64" s="27">
        <f t="shared" si="3"/>
        <v>842652</v>
      </c>
      <c r="I64" s="201">
        <v>41957</v>
      </c>
    </row>
    <row r="65" spans="1:9" ht="20.25" hidden="1" customHeight="1">
      <c r="A65" s="24"/>
      <c r="B65" s="67" t="s">
        <v>17</v>
      </c>
      <c r="C65" s="26"/>
      <c r="D65" s="27"/>
      <c r="E65" s="27">
        <f t="shared" si="2"/>
        <v>0</v>
      </c>
      <c r="F65" s="28"/>
      <c r="G65" s="42">
        <v>200000</v>
      </c>
      <c r="H65" s="27">
        <f t="shared" si="3"/>
        <v>642652</v>
      </c>
      <c r="I65" s="201">
        <v>41963</v>
      </c>
    </row>
    <row r="66" spans="1:9" ht="20.25" hidden="1" customHeight="1">
      <c r="A66" s="24"/>
      <c r="B66" s="67" t="s">
        <v>17</v>
      </c>
      <c r="C66" s="26"/>
      <c r="D66" s="27"/>
      <c r="E66" s="27">
        <f t="shared" si="2"/>
        <v>0</v>
      </c>
      <c r="F66" s="28"/>
      <c r="G66" s="42">
        <v>200000</v>
      </c>
      <c r="H66" s="27">
        <f t="shared" si="3"/>
        <v>442652</v>
      </c>
      <c r="I66" s="201">
        <v>41983</v>
      </c>
    </row>
    <row r="67" spans="1:9" ht="20.25" hidden="1" customHeight="1">
      <c r="A67" s="24"/>
      <c r="B67" s="67" t="s">
        <v>17</v>
      </c>
      <c r="C67" s="26"/>
      <c r="D67" s="27"/>
      <c r="E67" s="27">
        <f t="shared" si="2"/>
        <v>0</v>
      </c>
      <c r="F67" s="28"/>
      <c r="G67" s="42">
        <v>200000</v>
      </c>
      <c r="H67" s="27">
        <f t="shared" si="3"/>
        <v>242652</v>
      </c>
      <c r="I67" s="201">
        <v>41991</v>
      </c>
    </row>
    <row r="68" spans="1:9" ht="20.25" hidden="1" customHeight="1">
      <c r="A68" s="24">
        <v>42002</v>
      </c>
      <c r="B68" s="31" t="s">
        <v>183</v>
      </c>
      <c r="C68" s="26">
        <v>2521</v>
      </c>
      <c r="D68" s="27">
        <v>45.5</v>
      </c>
      <c r="E68" s="27">
        <f t="shared" si="2"/>
        <v>114705.5</v>
      </c>
      <c r="F68" s="28"/>
      <c r="G68" s="29"/>
      <c r="H68" s="27">
        <f t="shared" si="3"/>
        <v>357357.5</v>
      </c>
      <c r="I68" s="201"/>
    </row>
    <row r="69" spans="1:9" ht="20.25" customHeight="1">
      <c r="A69" s="24">
        <v>42018</v>
      </c>
      <c r="B69" s="31" t="s">
        <v>183</v>
      </c>
      <c r="C69" s="26">
        <v>2709</v>
      </c>
      <c r="D69" s="27">
        <v>46</v>
      </c>
      <c r="E69" s="27">
        <f t="shared" si="2"/>
        <v>124614</v>
      </c>
      <c r="F69" s="28"/>
      <c r="G69" s="29"/>
      <c r="H69" s="27">
        <f t="shared" si="3"/>
        <v>481971.5</v>
      </c>
      <c r="I69" s="201"/>
    </row>
    <row r="70" spans="1:9" ht="20.25" customHeight="1">
      <c r="A70" s="24"/>
      <c r="B70" s="67" t="s">
        <v>17</v>
      </c>
      <c r="C70" s="26"/>
      <c r="D70" s="27"/>
      <c r="E70" s="27">
        <f t="shared" si="2"/>
        <v>0</v>
      </c>
      <c r="F70" s="28"/>
      <c r="G70" s="29">
        <v>150000</v>
      </c>
      <c r="H70" s="27">
        <f t="shared" si="3"/>
        <v>331971.5</v>
      </c>
      <c r="I70" s="201">
        <v>42024</v>
      </c>
    </row>
    <row r="71" spans="1:9" ht="20.25" customHeight="1">
      <c r="A71" s="24"/>
      <c r="B71" s="67" t="s">
        <v>17</v>
      </c>
      <c r="C71" s="26"/>
      <c r="D71" s="27"/>
      <c r="E71" s="27">
        <f t="shared" si="2"/>
        <v>0</v>
      </c>
      <c r="F71" s="28"/>
      <c r="G71" s="29">
        <v>150000</v>
      </c>
      <c r="H71" s="27">
        <f t="shared" si="3"/>
        <v>181971.5</v>
      </c>
      <c r="I71" s="201">
        <v>42046</v>
      </c>
    </row>
    <row r="72" spans="1:9" ht="20.25" customHeight="1">
      <c r="A72" s="24"/>
      <c r="B72" s="31" t="s">
        <v>302</v>
      </c>
      <c r="C72" s="26">
        <v>209</v>
      </c>
      <c r="D72" s="27">
        <v>24</v>
      </c>
      <c r="E72" s="27">
        <f t="shared" si="2"/>
        <v>5016</v>
      </c>
      <c r="F72" s="28"/>
      <c r="G72" s="29"/>
      <c r="H72" s="27">
        <f t="shared" si="3"/>
        <v>186987.5</v>
      </c>
      <c r="I72" s="31"/>
    </row>
    <row r="73" spans="1:9" ht="20.25" customHeight="1">
      <c r="A73" s="24"/>
      <c r="B73" s="67" t="s">
        <v>17</v>
      </c>
      <c r="C73" s="26"/>
      <c r="D73" s="27"/>
      <c r="E73" s="27">
        <f t="shared" si="2"/>
        <v>0</v>
      </c>
      <c r="F73" s="28"/>
      <c r="G73" s="29">
        <f>H72</f>
        <v>186987.5</v>
      </c>
      <c r="H73" s="27">
        <f t="shared" si="3"/>
        <v>0</v>
      </c>
      <c r="I73" s="201">
        <v>42066</v>
      </c>
    </row>
    <row r="74" spans="1:9" ht="20.25" customHeight="1">
      <c r="A74" s="24">
        <v>42292</v>
      </c>
      <c r="B74" s="31" t="s">
        <v>100</v>
      </c>
      <c r="C74" s="26">
        <v>2595</v>
      </c>
      <c r="D74" s="27">
        <v>26</v>
      </c>
      <c r="E74" s="27">
        <f t="shared" si="2"/>
        <v>67470</v>
      </c>
      <c r="F74" s="28"/>
      <c r="G74" s="29"/>
      <c r="H74" s="27">
        <f t="shared" si="3"/>
        <v>67470</v>
      </c>
      <c r="I74" s="31"/>
    </row>
    <row r="75" spans="1:9" ht="20.25" customHeight="1">
      <c r="A75" s="24">
        <v>42294</v>
      </c>
      <c r="B75" s="31" t="s">
        <v>100</v>
      </c>
      <c r="C75" s="26">
        <v>5332</v>
      </c>
      <c r="D75" s="27">
        <v>25</v>
      </c>
      <c r="E75" s="27">
        <f t="shared" si="2"/>
        <v>133300</v>
      </c>
      <c r="F75" s="28"/>
      <c r="G75" s="29"/>
      <c r="H75" s="27">
        <f t="shared" si="3"/>
        <v>200770</v>
      </c>
      <c r="I75" s="31"/>
    </row>
    <row r="76" spans="1:9" ht="20.25" customHeight="1">
      <c r="A76" s="24">
        <v>42296</v>
      </c>
      <c r="B76" s="31" t="s">
        <v>100</v>
      </c>
      <c r="C76" s="26">
        <v>5880</v>
      </c>
      <c r="D76" s="27">
        <v>25</v>
      </c>
      <c r="E76" s="27">
        <f t="shared" si="2"/>
        <v>147000</v>
      </c>
      <c r="F76" s="28"/>
      <c r="G76" s="29"/>
      <c r="H76" s="27">
        <f t="shared" si="3"/>
        <v>347770</v>
      </c>
      <c r="I76" s="31"/>
    </row>
    <row r="77" spans="1:9" ht="20.25" customHeight="1">
      <c r="A77" s="24"/>
      <c r="B77" s="67" t="s">
        <v>17</v>
      </c>
      <c r="C77" s="26"/>
      <c r="D77" s="27"/>
      <c r="E77" s="27">
        <f t="shared" ref="E77" si="4">C77*D77</f>
        <v>0</v>
      </c>
      <c r="F77" s="28"/>
      <c r="G77" s="29">
        <v>100000</v>
      </c>
      <c r="H77" s="27">
        <f t="shared" ref="H77" si="5">IF(B77&lt;&gt;"",H76+E77-F77-G77,0)</f>
        <v>247770</v>
      </c>
      <c r="I77" s="225">
        <v>42327</v>
      </c>
    </row>
    <row r="78" spans="1:9" ht="20.25" customHeight="1">
      <c r="A78" s="24"/>
      <c r="B78" s="31"/>
      <c r="C78" s="26"/>
      <c r="D78" s="27"/>
      <c r="E78" s="27">
        <f t="shared" si="2"/>
        <v>0</v>
      </c>
      <c r="F78" s="28"/>
      <c r="G78" s="29"/>
      <c r="H78" s="27">
        <f t="shared" si="3"/>
        <v>0</v>
      </c>
      <c r="I78" s="31"/>
    </row>
    <row r="79" spans="1:9" ht="20.25" customHeight="1">
      <c r="A79" s="24"/>
      <c r="B79" s="31"/>
      <c r="C79" s="26"/>
      <c r="D79" s="27"/>
      <c r="E79" s="27">
        <f t="shared" si="2"/>
        <v>0</v>
      </c>
      <c r="F79" s="28"/>
      <c r="G79" s="29"/>
      <c r="H79" s="27">
        <f t="shared" si="3"/>
        <v>0</v>
      </c>
      <c r="I79" s="31"/>
    </row>
    <row r="80" spans="1:9" ht="20.25" customHeight="1">
      <c r="A80" s="24"/>
      <c r="B80" s="31"/>
      <c r="C80" s="26"/>
      <c r="D80" s="27"/>
      <c r="E80" s="27">
        <f t="shared" si="2"/>
        <v>0</v>
      </c>
      <c r="F80" s="28"/>
      <c r="G80" s="29"/>
      <c r="H80" s="27">
        <f t="shared" si="3"/>
        <v>0</v>
      </c>
      <c r="I80" s="31"/>
    </row>
    <row r="81" spans="1:10" ht="20.25" customHeight="1">
      <c r="A81" s="24"/>
      <c r="B81" s="31"/>
      <c r="C81" s="26"/>
      <c r="D81" s="27"/>
      <c r="E81" s="27">
        <f t="shared" si="2"/>
        <v>0</v>
      </c>
      <c r="F81" s="28"/>
      <c r="G81" s="29"/>
      <c r="H81" s="27">
        <f t="shared" si="3"/>
        <v>0</v>
      </c>
      <c r="I81" s="31"/>
    </row>
    <row r="82" spans="1:10" ht="20.25" customHeight="1">
      <c r="A82" s="24"/>
      <c r="B82" s="31"/>
      <c r="C82" s="26"/>
      <c r="D82" s="27"/>
      <c r="E82" s="27">
        <f t="shared" si="2"/>
        <v>0</v>
      </c>
      <c r="F82" s="28"/>
      <c r="G82" s="29"/>
      <c r="H82" s="27">
        <f t="shared" si="3"/>
        <v>0</v>
      </c>
      <c r="I82" s="31"/>
    </row>
    <row r="83" spans="1:10" ht="20.25" customHeight="1">
      <c r="A83" s="24"/>
      <c r="B83" s="31"/>
      <c r="C83" s="26"/>
      <c r="D83" s="27"/>
      <c r="E83" s="27">
        <f t="shared" si="2"/>
        <v>0</v>
      </c>
      <c r="F83" s="28"/>
      <c r="G83" s="29"/>
      <c r="H83" s="27">
        <f t="shared" si="3"/>
        <v>0</v>
      </c>
      <c r="I83" s="31"/>
    </row>
    <row r="84" spans="1:10" ht="20.25" customHeight="1">
      <c r="A84" s="24"/>
      <c r="B84" s="31"/>
      <c r="C84" s="26"/>
      <c r="D84" s="27"/>
      <c r="E84" s="27">
        <f t="shared" si="2"/>
        <v>0</v>
      </c>
      <c r="F84" s="28"/>
      <c r="G84" s="29"/>
      <c r="H84" s="27">
        <f t="shared" si="3"/>
        <v>0</v>
      </c>
      <c r="I84" s="31"/>
    </row>
    <row r="85" spans="1:10" ht="20.25" customHeight="1">
      <c r="A85" s="24"/>
      <c r="B85" s="31"/>
      <c r="C85" s="26"/>
      <c r="D85" s="27"/>
      <c r="E85" s="27">
        <f t="shared" si="2"/>
        <v>0</v>
      </c>
      <c r="F85" s="28"/>
      <c r="G85" s="29"/>
      <c r="H85" s="27">
        <f t="shared" si="3"/>
        <v>0</v>
      </c>
      <c r="I85" s="31"/>
    </row>
    <row r="86" spans="1:10" ht="20.25" customHeight="1">
      <c r="A86" s="24"/>
      <c r="B86" s="31"/>
      <c r="C86" s="26"/>
      <c r="D86" s="27"/>
      <c r="E86" s="27">
        <f t="shared" si="2"/>
        <v>0</v>
      </c>
      <c r="F86" s="28"/>
      <c r="G86" s="29"/>
      <c r="H86" s="27">
        <f t="shared" si="3"/>
        <v>0</v>
      </c>
      <c r="I86" s="31"/>
    </row>
    <row r="87" spans="1:10" ht="20.25" customHeight="1">
      <c r="A87" s="24"/>
      <c r="B87" s="31"/>
      <c r="C87" s="26"/>
      <c r="D87" s="27"/>
      <c r="E87" s="27">
        <f t="shared" si="2"/>
        <v>0</v>
      </c>
      <c r="F87" s="28"/>
      <c r="G87" s="29"/>
      <c r="H87" s="27">
        <f t="shared" si="3"/>
        <v>0</v>
      </c>
      <c r="I87" s="31"/>
    </row>
    <row r="88" spans="1:10" s="200" customFormat="1" ht="20.25" customHeight="1">
      <c r="A88" s="226" t="s">
        <v>14</v>
      </c>
      <c r="B88" s="226"/>
      <c r="C88" s="226"/>
      <c r="D88" s="226"/>
      <c r="E88" s="68">
        <f>SUM(E10:E87)</f>
        <v>4829546.5</v>
      </c>
      <c r="F88" s="68">
        <f>SUM(F10:F87)</f>
        <v>0</v>
      </c>
      <c r="G88" s="68">
        <f>SUM(G10:G87)</f>
        <v>4581776.5</v>
      </c>
      <c r="H88" s="68">
        <f>E88-F88-G88</f>
        <v>247770</v>
      </c>
      <c r="I88" s="68"/>
      <c r="J88" s="206"/>
    </row>
  </sheetData>
  <autoFilter ref="A9:I9"/>
  <mergeCells count="10">
    <mergeCell ref="A29:G29"/>
    <mergeCell ref="A88:D88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theme="6" tint="-0.499984740745262"/>
  </sheetPr>
  <dimension ref="A1:I167"/>
  <sheetViews>
    <sheetView topLeftCell="A7" workbookViewId="0">
      <pane ySplit="3" topLeftCell="A147" activePane="bottomLeft" state="frozen"/>
      <selection activeCell="A184" sqref="A184"/>
      <selection pane="bottomLeft" activeCell="A184" sqref="A184"/>
    </sheetView>
  </sheetViews>
  <sheetFormatPr defaultRowHeight="23.25" customHeight="1"/>
  <cols>
    <col min="1" max="1" width="9.140625" style="4"/>
    <col min="2" max="2" width="14.7109375" style="4" customWidth="1"/>
    <col min="3" max="3" width="10.140625" style="4" customWidth="1"/>
    <col min="4" max="4" width="9.85546875" style="4" customWidth="1"/>
    <col min="5" max="5" width="15.42578125" style="4" customWidth="1"/>
    <col min="6" max="6" width="14.140625" style="4" hidden="1" customWidth="1"/>
    <col min="7" max="7" width="15.5703125" style="9" customWidth="1"/>
    <col min="8" max="8" width="15.42578125" style="6" customWidth="1"/>
    <col min="9" max="9" width="17.140625" style="4" customWidth="1"/>
    <col min="10" max="16384" width="9.140625" style="4"/>
  </cols>
  <sheetData>
    <row r="1" spans="1:9" s="60" customFormat="1" ht="18.75" customHeight="1">
      <c r="A1" s="227" t="s">
        <v>38</v>
      </c>
      <c r="B1" s="227"/>
      <c r="C1" s="227"/>
      <c r="D1" s="227"/>
      <c r="G1" s="61"/>
      <c r="H1" s="62"/>
    </row>
    <row r="2" spans="1:9" s="60" customFormat="1" ht="18.75" customHeight="1">
      <c r="A2" s="227" t="s">
        <v>37</v>
      </c>
      <c r="B2" s="227"/>
      <c r="C2" s="227"/>
      <c r="D2" s="227"/>
      <c r="E2" s="227"/>
      <c r="F2" s="227"/>
      <c r="G2" s="61"/>
      <c r="H2" s="62"/>
    </row>
    <row r="3" spans="1:9" s="60" customFormat="1" ht="18.75" customHeight="1">
      <c r="A3" s="227" t="s">
        <v>40</v>
      </c>
      <c r="B3" s="227"/>
      <c r="C3" s="227" t="s">
        <v>41</v>
      </c>
      <c r="D3" s="227"/>
      <c r="E3" s="227"/>
      <c r="F3" s="59"/>
      <c r="G3" s="61"/>
      <c r="H3" s="62"/>
    </row>
    <row r="4" spans="1:9" ht="9.75" customHeight="1"/>
    <row r="5" spans="1:9" s="63" customFormat="1" ht="29.25" customHeight="1">
      <c r="A5" s="228" t="s">
        <v>48</v>
      </c>
      <c r="B5" s="228"/>
      <c r="C5" s="228"/>
      <c r="D5" s="228"/>
      <c r="E5" s="228"/>
      <c r="F5" s="228"/>
      <c r="G5" s="228"/>
      <c r="H5" s="228"/>
      <c r="I5" s="228"/>
    </row>
    <row r="6" spans="1:9" ht="9.75" customHeight="1"/>
    <row r="7" spans="1:9" ht="23.25" customHeight="1">
      <c r="A7" s="231" t="s">
        <v>98</v>
      </c>
      <c r="B7" s="231"/>
      <c r="C7" s="231" t="s">
        <v>26</v>
      </c>
      <c r="D7" s="231"/>
    </row>
    <row r="8" spans="1:9" s="55" customFormat="1" ht="11.25" customHeight="1">
      <c r="G8" s="56"/>
      <c r="H8" s="38"/>
    </row>
    <row r="9" spans="1:9" s="75" customFormat="1" ht="47.25" customHeight="1">
      <c r="A9" s="70" t="s">
        <v>0</v>
      </c>
      <c r="B9" s="70" t="s">
        <v>1</v>
      </c>
      <c r="C9" s="72" t="s">
        <v>24</v>
      </c>
      <c r="D9" s="72" t="s">
        <v>35</v>
      </c>
      <c r="E9" s="72" t="s">
        <v>75</v>
      </c>
      <c r="F9" s="73" t="s">
        <v>76</v>
      </c>
      <c r="G9" s="73" t="s">
        <v>15</v>
      </c>
      <c r="H9" s="74" t="s">
        <v>2</v>
      </c>
      <c r="I9" s="70" t="s">
        <v>3</v>
      </c>
    </row>
    <row r="10" spans="1:9" ht="20.25" customHeight="1">
      <c r="A10" s="242" t="s">
        <v>97</v>
      </c>
      <c r="B10" s="243"/>
      <c r="C10" s="243"/>
      <c r="D10" s="243"/>
      <c r="E10" s="243"/>
      <c r="F10" s="243"/>
      <c r="G10" s="244"/>
      <c r="H10" s="144">
        <v>699938</v>
      </c>
      <c r="I10" s="145"/>
    </row>
    <row r="11" spans="1:9" ht="20.25" customHeight="1">
      <c r="A11" s="43">
        <v>41358</v>
      </c>
      <c r="B11" s="58" t="s">
        <v>23</v>
      </c>
      <c r="C11" s="44">
        <v>2410</v>
      </c>
      <c r="D11" s="45">
        <v>110</v>
      </c>
      <c r="E11" s="45">
        <f t="shared" ref="E11:E17" si="0">C11*D11</f>
        <v>265100</v>
      </c>
      <c r="F11" s="45"/>
      <c r="G11" s="46"/>
      <c r="H11" s="27">
        <f t="shared" ref="H11:H19" si="1">IF(B11&lt;&gt;"",H10+E11-G11,0)</f>
        <v>965038</v>
      </c>
      <c r="I11" s="31"/>
    </row>
    <row r="12" spans="1:9" ht="20.25" customHeight="1">
      <c r="A12" s="24">
        <v>41362</v>
      </c>
      <c r="B12" s="58" t="s">
        <v>23</v>
      </c>
      <c r="C12" s="26">
        <v>2843</v>
      </c>
      <c r="D12" s="45">
        <v>110</v>
      </c>
      <c r="E12" s="27">
        <f t="shared" si="0"/>
        <v>312730</v>
      </c>
      <c r="F12" s="27"/>
      <c r="G12" s="29"/>
      <c r="H12" s="27">
        <f t="shared" si="1"/>
        <v>1277768</v>
      </c>
      <c r="I12" s="30"/>
    </row>
    <row r="13" spans="1:9" ht="20.25" customHeight="1">
      <c r="A13" s="24">
        <v>41364</v>
      </c>
      <c r="B13" s="58" t="s">
        <v>23</v>
      </c>
      <c r="C13" s="26">
        <v>2752</v>
      </c>
      <c r="D13" s="45">
        <v>110</v>
      </c>
      <c r="E13" s="27">
        <f t="shared" si="0"/>
        <v>302720</v>
      </c>
      <c r="F13" s="27"/>
      <c r="G13" s="29"/>
      <c r="H13" s="27">
        <f t="shared" si="1"/>
        <v>1580488</v>
      </c>
      <c r="I13" s="30"/>
    </row>
    <row r="14" spans="1:9" ht="20.25" customHeight="1">
      <c r="A14" s="24"/>
      <c r="B14" s="25" t="s">
        <v>17</v>
      </c>
      <c r="C14" s="26"/>
      <c r="D14" s="27"/>
      <c r="E14" s="27">
        <f t="shared" si="0"/>
        <v>0</v>
      </c>
      <c r="F14" s="27"/>
      <c r="G14" s="29">
        <v>100000</v>
      </c>
      <c r="H14" s="27">
        <f t="shared" si="1"/>
        <v>1480488</v>
      </c>
      <c r="I14" s="30">
        <v>41361</v>
      </c>
    </row>
    <row r="15" spans="1:9" ht="20.25" customHeight="1">
      <c r="A15" s="24"/>
      <c r="B15" s="25" t="s">
        <v>17</v>
      </c>
      <c r="C15" s="26"/>
      <c r="D15" s="27"/>
      <c r="E15" s="27">
        <f t="shared" si="0"/>
        <v>0</v>
      </c>
      <c r="F15" s="27"/>
      <c r="G15" s="29">
        <v>100000</v>
      </c>
      <c r="H15" s="27">
        <f t="shared" si="1"/>
        <v>1380488</v>
      </c>
      <c r="I15" s="30">
        <v>41367</v>
      </c>
    </row>
    <row r="16" spans="1:9" ht="20.25" customHeight="1">
      <c r="A16" s="24"/>
      <c r="B16" s="25" t="s">
        <v>17</v>
      </c>
      <c r="C16" s="26"/>
      <c r="D16" s="27"/>
      <c r="E16" s="27">
        <f t="shared" si="0"/>
        <v>0</v>
      </c>
      <c r="F16" s="27"/>
      <c r="G16" s="29">
        <v>200000</v>
      </c>
      <c r="H16" s="27">
        <f t="shared" si="1"/>
        <v>1180488</v>
      </c>
      <c r="I16" s="30">
        <v>41377</v>
      </c>
    </row>
    <row r="17" spans="1:9" ht="20.25" customHeight="1">
      <c r="A17" s="24"/>
      <c r="B17" s="25" t="s">
        <v>17</v>
      </c>
      <c r="C17" s="26"/>
      <c r="D17" s="27"/>
      <c r="E17" s="27">
        <f t="shared" si="0"/>
        <v>0</v>
      </c>
      <c r="F17" s="27"/>
      <c r="G17" s="29">
        <v>150000</v>
      </c>
      <c r="H17" s="27">
        <f t="shared" si="1"/>
        <v>1030488</v>
      </c>
      <c r="I17" s="30">
        <v>41390</v>
      </c>
    </row>
    <row r="18" spans="1:9" ht="20.25" customHeight="1">
      <c r="A18" s="24">
        <v>41396</v>
      </c>
      <c r="B18" s="16" t="s">
        <v>106</v>
      </c>
      <c r="C18" s="26">
        <v>200</v>
      </c>
      <c r="D18" s="27">
        <v>43</v>
      </c>
      <c r="E18" s="27">
        <f t="shared" ref="E18:E29" si="2">C18*D18</f>
        <v>8600</v>
      </c>
      <c r="F18" s="27"/>
      <c r="G18" s="29"/>
      <c r="H18" s="27">
        <f t="shared" si="1"/>
        <v>1039088</v>
      </c>
      <c r="I18" s="31"/>
    </row>
    <row r="19" spans="1:9" ht="20.25" customHeight="1">
      <c r="A19" s="24"/>
      <c r="B19" s="16" t="s">
        <v>80</v>
      </c>
      <c r="C19" s="26">
        <v>191</v>
      </c>
      <c r="D19" s="27">
        <v>115</v>
      </c>
      <c r="E19" s="27">
        <f t="shared" si="2"/>
        <v>21965</v>
      </c>
      <c r="F19" s="27"/>
      <c r="G19" s="29"/>
      <c r="H19" s="27">
        <f t="shared" si="1"/>
        <v>1061053</v>
      </c>
      <c r="I19" s="31"/>
    </row>
    <row r="20" spans="1:9" ht="20.25" customHeight="1">
      <c r="A20" s="24"/>
      <c r="B20" s="16" t="s">
        <v>77</v>
      </c>
      <c r="C20" s="26">
        <v>9</v>
      </c>
      <c r="D20" s="27">
        <v>135</v>
      </c>
      <c r="E20" s="27">
        <f t="shared" si="2"/>
        <v>1215</v>
      </c>
      <c r="F20" s="27"/>
      <c r="G20" s="29"/>
      <c r="H20" s="27">
        <f t="shared" ref="H20:H29" si="3">IF(B20&lt;&gt;"",H19+E20-G20,0)</f>
        <v>1062268</v>
      </c>
      <c r="I20" s="31"/>
    </row>
    <row r="21" spans="1:9" ht="20.25" customHeight="1">
      <c r="A21" s="24"/>
      <c r="B21" s="16" t="s">
        <v>107</v>
      </c>
      <c r="C21" s="26">
        <v>62.5</v>
      </c>
      <c r="D21" s="27">
        <v>110</v>
      </c>
      <c r="E21" s="27">
        <f t="shared" si="2"/>
        <v>6875</v>
      </c>
      <c r="F21" s="27"/>
      <c r="G21" s="29"/>
      <c r="H21" s="27">
        <f t="shared" si="3"/>
        <v>1069143</v>
      </c>
      <c r="I21" s="31"/>
    </row>
    <row r="22" spans="1:9" ht="20.25" customHeight="1">
      <c r="A22" s="24"/>
      <c r="B22" s="16" t="s">
        <v>108</v>
      </c>
      <c r="C22" s="26">
        <v>266.5</v>
      </c>
      <c r="D22" s="27">
        <v>105</v>
      </c>
      <c r="E22" s="27">
        <f t="shared" si="2"/>
        <v>27982.5</v>
      </c>
      <c r="F22" s="27"/>
      <c r="G22" s="29"/>
      <c r="H22" s="27">
        <f t="shared" si="3"/>
        <v>1097125.5</v>
      </c>
      <c r="I22" s="31"/>
    </row>
    <row r="23" spans="1:9" ht="20.25" customHeight="1">
      <c r="A23" s="24"/>
      <c r="B23" s="25" t="s">
        <v>17</v>
      </c>
      <c r="C23" s="26"/>
      <c r="D23" s="27"/>
      <c r="E23" s="27">
        <f t="shared" si="2"/>
        <v>0</v>
      </c>
      <c r="F23" s="27"/>
      <c r="G23" s="29">
        <v>200000</v>
      </c>
      <c r="H23" s="27">
        <f t="shared" si="3"/>
        <v>897125.5</v>
      </c>
      <c r="I23" s="30">
        <v>41403</v>
      </c>
    </row>
    <row r="24" spans="1:9" ht="20.25" customHeight="1">
      <c r="A24" s="24">
        <v>41408</v>
      </c>
      <c r="B24" s="16" t="s">
        <v>107</v>
      </c>
      <c r="C24" s="26">
        <v>797.5</v>
      </c>
      <c r="D24" s="27">
        <v>112</v>
      </c>
      <c r="E24" s="27">
        <f t="shared" si="2"/>
        <v>89320</v>
      </c>
      <c r="F24" s="27"/>
      <c r="G24" s="29"/>
      <c r="H24" s="27">
        <f t="shared" si="3"/>
        <v>986445.5</v>
      </c>
      <c r="I24" s="31"/>
    </row>
    <row r="25" spans="1:9" ht="20.25" customHeight="1">
      <c r="A25" s="24"/>
      <c r="B25" s="16" t="s">
        <v>108</v>
      </c>
      <c r="C25" s="26">
        <v>604</v>
      </c>
      <c r="D25" s="27">
        <v>105</v>
      </c>
      <c r="E25" s="27">
        <f t="shared" si="2"/>
        <v>63420</v>
      </c>
      <c r="F25" s="27"/>
      <c r="G25" s="29"/>
      <c r="H25" s="27">
        <f t="shared" si="3"/>
        <v>1049865.5</v>
      </c>
      <c r="I25" s="31"/>
    </row>
    <row r="26" spans="1:9" ht="20.25" customHeight="1">
      <c r="A26" s="24"/>
      <c r="B26" s="25" t="s">
        <v>17</v>
      </c>
      <c r="C26" s="26"/>
      <c r="D26" s="27"/>
      <c r="E26" s="27">
        <f t="shared" si="2"/>
        <v>0</v>
      </c>
      <c r="F26" s="27"/>
      <c r="G26" s="29">
        <v>200000</v>
      </c>
      <c r="H26" s="27">
        <f t="shared" si="3"/>
        <v>849865.5</v>
      </c>
      <c r="I26" s="30">
        <v>41426</v>
      </c>
    </row>
    <row r="27" spans="1:9" ht="20.25" customHeight="1">
      <c r="A27" s="24"/>
      <c r="B27" s="25" t="s">
        <v>17</v>
      </c>
      <c r="C27" s="26"/>
      <c r="D27" s="27"/>
      <c r="E27" s="27">
        <f t="shared" si="2"/>
        <v>0</v>
      </c>
      <c r="F27" s="27"/>
      <c r="G27" s="29">
        <v>150000</v>
      </c>
      <c r="H27" s="27">
        <f t="shared" si="3"/>
        <v>699865.5</v>
      </c>
      <c r="I27" s="30">
        <v>41445</v>
      </c>
    </row>
    <row r="28" spans="1:9" ht="20.25" customHeight="1">
      <c r="A28" s="24"/>
      <c r="B28" s="25" t="s">
        <v>17</v>
      </c>
      <c r="C28" s="26"/>
      <c r="D28" s="27"/>
      <c r="E28" s="27">
        <f t="shared" si="2"/>
        <v>0</v>
      </c>
      <c r="F28" s="27"/>
      <c r="G28" s="29">
        <v>150000</v>
      </c>
      <c r="H28" s="27">
        <f t="shared" si="3"/>
        <v>549865.5</v>
      </c>
      <c r="I28" s="30">
        <v>41461</v>
      </c>
    </row>
    <row r="29" spans="1:9" ht="20.25" customHeight="1">
      <c r="A29" s="24"/>
      <c r="B29" s="25" t="s">
        <v>17</v>
      </c>
      <c r="C29" s="26"/>
      <c r="D29" s="27"/>
      <c r="E29" s="27">
        <f t="shared" si="2"/>
        <v>0</v>
      </c>
      <c r="F29" s="27"/>
      <c r="G29" s="29">
        <v>150000</v>
      </c>
      <c r="H29" s="27">
        <f t="shared" si="3"/>
        <v>399865.5</v>
      </c>
      <c r="I29" s="30">
        <v>41478</v>
      </c>
    </row>
    <row r="30" spans="1:9" ht="20.25" customHeight="1">
      <c r="A30" s="24"/>
      <c r="B30" s="25" t="s">
        <v>17</v>
      </c>
      <c r="C30" s="26"/>
      <c r="D30" s="27"/>
      <c r="E30" s="27">
        <f t="shared" ref="E30:E36" si="4">C30*D30</f>
        <v>0</v>
      </c>
      <c r="F30" s="27"/>
      <c r="G30" s="29">
        <v>150000</v>
      </c>
      <c r="H30" s="27">
        <f t="shared" ref="H30:H37" si="5">IF(B30&lt;&gt;"",H29+E30-G30,0)</f>
        <v>249865.5</v>
      </c>
      <c r="I30" s="30">
        <v>41485</v>
      </c>
    </row>
    <row r="31" spans="1:9" ht="20.25" customHeight="1">
      <c r="A31" s="24">
        <v>41479</v>
      </c>
      <c r="B31" s="16" t="s">
        <v>160</v>
      </c>
      <c r="C31" s="26">
        <v>3772</v>
      </c>
      <c r="D31" s="27">
        <v>29</v>
      </c>
      <c r="E31" s="27">
        <f t="shared" si="4"/>
        <v>109388</v>
      </c>
      <c r="F31" s="27"/>
      <c r="G31" s="29"/>
      <c r="H31" s="27">
        <f t="shared" si="5"/>
        <v>359253.5</v>
      </c>
      <c r="I31" s="31" t="s">
        <v>176</v>
      </c>
    </row>
    <row r="32" spans="1:9" ht="20.25" customHeight="1">
      <c r="A32" s="24">
        <v>41481</v>
      </c>
      <c r="B32" s="16" t="s">
        <v>160</v>
      </c>
      <c r="C32" s="26">
        <v>6351</v>
      </c>
      <c r="D32" s="27">
        <v>29</v>
      </c>
      <c r="E32" s="27">
        <f t="shared" si="4"/>
        <v>184179</v>
      </c>
      <c r="F32" s="27"/>
      <c r="G32" s="29"/>
      <c r="H32" s="27">
        <f t="shared" si="5"/>
        <v>543432.5</v>
      </c>
      <c r="I32" s="31" t="s">
        <v>175</v>
      </c>
    </row>
    <row r="33" spans="1:9" ht="20.25" customHeight="1">
      <c r="A33" s="24">
        <v>41482</v>
      </c>
      <c r="B33" s="16" t="s">
        <v>160</v>
      </c>
      <c r="C33" s="26">
        <v>10513</v>
      </c>
      <c r="D33" s="27">
        <v>29</v>
      </c>
      <c r="E33" s="27">
        <f t="shared" si="4"/>
        <v>304877</v>
      </c>
      <c r="F33" s="27"/>
      <c r="G33" s="29"/>
      <c r="H33" s="27">
        <f t="shared" si="5"/>
        <v>848309.5</v>
      </c>
      <c r="I33" s="31" t="s">
        <v>177</v>
      </c>
    </row>
    <row r="34" spans="1:9" ht="20.25" customHeight="1">
      <c r="A34" s="24">
        <v>41484</v>
      </c>
      <c r="B34" s="16" t="s">
        <v>160</v>
      </c>
      <c r="C34" s="26">
        <v>6161</v>
      </c>
      <c r="D34" s="27">
        <v>29</v>
      </c>
      <c r="E34" s="27">
        <f t="shared" si="4"/>
        <v>178669</v>
      </c>
      <c r="F34" s="27"/>
      <c r="G34" s="29"/>
      <c r="H34" s="27">
        <f t="shared" si="5"/>
        <v>1026978.5</v>
      </c>
      <c r="I34" s="31" t="s">
        <v>178</v>
      </c>
    </row>
    <row r="35" spans="1:9" ht="20.25" customHeight="1">
      <c r="A35" s="24">
        <v>41486</v>
      </c>
      <c r="B35" s="16" t="s">
        <v>160</v>
      </c>
      <c r="C35" s="26">
        <v>5440</v>
      </c>
      <c r="D35" s="27">
        <v>29</v>
      </c>
      <c r="E35" s="27">
        <f t="shared" si="4"/>
        <v>157760</v>
      </c>
      <c r="F35" s="27"/>
      <c r="G35" s="29"/>
      <c r="H35" s="27">
        <f t="shared" si="5"/>
        <v>1184738.5</v>
      </c>
      <c r="I35" s="31" t="s">
        <v>179</v>
      </c>
    </row>
    <row r="36" spans="1:9" ht="20.25" customHeight="1">
      <c r="A36" s="24">
        <v>41487</v>
      </c>
      <c r="B36" s="16" t="s">
        <v>160</v>
      </c>
      <c r="C36" s="26">
        <v>5740</v>
      </c>
      <c r="D36" s="27">
        <v>29</v>
      </c>
      <c r="E36" s="27">
        <f t="shared" si="4"/>
        <v>166460</v>
      </c>
      <c r="F36" s="27"/>
      <c r="G36" s="29"/>
      <c r="H36" s="27">
        <f t="shared" si="5"/>
        <v>1351198.5</v>
      </c>
      <c r="I36" s="31" t="s">
        <v>44</v>
      </c>
    </row>
    <row r="37" spans="1:9" ht="20.25" customHeight="1">
      <c r="A37" s="24">
        <v>41488</v>
      </c>
      <c r="B37" s="16" t="s">
        <v>160</v>
      </c>
      <c r="C37" s="26">
        <v>5734</v>
      </c>
      <c r="D37" s="27">
        <v>29</v>
      </c>
      <c r="E37" s="27">
        <f t="shared" ref="E37:E48" si="6">C37*D37</f>
        <v>166286</v>
      </c>
      <c r="F37" s="27"/>
      <c r="G37" s="29"/>
      <c r="H37" s="27">
        <f t="shared" si="5"/>
        <v>1517484.5</v>
      </c>
      <c r="I37" s="31" t="s">
        <v>44</v>
      </c>
    </row>
    <row r="38" spans="1:9" ht="20.25" customHeight="1">
      <c r="A38" s="24"/>
      <c r="B38" s="25" t="s">
        <v>17</v>
      </c>
      <c r="C38" s="26"/>
      <c r="D38" s="27"/>
      <c r="E38" s="27">
        <f t="shared" si="6"/>
        <v>0</v>
      </c>
      <c r="F38" s="27"/>
      <c r="G38" s="29">
        <v>400000</v>
      </c>
      <c r="H38" s="27">
        <f t="shared" ref="H38:H48" si="7">IF(B38&lt;&gt;"",H37+E38-G38,0)</f>
        <v>1117484.5</v>
      </c>
      <c r="I38" s="30">
        <v>41498</v>
      </c>
    </row>
    <row r="39" spans="1:9" ht="20.25" customHeight="1">
      <c r="A39" s="24">
        <v>41487</v>
      </c>
      <c r="B39" s="16" t="s">
        <v>165</v>
      </c>
      <c r="C39" s="26">
        <v>869</v>
      </c>
      <c r="D39" s="27">
        <v>95</v>
      </c>
      <c r="E39" s="27">
        <f t="shared" si="6"/>
        <v>82555</v>
      </c>
      <c r="F39" s="27"/>
      <c r="G39" s="29"/>
      <c r="H39" s="27">
        <f t="shared" si="7"/>
        <v>1200039.5</v>
      </c>
      <c r="I39" s="31"/>
    </row>
    <row r="40" spans="1:9" ht="20.25" customHeight="1">
      <c r="A40" s="24"/>
      <c r="B40" s="16" t="s">
        <v>34</v>
      </c>
      <c r="C40" s="26">
        <v>34.5</v>
      </c>
      <c r="D40" s="27">
        <v>115</v>
      </c>
      <c r="E40" s="27">
        <f t="shared" si="6"/>
        <v>3967.5</v>
      </c>
      <c r="F40" s="27"/>
      <c r="G40" s="29"/>
      <c r="H40" s="27">
        <f t="shared" si="7"/>
        <v>1204007</v>
      </c>
      <c r="I40" s="31"/>
    </row>
    <row r="41" spans="1:9" ht="20.25" customHeight="1">
      <c r="A41" s="24"/>
      <c r="B41" s="16" t="s">
        <v>23</v>
      </c>
      <c r="C41" s="26">
        <v>12.5</v>
      </c>
      <c r="D41" s="27">
        <v>110</v>
      </c>
      <c r="E41" s="27">
        <f t="shared" si="6"/>
        <v>1375</v>
      </c>
      <c r="F41" s="27"/>
      <c r="G41" s="29"/>
      <c r="H41" s="27">
        <f t="shared" si="7"/>
        <v>1205382</v>
      </c>
      <c r="I41" s="31"/>
    </row>
    <row r="42" spans="1:9" ht="20.25" customHeight="1">
      <c r="A42" s="24"/>
      <c r="B42" s="16" t="s">
        <v>166</v>
      </c>
      <c r="C42" s="26">
        <v>28.5</v>
      </c>
      <c r="D42" s="27">
        <v>90</v>
      </c>
      <c r="E42" s="27">
        <f t="shared" si="6"/>
        <v>2565</v>
      </c>
      <c r="F42" s="27"/>
      <c r="G42" s="29"/>
      <c r="H42" s="27">
        <f t="shared" si="7"/>
        <v>1207947</v>
      </c>
      <c r="I42" s="31"/>
    </row>
    <row r="43" spans="1:9" ht="20.25" customHeight="1">
      <c r="A43" s="24">
        <v>41493</v>
      </c>
      <c r="B43" s="16" t="s">
        <v>165</v>
      </c>
      <c r="C43" s="26">
        <v>2219.5</v>
      </c>
      <c r="D43" s="27">
        <v>95</v>
      </c>
      <c r="E43" s="27">
        <f t="shared" si="6"/>
        <v>210852.5</v>
      </c>
      <c r="F43" s="27"/>
      <c r="G43" s="29"/>
      <c r="H43" s="27">
        <f t="shared" si="7"/>
        <v>1418799.5</v>
      </c>
      <c r="I43" s="31"/>
    </row>
    <row r="44" spans="1:9" ht="20.25" customHeight="1">
      <c r="A44" s="24"/>
      <c r="B44" s="16" t="s">
        <v>18</v>
      </c>
      <c r="C44" s="26">
        <v>720</v>
      </c>
      <c r="D44" s="27">
        <v>100</v>
      </c>
      <c r="E44" s="27">
        <f t="shared" si="6"/>
        <v>72000</v>
      </c>
      <c r="F44" s="27"/>
      <c r="G44" s="29"/>
      <c r="H44" s="27">
        <f t="shared" si="7"/>
        <v>1490799.5</v>
      </c>
      <c r="I44" s="31"/>
    </row>
    <row r="45" spans="1:9" ht="20.25" customHeight="1">
      <c r="A45" s="24"/>
      <c r="B45" s="16" t="s">
        <v>34</v>
      </c>
      <c r="C45" s="26">
        <v>60</v>
      </c>
      <c r="D45" s="27">
        <v>115</v>
      </c>
      <c r="E45" s="27">
        <f t="shared" si="6"/>
        <v>6900</v>
      </c>
      <c r="F45" s="27"/>
      <c r="G45" s="29"/>
      <c r="H45" s="27">
        <f t="shared" si="7"/>
        <v>1497699.5</v>
      </c>
      <c r="I45" s="31"/>
    </row>
    <row r="46" spans="1:9" ht="20.25" customHeight="1">
      <c r="A46" s="24"/>
      <c r="B46" s="16" t="s">
        <v>166</v>
      </c>
      <c r="C46" s="26">
        <v>63.5</v>
      </c>
      <c r="D46" s="27">
        <v>90</v>
      </c>
      <c r="E46" s="27">
        <f t="shared" si="6"/>
        <v>5715</v>
      </c>
      <c r="F46" s="27"/>
      <c r="G46" s="29"/>
      <c r="H46" s="27">
        <f t="shared" si="7"/>
        <v>1503414.5</v>
      </c>
      <c r="I46" s="31"/>
    </row>
    <row r="47" spans="1:9" ht="20.25" customHeight="1">
      <c r="A47" s="24">
        <v>41504</v>
      </c>
      <c r="B47" s="16" t="s">
        <v>168</v>
      </c>
      <c r="C47" s="26">
        <v>1282</v>
      </c>
      <c r="D47" s="27">
        <v>130</v>
      </c>
      <c r="E47" s="27">
        <f t="shared" si="6"/>
        <v>166660</v>
      </c>
      <c r="F47" s="27"/>
      <c r="G47" s="29"/>
      <c r="H47" s="27">
        <f t="shared" si="7"/>
        <v>1670074.5</v>
      </c>
      <c r="I47" s="31"/>
    </row>
    <row r="48" spans="1:9" ht="20.25" customHeight="1">
      <c r="A48" s="24"/>
      <c r="B48" s="16" t="s">
        <v>18</v>
      </c>
      <c r="C48" s="26">
        <v>345</v>
      </c>
      <c r="D48" s="27">
        <v>100</v>
      </c>
      <c r="E48" s="27">
        <f t="shared" si="6"/>
        <v>34500</v>
      </c>
      <c r="F48" s="27"/>
      <c r="G48" s="29"/>
      <c r="H48" s="27">
        <f t="shared" si="7"/>
        <v>1704574.5</v>
      </c>
      <c r="I48" s="31"/>
    </row>
    <row r="49" spans="1:9" ht="20.25" customHeight="1">
      <c r="A49" s="24"/>
      <c r="B49" s="16" t="s">
        <v>34</v>
      </c>
      <c r="C49" s="26">
        <v>476</v>
      </c>
      <c r="D49" s="27">
        <v>115</v>
      </c>
      <c r="E49" s="27">
        <f t="shared" ref="E49:E67" si="8">C49*D49</f>
        <v>54740</v>
      </c>
      <c r="F49" s="27"/>
      <c r="G49" s="29"/>
      <c r="H49" s="27">
        <f t="shared" ref="H49:H70" si="9">IF(B49&lt;&gt;"",H48+E49-G49,0)</f>
        <v>1759314.5</v>
      </c>
      <c r="I49" s="31"/>
    </row>
    <row r="50" spans="1:9" ht="20.25" customHeight="1">
      <c r="A50" s="24"/>
      <c r="B50" s="16" t="s">
        <v>165</v>
      </c>
      <c r="C50" s="26">
        <v>269</v>
      </c>
      <c r="D50" s="27">
        <v>95</v>
      </c>
      <c r="E50" s="27">
        <f t="shared" si="8"/>
        <v>25555</v>
      </c>
      <c r="F50" s="27"/>
      <c r="G50" s="29"/>
      <c r="H50" s="27">
        <f t="shared" si="9"/>
        <v>1784869.5</v>
      </c>
      <c r="I50" s="31"/>
    </row>
    <row r="51" spans="1:9" ht="20.25" customHeight="1">
      <c r="A51" s="24"/>
      <c r="B51" s="16" t="s">
        <v>33</v>
      </c>
      <c r="C51" s="26">
        <v>1252</v>
      </c>
      <c r="D51" s="27">
        <v>50</v>
      </c>
      <c r="E51" s="27">
        <f t="shared" si="8"/>
        <v>62600</v>
      </c>
      <c r="F51" s="27"/>
      <c r="G51" s="29"/>
      <c r="H51" s="27">
        <f t="shared" si="9"/>
        <v>1847469.5</v>
      </c>
      <c r="I51" s="31"/>
    </row>
    <row r="52" spans="1:9" ht="20.25" customHeight="1">
      <c r="A52" s="24"/>
      <c r="B52" s="16" t="s">
        <v>112</v>
      </c>
      <c r="C52" s="26">
        <v>105</v>
      </c>
      <c r="D52" s="27">
        <v>50</v>
      </c>
      <c r="E52" s="27">
        <f t="shared" si="8"/>
        <v>5250</v>
      </c>
      <c r="F52" s="27"/>
      <c r="G52" s="29"/>
      <c r="H52" s="27">
        <f t="shared" si="9"/>
        <v>1852719.5</v>
      </c>
      <c r="I52" s="31"/>
    </row>
    <row r="53" spans="1:9" ht="20.25" customHeight="1">
      <c r="A53" s="24"/>
      <c r="B53" s="16" t="s">
        <v>108</v>
      </c>
      <c r="C53" s="26">
        <v>8</v>
      </c>
      <c r="D53" s="27">
        <v>105</v>
      </c>
      <c r="E53" s="27">
        <f t="shared" si="8"/>
        <v>840</v>
      </c>
      <c r="F53" s="27"/>
      <c r="G53" s="29"/>
      <c r="H53" s="27">
        <f t="shared" si="9"/>
        <v>1853559.5</v>
      </c>
      <c r="I53" s="31"/>
    </row>
    <row r="54" spans="1:9" ht="20.25" customHeight="1">
      <c r="A54" s="24"/>
      <c r="B54" s="16" t="s">
        <v>23</v>
      </c>
      <c r="C54" s="26">
        <v>2</v>
      </c>
      <c r="D54" s="27">
        <v>110</v>
      </c>
      <c r="E54" s="27">
        <f t="shared" si="8"/>
        <v>220</v>
      </c>
      <c r="F54" s="27"/>
      <c r="G54" s="29"/>
      <c r="H54" s="27">
        <f t="shared" si="9"/>
        <v>1853779.5</v>
      </c>
      <c r="I54" s="31"/>
    </row>
    <row r="55" spans="1:9" ht="20.25" customHeight="1">
      <c r="A55" s="24">
        <v>41508</v>
      </c>
      <c r="B55" s="16" t="s">
        <v>168</v>
      </c>
      <c r="C55" s="26">
        <v>649</v>
      </c>
      <c r="D55" s="27">
        <v>130</v>
      </c>
      <c r="E55" s="27">
        <f t="shared" si="8"/>
        <v>84370</v>
      </c>
      <c r="F55" s="27"/>
      <c r="G55" s="29"/>
      <c r="H55" s="27">
        <f t="shared" si="9"/>
        <v>1938149.5</v>
      </c>
      <c r="I55" s="31"/>
    </row>
    <row r="56" spans="1:9" ht="20.25" customHeight="1">
      <c r="A56" s="24"/>
      <c r="B56" s="16" t="s">
        <v>33</v>
      </c>
      <c r="C56" s="26">
        <v>512</v>
      </c>
      <c r="D56" s="27">
        <v>50</v>
      </c>
      <c r="E56" s="27">
        <f t="shared" si="8"/>
        <v>25600</v>
      </c>
      <c r="F56" s="27"/>
      <c r="G56" s="29"/>
      <c r="H56" s="27">
        <f t="shared" si="9"/>
        <v>1963749.5</v>
      </c>
      <c r="I56" s="31"/>
    </row>
    <row r="57" spans="1:9" ht="20.25" customHeight="1">
      <c r="A57" s="24"/>
      <c r="B57" s="16" t="s">
        <v>112</v>
      </c>
      <c r="C57" s="26">
        <v>134</v>
      </c>
      <c r="D57" s="27">
        <v>50</v>
      </c>
      <c r="E57" s="27">
        <f t="shared" si="8"/>
        <v>6700</v>
      </c>
      <c r="F57" s="27"/>
      <c r="G57" s="29"/>
      <c r="H57" s="27">
        <f t="shared" si="9"/>
        <v>1970449.5</v>
      </c>
      <c r="I57" s="31"/>
    </row>
    <row r="58" spans="1:9" ht="20.25" customHeight="1">
      <c r="A58" s="24"/>
      <c r="B58" s="16" t="s">
        <v>166</v>
      </c>
      <c r="C58" s="26">
        <v>180</v>
      </c>
      <c r="D58" s="27">
        <v>90</v>
      </c>
      <c r="E58" s="27">
        <f t="shared" si="8"/>
        <v>16200</v>
      </c>
      <c r="F58" s="27"/>
      <c r="G58" s="29"/>
      <c r="H58" s="27">
        <f t="shared" si="9"/>
        <v>1986649.5</v>
      </c>
      <c r="I58" s="31"/>
    </row>
    <row r="59" spans="1:9" ht="20.25" customHeight="1">
      <c r="A59" s="24">
        <v>41512</v>
      </c>
      <c r="B59" s="16" t="s">
        <v>165</v>
      </c>
      <c r="C59" s="26">
        <v>49</v>
      </c>
      <c r="D59" s="27">
        <v>95</v>
      </c>
      <c r="E59" s="27">
        <f t="shared" si="8"/>
        <v>4655</v>
      </c>
      <c r="F59" s="27"/>
      <c r="G59" s="29"/>
      <c r="H59" s="27">
        <f t="shared" si="9"/>
        <v>1991304.5</v>
      </c>
      <c r="I59" s="31"/>
    </row>
    <row r="60" spans="1:9" ht="20.25" customHeight="1">
      <c r="A60" s="24"/>
      <c r="B60" s="16" t="s">
        <v>33</v>
      </c>
      <c r="C60" s="26">
        <v>45</v>
      </c>
      <c r="D60" s="27">
        <v>50</v>
      </c>
      <c r="E60" s="27">
        <f t="shared" si="8"/>
        <v>2250</v>
      </c>
      <c r="F60" s="27"/>
      <c r="G60" s="29"/>
      <c r="H60" s="27">
        <f t="shared" si="9"/>
        <v>1993554.5</v>
      </c>
      <c r="I60" s="31"/>
    </row>
    <row r="61" spans="1:9" ht="20.25" customHeight="1">
      <c r="A61" s="24"/>
      <c r="B61" s="16" t="s">
        <v>112</v>
      </c>
      <c r="C61" s="26">
        <v>675</v>
      </c>
      <c r="D61" s="27">
        <v>50</v>
      </c>
      <c r="E61" s="27">
        <f t="shared" si="8"/>
        <v>33750</v>
      </c>
      <c r="F61" s="27"/>
      <c r="G61" s="29"/>
      <c r="H61" s="27">
        <f t="shared" si="9"/>
        <v>2027304.5</v>
      </c>
      <c r="I61" s="31"/>
    </row>
    <row r="62" spans="1:9" ht="20.25" customHeight="1">
      <c r="A62" s="24"/>
      <c r="B62" s="16" t="s">
        <v>166</v>
      </c>
      <c r="C62" s="26">
        <v>388.5</v>
      </c>
      <c r="D62" s="27">
        <v>90</v>
      </c>
      <c r="E62" s="27">
        <f t="shared" si="8"/>
        <v>34965</v>
      </c>
      <c r="F62" s="27"/>
      <c r="G62" s="29"/>
      <c r="H62" s="27">
        <f t="shared" si="9"/>
        <v>2062269.5</v>
      </c>
      <c r="I62" s="31"/>
    </row>
    <row r="63" spans="1:9" ht="20.25" customHeight="1">
      <c r="A63" s="24"/>
      <c r="B63" s="16" t="s">
        <v>108</v>
      </c>
      <c r="C63" s="26">
        <v>61.5</v>
      </c>
      <c r="D63" s="27">
        <v>105</v>
      </c>
      <c r="E63" s="27">
        <f t="shared" si="8"/>
        <v>6457.5</v>
      </c>
      <c r="F63" s="27"/>
      <c r="G63" s="29"/>
      <c r="H63" s="27">
        <f t="shared" si="9"/>
        <v>2068727</v>
      </c>
      <c r="I63" s="31"/>
    </row>
    <row r="64" spans="1:9" ht="20.25" customHeight="1">
      <c r="A64" s="24"/>
      <c r="B64" s="16" t="s">
        <v>169</v>
      </c>
      <c r="C64" s="26">
        <v>786</v>
      </c>
      <c r="D64" s="27"/>
      <c r="E64" s="27">
        <f t="shared" si="8"/>
        <v>0</v>
      </c>
      <c r="F64" s="27"/>
      <c r="G64" s="29"/>
      <c r="H64" s="27">
        <f t="shared" si="9"/>
        <v>2068727</v>
      </c>
      <c r="I64" s="31" t="s">
        <v>117</v>
      </c>
    </row>
    <row r="65" spans="1:9" ht="20.25" customHeight="1">
      <c r="A65" s="24"/>
      <c r="B65" s="16" t="s">
        <v>171</v>
      </c>
      <c r="C65" s="26">
        <v>170</v>
      </c>
      <c r="D65" s="27"/>
      <c r="E65" s="27">
        <f t="shared" si="8"/>
        <v>0</v>
      </c>
      <c r="F65" s="27"/>
      <c r="G65" s="29"/>
      <c r="H65" s="27">
        <f t="shared" si="9"/>
        <v>2068727</v>
      </c>
      <c r="I65" s="31" t="s">
        <v>117</v>
      </c>
    </row>
    <row r="66" spans="1:9" ht="20.25" customHeight="1">
      <c r="A66" s="24"/>
      <c r="B66" s="25" t="s">
        <v>17</v>
      </c>
      <c r="C66" s="26"/>
      <c r="D66" s="27"/>
      <c r="E66" s="27">
        <f t="shared" si="8"/>
        <v>0</v>
      </c>
      <c r="F66" s="27"/>
      <c r="G66" s="29">
        <v>400000</v>
      </c>
      <c r="H66" s="27">
        <f t="shared" si="9"/>
        <v>1668727</v>
      </c>
      <c r="I66" s="30">
        <v>41514</v>
      </c>
    </row>
    <row r="67" spans="1:9" ht="20.25" customHeight="1">
      <c r="A67" s="24">
        <v>41489</v>
      </c>
      <c r="B67" s="16" t="s">
        <v>160</v>
      </c>
      <c r="C67" s="26">
        <v>5824</v>
      </c>
      <c r="D67" s="27">
        <v>29</v>
      </c>
      <c r="E67" s="27">
        <f t="shared" si="8"/>
        <v>168896</v>
      </c>
      <c r="F67" s="27"/>
      <c r="G67" s="29"/>
      <c r="H67" s="27">
        <f t="shared" si="9"/>
        <v>1837623</v>
      </c>
      <c r="I67" s="31" t="s">
        <v>159</v>
      </c>
    </row>
    <row r="68" spans="1:9" ht="20.25" customHeight="1">
      <c r="A68" s="24">
        <v>41493</v>
      </c>
      <c r="B68" s="16" t="s">
        <v>160</v>
      </c>
      <c r="C68" s="26">
        <v>3338</v>
      </c>
      <c r="D68" s="27">
        <v>29</v>
      </c>
      <c r="E68" s="27">
        <f t="shared" ref="E68:E75" si="10">C68*D68</f>
        <v>96802</v>
      </c>
      <c r="F68" s="27"/>
      <c r="G68" s="29"/>
      <c r="H68" s="27">
        <f t="shared" si="9"/>
        <v>1934425</v>
      </c>
      <c r="I68" s="31" t="s">
        <v>159</v>
      </c>
    </row>
    <row r="69" spans="1:9" ht="20.25" customHeight="1">
      <c r="A69" s="24">
        <v>41494</v>
      </c>
      <c r="B69" s="16" t="s">
        <v>160</v>
      </c>
      <c r="C69" s="26">
        <v>1892</v>
      </c>
      <c r="D69" s="27">
        <v>29</v>
      </c>
      <c r="E69" s="27">
        <f t="shared" si="10"/>
        <v>54868</v>
      </c>
      <c r="F69" s="27"/>
      <c r="G69" s="29"/>
      <c r="H69" s="27">
        <f t="shared" si="9"/>
        <v>1989293</v>
      </c>
      <c r="I69" s="31" t="s">
        <v>173</v>
      </c>
    </row>
    <row r="70" spans="1:9" ht="20.25" customHeight="1">
      <c r="A70" s="24">
        <v>41495</v>
      </c>
      <c r="B70" s="16" t="s">
        <v>160</v>
      </c>
      <c r="C70" s="26">
        <v>1872</v>
      </c>
      <c r="D70" s="27">
        <v>29</v>
      </c>
      <c r="E70" s="27">
        <f t="shared" si="10"/>
        <v>54288</v>
      </c>
      <c r="F70" s="27"/>
      <c r="G70" s="29"/>
      <c r="H70" s="27">
        <f t="shared" si="9"/>
        <v>2043581</v>
      </c>
      <c r="I70" s="31" t="s">
        <v>174</v>
      </c>
    </row>
    <row r="71" spans="1:9" ht="20.25" customHeight="1">
      <c r="A71" s="24">
        <v>41517</v>
      </c>
      <c r="B71" s="16" t="s">
        <v>172</v>
      </c>
      <c r="C71" s="26">
        <v>415</v>
      </c>
      <c r="D71" s="27">
        <v>100</v>
      </c>
      <c r="E71" s="27">
        <f t="shared" si="10"/>
        <v>41500</v>
      </c>
      <c r="F71" s="27"/>
      <c r="G71" s="29"/>
      <c r="H71" s="27">
        <f t="shared" ref="H71:H80" si="11">IF(B71&lt;&gt;"",H70+E71-G71,0)</f>
        <v>2085081</v>
      </c>
      <c r="I71" s="31"/>
    </row>
    <row r="72" spans="1:9" ht="20.25" customHeight="1">
      <c r="A72" s="24"/>
      <c r="B72" s="16" t="s">
        <v>34</v>
      </c>
      <c r="C72" s="26">
        <v>158</v>
      </c>
      <c r="D72" s="27">
        <v>115</v>
      </c>
      <c r="E72" s="27">
        <f t="shared" si="10"/>
        <v>18170</v>
      </c>
      <c r="F72" s="27"/>
      <c r="G72" s="29"/>
      <c r="H72" s="27">
        <f t="shared" si="11"/>
        <v>2103251</v>
      </c>
      <c r="I72" s="31"/>
    </row>
    <row r="73" spans="1:9" ht="20.25" customHeight="1">
      <c r="A73" s="24"/>
      <c r="B73" s="16" t="s">
        <v>33</v>
      </c>
      <c r="C73" s="26">
        <v>480</v>
      </c>
      <c r="D73" s="27">
        <v>50</v>
      </c>
      <c r="E73" s="27">
        <f t="shared" si="10"/>
        <v>24000</v>
      </c>
      <c r="F73" s="27"/>
      <c r="G73" s="29"/>
      <c r="H73" s="27">
        <f t="shared" si="11"/>
        <v>2127251</v>
      </c>
      <c r="I73" s="31"/>
    </row>
    <row r="74" spans="1:9" ht="20.25" customHeight="1">
      <c r="A74" s="24"/>
      <c r="B74" s="16" t="s">
        <v>166</v>
      </c>
      <c r="C74" s="26">
        <v>143.5</v>
      </c>
      <c r="D74" s="27">
        <v>90</v>
      </c>
      <c r="E74" s="27">
        <f t="shared" si="10"/>
        <v>12915</v>
      </c>
      <c r="F74" s="27"/>
      <c r="G74" s="29"/>
      <c r="H74" s="27">
        <f t="shared" si="11"/>
        <v>2140166</v>
      </c>
      <c r="I74" s="31"/>
    </row>
    <row r="75" spans="1:9" ht="20.25" customHeight="1">
      <c r="A75" s="24"/>
      <c r="B75" s="25" t="s">
        <v>17</v>
      </c>
      <c r="C75" s="26"/>
      <c r="D75" s="27"/>
      <c r="E75" s="27">
        <f t="shared" si="10"/>
        <v>0</v>
      </c>
      <c r="F75" s="27"/>
      <c r="G75" s="29">
        <v>300000</v>
      </c>
      <c r="H75" s="27">
        <f t="shared" si="11"/>
        <v>1840166</v>
      </c>
      <c r="I75" s="30">
        <v>41522</v>
      </c>
    </row>
    <row r="76" spans="1:9" ht="20.25" customHeight="1">
      <c r="A76" s="24">
        <v>41226</v>
      </c>
      <c r="B76" s="16" t="s">
        <v>180</v>
      </c>
      <c r="C76" s="26">
        <v>2418</v>
      </c>
      <c r="D76" s="27">
        <v>115</v>
      </c>
      <c r="E76" s="27">
        <f>C76*D76</f>
        <v>278070</v>
      </c>
      <c r="F76" s="27"/>
      <c r="G76" s="29"/>
      <c r="H76" s="27">
        <f t="shared" si="11"/>
        <v>2118236</v>
      </c>
      <c r="I76" s="31" t="s">
        <v>117</v>
      </c>
    </row>
    <row r="77" spans="1:9" ht="20.25" customHeight="1">
      <c r="A77" s="24"/>
      <c r="B77" s="25" t="s">
        <v>17</v>
      </c>
      <c r="C77" s="26"/>
      <c r="D77" s="27"/>
      <c r="E77" s="27">
        <f>C77*D77</f>
        <v>0</v>
      </c>
      <c r="F77" s="27"/>
      <c r="G77" s="29">
        <v>200000</v>
      </c>
      <c r="H77" s="27">
        <f>IF(B77&lt;&gt;"",H76+E77-G77,0)</f>
        <v>1918236</v>
      </c>
      <c r="I77" s="30">
        <v>41534</v>
      </c>
    </row>
    <row r="78" spans="1:9" ht="20.25" customHeight="1">
      <c r="A78" s="24"/>
      <c r="B78" s="16" t="s">
        <v>184</v>
      </c>
      <c r="C78" s="26">
        <v>2027</v>
      </c>
      <c r="D78" s="27">
        <v>16</v>
      </c>
      <c r="E78" s="27">
        <f>C78*D78</f>
        <v>32432</v>
      </c>
      <c r="F78" s="27"/>
      <c r="G78" s="29"/>
      <c r="H78" s="27">
        <f t="shared" si="11"/>
        <v>1950668</v>
      </c>
      <c r="I78" s="31"/>
    </row>
    <row r="79" spans="1:9" ht="20.25" customHeight="1">
      <c r="A79" s="24">
        <v>41532</v>
      </c>
      <c r="B79" s="16" t="s">
        <v>186</v>
      </c>
      <c r="C79" s="26">
        <v>4608</v>
      </c>
      <c r="D79" s="27"/>
      <c r="E79" s="27">
        <f>C79*D79</f>
        <v>0</v>
      </c>
      <c r="F79" s="27"/>
      <c r="G79" s="29"/>
      <c r="H79" s="27">
        <f t="shared" si="11"/>
        <v>1950668</v>
      </c>
      <c r="I79" s="31"/>
    </row>
    <row r="80" spans="1:9" ht="20.25" customHeight="1">
      <c r="A80" s="24"/>
      <c r="B80" s="25" t="s">
        <v>17</v>
      </c>
      <c r="C80" s="26"/>
      <c r="D80" s="27"/>
      <c r="E80" s="27">
        <f>C80*D80</f>
        <v>0</v>
      </c>
      <c r="F80" s="27"/>
      <c r="G80" s="29">
        <v>150000</v>
      </c>
      <c r="H80" s="27">
        <f t="shared" si="11"/>
        <v>1800668</v>
      </c>
      <c r="I80" s="30">
        <v>41544</v>
      </c>
    </row>
    <row r="81" spans="1:9" ht="20.25" customHeight="1">
      <c r="A81" s="242" t="s">
        <v>199</v>
      </c>
      <c r="B81" s="243"/>
      <c r="C81" s="243"/>
      <c r="D81" s="243"/>
      <c r="E81" s="243"/>
      <c r="F81" s="243"/>
      <c r="G81" s="244"/>
      <c r="H81" s="144">
        <f>H80</f>
        <v>1800668</v>
      </c>
      <c r="I81" s="145"/>
    </row>
    <row r="82" spans="1:9" ht="20.25" customHeight="1">
      <c r="A82" s="24"/>
      <c r="B82" s="25" t="s">
        <v>17</v>
      </c>
      <c r="C82" s="26"/>
      <c r="D82" s="27"/>
      <c r="E82" s="27">
        <f t="shared" ref="E82:E87" si="12">C82*D82</f>
        <v>0</v>
      </c>
      <c r="F82" s="27"/>
      <c r="G82" s="29">
        <v>200000</v>
      </c>
      <c r="H82" s="27">
        <f>IF(B82&lt;&gt;"",H80+E82-G82,0)</f>
        <v>1600668</v>
      </c>
      <c r="I82" s="30">
        <v>41548</v>
      </c>
    </row>
    <row r="83" spans="1:9" ht="20.25" customHeight="1">
      <c r="A83" s="24"/>
      <c r="B83" s="25" t="s">
        <v>17</v>
      </c>
      <c r="C83" s="26"/>
      <c r="D83" s="27"/>
      <c r="E83" s="27">
        <f t="shared" si="12"/>
        <v>0</v>
      </c>
      <c r="F83" s="27"/>
      <c r="G83" s="29">
        <v>150000</v>
      </c>
      <c r="H83" s="27">
        <f>IF(B83&lt;&gt;"",H82+E83-G83,0)</f>
        <v>1450668</v>
      </c>
      <c r="I83" s="30">
        <v>41565</v>
      </c>
    </row>
    <row r="84" spans="1:9" ht="20.25" customHeight="1">
      <c r="A84" s="24"/>
      <c r="B84" s="25" t="s">
        <v>17</v>
      </c>
      <c r="C84" s="26"/>
      <c r="D84" s="27"/>
      <c r="E84" s="27">
        <f t="shared" si="12"/>
        <v>0</v>
      </c>
      <c r="F84" s="27"/>
      <c r="G84" s="29">
        <v>150000</v>
      </c>
      <c r="H84" s="27">
        <f t="shared" ref="H84:H114" si="13">IF(B84&lt;&gt;"",H83+E84-G84,0)</f>
        <v>1300668</v>
      </c>
      <c r="I84" s="30">
        <v>41576</v>
      </c>
    </row>
    <row r="85" spans="1:9" ht="20.25" customHeight="1">
      <c r="A85" s="24"/>
      <c r="B85" s="25" t="s">
        <v>194</v>
      </c>
      <c r="C85" s="26"/>
      <c r="D85" s="27"/>
      <c r="E85" s="27">
        <f t="shared" si="12"/>
        <v>0</v>
      </c>
      <c r="F85" s="27"/>
      <c r="G85" s="29">
        <v>34500</v>
      </c>
      <c r="H85" s="27">
        <f t="shared" si="13"/>
        <v>1266168</v>
      </c>
      <c r="I85" s="30"/>
    </row>
    <row r="86" spans="1:9" ht="20.25" customHeight="1">
      <c r="A86" s="24"/>
      <c r="B86" s="25" t="s">
        <v>17</v>
      </c>
      <c r="C86" s="26"/>
      <c r="D86" s="27"/>
      <c r="E86" s="27">
        <f t="shared" si="12"/>
        <v>0</v>
      </c>
      <c r="F86" s="27"/>
      <c r="G86" s="29">
        <v>200000</v>
      </c>
      <c r="H86" s="27">
        <f t="shared" si="13"/>
        <v>1066168</v>
      </c>
      <c r="I86" s="30">
        <v>41585</v>
      </c>
    </row>
    <row r="87" spans="1:9" ht="20.25" customHeight="1">
      <c r="A87" s="24"/>
      <c r="B87" s="25" t="s">
        <v>17</v>
      </c>
      <c r="C87" s="26"/>
      <c r="D87" s="27"/>
      <c r="E87" s="27">
        <f t="shared" si="12"/>
        <v>0</v>
      </c>
      <c r="F87" s="27"/>
      <c r="G87" s="29">
        <v>200000</v>
      </c>
      <c r="H87" s="27">
        <f t="shared" si="13"/>
        <v>866168</v>
      </c>
      <c r="I87" s="30">
        <v>41606</v>
      </c>
    </row>
    <row r="88" spans="1:9" ht="20.25" customHeight="1">
      <c r="A88" s="24"/>
      <c r="B88" s="25" t="s">
        <v>17</v>
      </c>
      <c r="C88" s="26"/>
      <c r="D88" s="27"/>
      <c r="E88" s="27">
        <f t="shared" ref="E88:E120" si="14">C88*D88</f>
        <v>0</v>
      </c>
      <c r="F88" s="27"/>
      <c r="G88" s="29">
        <v>150000</v>
      </c>
      <c r="H88" s="27">
        <f t="shared" si="13"/>
        <v>716168</v>
      </c>
      <c r="I88" s="30">
        <v>41620</v>
      </c>
    </row>
    <row r="89" spans="1:9" ht="20.25" customHeight="1">
      <c r="A89" s="24"/>
      <c r="B89" s="25" t="s">
        <v>17</v>
      </c>
      <c r="C89" s="26"/>
      <c r="D89" s="27"/>
      <c r="E89" s="27">
        <f t="shared" si="14"/>
        <v>0</v>
      </c>
      <c r="F89" s="27"/>
      <c r="G89" s="29">
        <v>150000</v>
      </c>
      <c r="H89" s="27">
        <f t="shared" si="13"/>
        <v>566168</v>
      </c>
      <c r="I89" s="30">
        <v>41635</v>
      </c>
    </row>
    <row r="90" spans="1:9" ht="20.25" customHeight="1">
      <c r="A90" s="24">
        <v>41532</v>
      </c>
      <c r="B90" s="16" t="s">
        <v>186</v>
      </c>
      <c r="C90" s="26">
        <v>4608</v>
      </c>
      <c r="D90" s="27">
        <v>28</v>
      </c>
      <c r="E90" s="27">
        <f t="shared" si="14"/>
        <v>129024</v>
      </c>
      <c r="F90" s="27"/>
      <c r="G90" s="29"/>
      <c r="H90" s="27">
        <f t="shared" si="13"/>
        <v>695192</v>
      </c>
      <c r="I90" s="31" t="s">
        <v>190</v>
      </c>
    </row>
    <row r="91" spans="1:9" ht="20.25" customHeight="1">
      <c r="A91" s="24">
        <v>41551</v>
      </c>
      <c r="B91" s="16" t="s">
        <v>18</v>
      </c>
      <c r="C91" s="26">
        <v>168</v>
      </c>
      <c r="D91" s="27">
        <v>110</v>
      </c>
      <c r="E91" s="27">
        <f t="shared" si="14"/>
        <v>18480</v>
      </c>
      <c r="F91" s="27"/>
      <c r="G91" s="29"/>
      <c r="H91" s="27">
        <f t="shared" si="13"/>
        <v>713672</v>
      </c>
      <c r="I91" s="31"/>
    </row>
    <row r="92" spans="1:9" ht="20.25" customHeight="1">
      <c r="A92" s="24">
        <v>41555</v>
      </c>
      <c r="B92" s="16" t="s">
        <v>18</v>
      </c>
      <c r="C92" s="26">
        <v>675</v>
      </c>
      <c r="D92" s="27">
        <v>110</v>
      </c>
      <c r="E92" s="27">
        <f t="shared" ref="E92:E98" si="15">C92*D92</f>
        <v>74250</v>
      </c>
      <c r="F92" s="27"/>
      <c r="G92" s="29"/>
      <c r="H92" s="27">
        <f t="shared" si="13"/>
        <v>787922</v>
      </c>
      <c r="I92" s="31" t="s">
        <v>190</v>
      </c>
    </row>
    <row r="93" spans="1:9" ht="20.25" customHeight="1">
      <c r="A93" s="24">
        <v>41561</v>
      </c>
      <c r="B93" s="16" t="s">
        <v>18</v>
      </c>
      <c r="C93" s="26">
        <v>450</v>
      </c>
      <c r="D93" s="27">
        <v>110</v>
      </c>
      <c r="E93" s="27">
        <f t="shared" si="15"/>
        <v>49500</v>
      </c>
      <c r="F93" s="27"/>
      <c r="G93" s="29"/>
      <c r="H93" s="27">
        <f t="shared" si="13"/>
        <v>837422</v>
      </c>
      <c r="I93" s="31" t="s">
        <v>190</v>
      </c>
    </row>
    <row r="94" spans="1:9" ht="20.25" customHeight="1">
      <c r="A94" s="24">
        <v>41561</v>
      </c>
      <c r="B94" s="16" t="s">
        <v>172</v>
      </c>
      <c r="C94" s="26">
        <v>165</v>
      </c>
      <c r="D94" s="27">
        <v>110</v>
      </c>
      <c r="E94" s="27">
        <f t="shared" si="15"/>
        <v>18150</v>
      </c>
      <c r="F94" s="27"/>
      <c r="G94" s="29"/>
      <c r="H94" s="27">
        <f t="shared" si="13"/>
        <v>855572</v>
      </c>
      <c r="I94" s="31" t="s">
        <v>190</v>
      </c>
    </row>
    <row r="95" spans="1:9" ht="20.25" customHeight="1">
      <c r="A95" s="24">
        <v>41566</v>
      </c>
      <c r="B95" s="16" t="s">
        <v>18</v>
      </c>
      <c r="C95" s="26">
        <v>225</v>
      </c>
      <c r="D95" s="27">
        <v>110</v>
      </c>
      <c r="E95" s="27">
        <f t="shared" si="15"/>
        <v>24750</v>
      </c>
      <c r="F95" s="27"/>
      <c r="G95" s="29"/>
      <c r="H95" s="27">
        <f t="shared" si="13"/>
        <v>880322</v>
      </c>
      <c r="I95" s="31"/>
    </row>
    <row r="96" spans="1:9" ht="20.25" customHeight="1">
      <c r="A96" s="24">
        <v>41568</v>
      </c>
      <c r="B96" s="16" t="s">
        <v>18</v>
      </c>
      <c r="C96" s="26">
        <v>217</v>
      </c>
      <c r="D96" s="27">
        <v>110</v>
      </c>
      <c r="E96" s="27">
        <f t="shared" si="15"/>
        <v>23870</v>
      </c>
      <c r="F96" s="27"/>
      <c r="G96" s="29"/>
      <c r="H96" s="27">
        <f t="shared" si="13"/>
        <v>904192</v>
      </c>
      <c r="I96" s="31"/>
    </row>
    <row r="97" spans="1:9" ht="20.25" customHeight="1">
      <c r="A97" s="24">
        <v>41568</v>
      </c>
      <c r="B97" s="16" t="s">
        <v>18</v>
      </c>
      <c r="C97" s="26">
        <v>184.4</v>
      </c>
      <c r="D97" s="27">
        <v>110</v>
      </c>
      <c r="E97" s="27">
        <f t="shared" si="15"/>
        <v>20284</v>
      </c>
      <c r="F97" s="27"/>
      <c r="G97" s="29"/>
      <c r="H97" s="27">
        <f t="shared" si="13"/>
        <v>924476</v>
      </c>
      <c r="I97" s="31" t="s">
        <v>190</v>
      </c>
    </row>
    <row r="98" spans="1:9" ht="20.25" customHeight="1">
      <c r="A98" s="24">
        <v>41568</v>
      </c>
      <c r="B98" s="16" t="s">
        <v>172</v>
      </c>
      <c r="C98" s="26">
        <v>105</v>
      </c>
      <c r="D98" s="27">
        <v>110</v>
      </c>
      <c r="E98" s="27">
        <f t="shared" si="15"/>
        <v>11550</v>
      </c>
      <c r="F98" s="27"/>
      <c r="G98" s="29"/>
      <c r="H98" s="27">
        <f t="shared" si="13"/>
        <v>936026</v>
      </c>
      <c r="I98" s="31" t="s">
        <v>190</v>
      </c>
    </row>
    <row r="99" spans="1:9" ht="20.25" customHeight="1">
      <c r="A99" s="24">
        <v>41551</v>
      </c>
      <c r="B99" s="16" t="s">
        <v>34</v>
      </c>
      <c r="C99" s="26">
        <v>830</v>
      </c>
      <c r="D99" s="27">
        <v>90</v>
      </c>
      <c r="E99" s="27">
        <f t="shared" si="14"/>
        <v>74700</v>
      </c>
      <c r="F99" s="27"/>
      <c r="G99" s="29"/>
      <c r="H99" s="27">
        <f t="shared" si="13"/>
        <v>1010726</v>
      </c>
      <c r="I99" s="31"/>
    </row>
    <row r="100" spans="1:9" ht="20.25" customHeight="1">
      <c r="A100" s="24">
        <v>41557</v>
      </c>
      <c r="B100" s="16" t="s">
        <v>34</v>
      </c>
      <c r="C100" s="26">
        <v>1339</v>
      </c>
      <c r="D100" s="27">
        <v>90</v>
      </c>
      <c r="E100" s="27">
        <f t="shared" ref="E100:E105" si="16">C100*D100</f>
        <v>120510</v>
      </c>
      <c r="F100" s="27"/>
      <c r="G100" s="29"/>
      <c r="H100" s="27">
        <f t="shared" si="13"/>
        <v>1131236</v>
      </c>
      <c r="I100" s="31"/>
    </row>
    <row r="101" spans="1:9" ht="20.25" customHeight="1">
      <c r="A101" s="24">
        <v>41561</v>
      </c>
      <c r="B101" s="16" t="s">
        <v>34</v>
      </c>
      <c r="C101" s="26">
        <v>672</v>
      </c>
      <c r="D101" s="27">
        <v>90</v>
      </c>
      <c r="E101" s="27">
        <f t="shared" si="16"/>
        <v>60480</v>
      </c>
      <c r="F101" s="27"/>
      <c r="G101" s="29"/>
      <c r="H101" s="27">
        <f t="shared" si="13"/>
        <v>1191716</v>
      </c>
      <c r="I101" s="31" t="s">
        <v>190</v>
      </c>
    </row>
    <row r="102" spans="1:9" ht="20.25" customHeight="1">
      <c r="A102" s="24">
        <v>41563</v>
      </c>
      <c r="B102" s="16" t="s">
        <v>34</v>
      </c>
      <c r="C102" s="26">
        <v>641</v>
      </c>
      <c r="D102" s="27">
        <v>90</v>
      </c>
      <c r="E102" s="27">
        <f t="shared" si="16"/>
        <v>57690</v>
      </c>
      <c r="F102" s="27"/>
      <c r="G102" s="29"/>
      <c r="H102" s="27">
        <f t="shared" si="13"/>
        <v>1249406</v>
      </c>
      <c r="I102" s="31"/>
    </row>
    <row r="103" spans="1:9" ht="20.25" customHeight="1">
      <c r="A103" s="24">
        <v>41563</v>
      </c>
      <c r="B103" s="16" t="s">
        <v>210</v>
      </c>
      <c r="C103" s="26">
        <v>341.5</v>
      </c>
      <c r="D103" s="27">
        <v>50</v>
      </c>
      <c r="E103" s="27">
        <f t="shared" si="16"/>
        <v>17075</v>
      </c>
      <c r="F103" s="27"/>
      <c r="G103" s="29"/>
      <c r="H103" s="27">
        <f t="shared" si="13"/>
        <v>1266481</v>
      </c>
      <c r="I103" s="31"/>
    </row>
    <row r="104" spans="1:9" ht="20.25" customHeight="1">
      <c r="A104" s="24">
        <v>41566</v>
      </c>
      <c r="B104" s="16" t="s">
        <v>34</v>
      </c>
      <c r="C104" s="26">
        <v>970</v>
      </c>
      <c r="D104" s="27">
        <v>90</v>
      </c>
      <c r="E104" s="27">
        <f t="shared" si="16"/>
        <v>87300</v>
      </c>
      <c r="F104" s="27"/>
      <c r="G104" s="29"/>
      <c r="H104" s="27">
        <f t="shared" si="13"/>
        <v>1353781</v>
      </c>
      <c r="I104" s="31"/>
    </row>
    <row r="105" spans="1:9" ht="20.25" customHeight="1">
      <c r="A105" s="24">
        <v>41566</v>
      </c>
      <c r="B105" s="16" t="s">
        <v>209</v>
      </c>
      <c r="C105" s="26">
        <v>210</v>
      </c>
      <c r="D105" s="27">
        <v>50</v>
      </c>
      <c r="E105" s="27">
        <f t="shared" si="16"/>
        <v>10500</v>
      </c>
      <c r="F105" s="27"/>
      <c r="G105" s="29"/>
      <c r="H105" s="27">
        <f t="shared" si="13"/>
        <v>1364281</v>
      </c>
      <c r="I105" s="31"/>
    </row>
    <row r="106" spans="1:9" ht="20.25" customHeight="1">
      <c r="A106" s="24">
        <v>41557</v>
      </c>
      <c r="B106" s="16" t="s">
        <v>168</v>
      </c>
      <c r="C106" s="26">
        <v>799</v>
      </c>
      <c r="D106" s="27">
        <v>110</v>
      </c>
      <c r="E106" s="27">
        <f t="shared" si="14"/>
        <v>87890</v>
      </c>
      <c r="F106" s="27"/>
      <c r="G106" s="29"/>
      <c r="H106" s="27">
        <f t="shared" si="13"/>
        <v>1452171</v>
      </c>
      <c r="I106" s="31"/>
    </row>
    <row r="107" spans="1:9" ht="20.25" customHeight="1">
      <c r="A107" s="24">
        <v>41557</v>
      </c>
      <c r="B107" s="16" t="s">
        <v>208</v>
      </c>
      <c r="C107" s="26">
        <v>480</v>
      </c>
      <c r="D107" s="27"/>
      <c r="E107" s="27">
        <f t="shared" si="14"/>
        <v>0</v>
      </c>
      <c r="F107" s="27"/>
      <c r="G107" s="29"/>
      <c r="H107" s="27">
        <f t="shared" si="13"/>
        <v>1452171</v>
      </c>
      <c r="I107" s="31" t="s">
        <v>117</v>
      </c>
    </row>
    <row r="108" spans="1:9" ht="20.25" customHeight="1">
      <c r="A108" s="24">
        <v>41561</v>
      </c>
      <c r="B108" s="16" t="s">
        <v>168</v>
      </c>
      <c r="C108" s="26">
        <v>642</v>
      </c>
      <c r="D108" s="27">
        <v>110</v>
      </c>
      <c r="E108" s="27">
        <f t="shared" si="14"/>
        <v>70620</v>
      </c>
      <c r="F108" s="27"/>
      <c r="G108" s="29"/>
      <c r="H108" s="27">
        <f t="shared" si="13"/>
        <v>1522791</v>
      </c>
      <c r="I108" s="31"/>
    </row>
    <row r="109" spans="1:9" ht="20.25" customHeight="1">
      <c r="A109" s="24">
        <v>41563</v>
      </c>
      <c r="B109" s="16" t="s">
        <v>168</v>
      </c>
      <c r="C109" s="26">
        <v>222.5</v>
      </c>
      <c r="D109" s="27">
        <v>110</v>
      </c>
      <c r="E109" s="27">
        <f t="shared" si="14"/>
        <v>24475</v>
      </c>
      <c r="F109" s="27"/>
      <c r="G109" s="29"/>
      <c r="H109" s="27">
        <f t="shared" si="13"/>
        <v>1547266</v>
      </c>
      <c r="I109" s="31"/>
    </row>
    <row r="110" spans="1:9" ht="20.25" customHeight="1">
      <c r="A110" s="24">
        <v>41563</v>
      </c>
      <c r="B110" s="16" t="s">
        <v>23</v>
      </c>
      <c r="C110" s="26">
        <v>213</v>
      </c>
      <c r="D110" s="27">
        <v>85</v>
      </c>
      <c r="E110" s="27">
        <f t="shared" si="14"/>
        <v>18105</v>
      </c>
      <c r="F110" s="27"/>
      <c r="G110" s="29"/>
      <c r="H110" s="27">
        <f t="shared" si="13"/>
        <v>1565371</v>
      </c>
      <c r="I110" s="31"/>
    </row>
    <row r="111" spans="1:9" ht="20.25" customHeight="1">
      <c r="A111" s="24">
        <v>41568</v>
      </c>
      <c r="B111" s="16" t="s">
        <v>34</v>
      </c>
      <c r="C111" s="26">
        <v>1222</v>
      </c>
      <c r="D111" s="27">
        <v>90</v>
      </c>
      <c r="E111" s="27">
        <f t="shared" si="14"/>
        <v>109980</v>
      </c>
      <c r="F111" s="27"/>
      <c r="G111" s="29"/>
      <c r="H111" s="27">
        <f t="shared" si="13"/>
        <v>1675351</v>
      </c>
      <c r="I111" s="31"/>
    </row>
    <row r="112" spans="1:9" ht="20.25" customHeight="1">
      <c r="A112" s="24">
        <v>41568</v>
      </c>
      <c r="B112" s="16" t="s">
        <v>34</v>
      </c>
      <c r="C112" s="26">
        <f>2586-1222</f>
        <v>1364</v>
      </c>
      <c r="D112" s="27">
        <v>90</v>
      </c>
      <c r="E112" s="27">
        <f t="shared" si="14"/>
        <v>122760</v>
      </c>
      <c r="F112" s="27"/>
      <c r="G112" s="29"/>
      <c r="H112" s="27">
        <f t="shared" si="13"/>
        <v>1798111</v>
      </c>
      <c r="I112" s="31" t="s">
        <v>190</v>
      </c>
    </row>
    <row r="113" spans="1:9" ht="20.25" customHeight="1">
      <c r="A113" s="24">
        <v>41575</v>
      </c>
      <c r="B113" s="16" t="s">
        <v>34</v>
      </c>
      <c r="C113" s="26">
        <v>65</v>
      </c>
      <c r="D113" s="27">
        <v>95</v>
      </c>
      <c r="E113" s="27">
        <f t="shared" si="14"/>
        <v>6175</v>
      </c>
      <c r="F113" s="27"/>
      <c r="G113" s="29"/>
      <c r="H113" s="27">
        <f t="shared" si="13"/>
        <v>1804286</v>
      </c>
      <c r="I113" s="31"/>
    </row>
    <row r="114" spans="1:9" ht="20.25" customHeight="1">
      <c r="A114" s="24">
        <v>41582</v>
      </c>
      <c r="B114" s="16" t="s">
        <v>34</v>
      </c>
      <c r="C114" s="26">
        <v>15</v>
      </c>
      <c r="D114" s="27">
        <v>95</v>
      </c>
      <c r="E114" s="27">
        <f t="shared" si="14"/>
        <v>1425</v>
      </c>
      <c r="F114" s="27"/>
      <c r="G114" s="29"/>
      <c r="H114" s="27">
        <f t="shared" si="13"/>
        <v>1805711</v>
      </c>
      <c r="I114" s="31"/>
    </row>
    <row r="115" spans="1:9" ht="20.25" customHeight="1">
      <c r="A115" s="24">
        <v>41621</v>
      </c>
      <c r="B115" s="16" t="s">
        <v>34</v>
      </c>
      <c r="C115" s="26">
        <v>42</v>
      </c>
      <c r="D115" s="27">
        <v>95</v>
      </c>
      <c r="E115" s="27">
        <f t="shared" si="14"/>
        <v>3990</v>
      </c>
      <c r="F115" s="27"/>
      <c r="G115" s="29"/>
      <c r="H115" s="27">
        <f>IF(B115&lt;&gt;"",H116+E115-G115,0)</f>
        <v>1836286</v>
      </c>
      <c r="I115" s="31"/>
    </row>
    <row r="116" spans="1:9" ht="20.25" customHeight="1">
      <c r="A116" s="24">
        <v>41582</v>
      </c>
      <c r="B116" s="16" t="s">
        <v>211</v>
      </c>
      <c r="C116" s="26">
        <v>204.5</v>
      </c>
      <c r="D116" s="27">
        <v>130</v>
      </c>
      <c r="E116" s="27">
        <f>C116*D116</f>
        <v>26585</v>
      </c>
      <c r="F116" s="27"/>
      <c r="G116" s="29"/>
      <c r="H116" s="27">
        <f>IF(B116&lt;&gt;"",H114+E116-G116,0)</f>
        <v>1832296</v>
      </c>
      <c r="I116" s="31"/>
    </row>
    <row r="117" spans="1:9" ht="20.25" customHeight="1">
      <c r="A117" s="24">
        <v>41621</v>
      </c>
      <c r="B117" s="16" t="s">
        <v>18</v>
      </c>
      <c r="C117" s="26">
        <v>162</v>
      </c>
      <c r="D117" s="27">
        <v>130</v>
      </c>
      <c r="E117" s="27">
        <f t="shared" si="14"/>
        <v>21060</v>
      </c>
      <c r="F117" s="27"/>
      <c r="G117" s="29"/>
      <c r="H117" s="27">
        <f>IF(B117&lt;&gt;"",H115+E117-G117,0)</f>
        <v>1857346</v>
      </c>
      <c r="I117" s="31"/>
    </row>
    <row r="118" spans="1:9" ht="20.25" customHeight="1">
      <c r="A118" s="24">
        <v>41621</v>
      </c>
      <c r="B118" s="16" t="s">
        <v>23</v>
      </c>
      <c r="C118" s="26">
        <v>1563</v>
      </c>
      <c r="D118" s="27">
        <v>115</v>
      </c>
      <c r="E118" s="27">
        <f t="shared" si="14"/>
        <v>179745</v>
      </c>
      <c r="F118" s="27"/>
      <c r="G118" s="29"/>
      <c r="H118" s="27">
        <f>IF(B118&lt;&gt;"",H117+E118-G118,0)</f>
        <v>2037091</v>
      </c>
      <c r="I118" s="31"/>
    </row>
    <row r="119" spans="1:9" ht="20.25" customHeight="1">
      <c r="A119" s="24">
        <v>41621</v>
      </c>
      <c r="B119" s="16" t="s">
        <v>165</v>
      </c>
      <c r="C119" s="26">
        <v>3075</v>
      </c>
      <c r="D119" s="27">
        <v>88</v>
      </c>
      <c r="E119" s="27">
        <f t="shared" si="14"/>
        <v>270600</v>
      </c>
      <c r="F119" s="27"/>
      <c r="G119" s="29"/>
      <c r="H119" s="27">
        <f>IF(B119&lt;&gt;"",H118+E119-G119,0)</f>
        <v>2307691</v>
      </c>
      <c r="I119" s="31"/>
    </row>
    <row r="120" spans="1:9" ht="20.25" customHeight="1">
      <c r="A120" s="24">
        <v>41623</v>
      </c>
      <c r="B120" s="16" t="s">
        <v>165</v>
      </c>
      <c r="C120" s="26">
        <v>3168</v>
      </c>
      <c r="D120" s="27">
        <v>88</v>
      </c>
      <c r="E120" s="27">
        <f t="shared" si="14"/>
        <v>278784</v>
      </c>
      <c r="F120" s="27"/>
      <c r="G120" s="29"/>
      <c r="H120" s="27">
        <f>IF(B120&lt;&gt;"",H119+E120-G120,0)</f>
        <v>2586475</v>
      </c>
      <c r="I120" s="31"/>
    </row>
    <row r="121" spans="1:9" ht="20.25" customHeight="1">
      <c r="A121" s="242" t="s">
        <v>251</v>
      </c>
      <c r="B121" s="243"/>
      <c r="C121" s="243"/>
      <c r="D121" s="243"/>
      <c r="E121" s="243"/>
      <c r="F121" s="243"/>
      <c r="G121" s="244"/>
      <c r="H121" s="144">
        <f>H120</f>
        <v>2586475</v>
      </c>
      <c r="I121" s="145"/>
    </row>
    <row r="122" spans="1:9" ht="20.25" customHeight="1">
      <c r="A122" s="24"/>
      <c r="B122" s="25" t="s">
        <v>17</v>
      </c>
      <c r="C122" s="26"/>
      <c r="D122" s="27"/>
      <c r="E122" s="27">
        <f t="shared" ref="E122:E130" si="17">C122*D122</f>
        <v>0</v>
      </c>
      <c r="F122" s="27"/>
      <c r="G122" s="29">
        <v>800000</v>
      </c>
      <c r="H122" s="27">
        <f>IF(B122&lt;&gt;"",H121+E122-G122,0)</f>
        <v>1786475</v>
      </c>
      <c r="I122" s="30">
        <v>41664</v>
      </c>
    </row>
    <row r="123" spans="1:9" ht="20.25" customHeight="1">
      <c r="A123" s="24"/>
      <c r="B123" s="25" t="s">
        <v>17</v>
      </c>
      <c r="C123" s="26"/>
      <c r="D123" s="27"/>
      <c r="E123" s="27">
        <f t="shared" si="17"/>
        <v>0</v>
      </c>
      <c r="F123" s="27"/>
      <c r="G123" s="29">
        <v>200000</v>
      </c>
      <c r="H123" s="27">
        <f>IF(B123&lt;&gt;"",H122+E123-G123,0)</f>
        <v>1586475</v>
      </c>
      <c r="I123" s="30">
        <v>41684</v>
      </c>
    </row>
    <row r="124" spans="1:9" ht="20.25" customHeight="1">
      <c r="A124" s="24"/>
      <c r="B124" s="25" t="s">
        <v>17</v>
      </c>
      <c r="C124" s="26"/>
      <c r="D124" s="27"/>
      <c r="E124" s="27">
        <f t="shared" si="17"/>
        <v>0</v>
      </c>
      <c r="F124" s="27"/>
      <c r="G124" s="29">
        <v>200000</v>
      </c>
      <c r="H124" s="27">
        <f>IF(B124&lt;&gt;"",H123+E124-G124,0)</f>
        <v>1386475</v>
      </c>
      <c r="I124" s="30">
        <v>41696</v>
      </c>
    </row>
    <row r="125" spans="1:9" ht="20.25" customHeight="1">
      <c r="A125" s="24">
        <v>41704</v>
      </c>
      <c r="B125" s="16" t="s">
        <v>92</v>
      </c>
      <c r="C125" s="26">
        <v>5688</v>
      </c>
      <c r="D125" s="27">
        <v>14.5</v>
      </c>
      <c r="E125" s="27">
        <f t="shared" si="17"/>
        <v>82476</v>
      </c>
      <c r="F125" s="27"/>
      <c r="G125" s="29"/>
      <c r="H125" s="27">
        <f t="shared" ref="H125:H134" si="18">IF(B125&lt;&gt;"",H124+E125-G125,0)</f>
        <v>1468951</v>
      </c>
      <c r="I125" s="31"/>
    </row>
    <row r="126" spans="1:9" ht="20.25" customHeight="1">
      <c r="A126" s="24">
        <v>41705</v>
      </c>
      <c r="B126" s="16" t="s">
        <v>92</v>
      </c>
      <c r="C126" s="26">
        <v>14118</v>
      </c>
      <c r="D126" s="27">
        <v>14</v>
      </c>
      <c r="E126" s="27">
        <f t="shared" si="17"/>
        <v>197652</v>
      </c>
      <c r="F126" s="27"/>
      <c r="G126" s="29"/>
      <c r="H126" s="27">
        <f t="shared" si="18"/>
        <v>1666603</v>
      </c>
      <c r="I126" s="31"/>
    </row>
    <row r="127" spans="1:9" ht="20.25" customHeight="1">
      <c r="A127" s="24">
        <v>41708</v>
      </c>
      <c r="B127" s="16" t="s">
        <v>92</v>
      </c>
      <c r="C127" s="26">
        <v>10032</v>
      </c>
      <c r="D127" s="27">
        <v>13</v>
      </c>
      <c r="E127" s="27">
        <f t="shared" si="17"/>
        <v>130416</v>
      </c>
      <c r="F127" s="27"/>
      <c r="G127" s="29"/>
      <c r="H127" s="27">
        <f t="shared" si="18"/>
        <v>1797019</v>
      </c>
      <c r="I127" s="31"/>
    </row>
    <row r="128" spans="1:9" ht="20.25" customHeight="1">
      <c r="A128" s="24">
        <v>41710</v>
      </c>
      <c r="B128" s="16" t="s">
        <v>23</v>
      </c>
      <c r="C128" s="26">
        <v>3150</v>
      </c>
      <c r="D128" s="27">
        <v>115</v>
      </c>
      <c r="E128" s="27">
        <f t="shared" si="17"/>
        <v>362250</v>
      </c>
      <c r="F128" s="27"/>
      <c r="G128" s="29"/>
      <c r="H128" s="27">
        <f t="shared" si="18"/>
        <v>2159269</v>
      </c>
      <c r="I128" s="30"/>
    </row>
    <row r="129" spans="1:9" ht="20.25" customHeight="1">
      <c r="A129" s="24">
        <v>41715</v>
      </c>
      <c r="B129" s="16" t="s">
        <v>23</v>
      </c>
      <c r="C129" s="26">
        <v>3150</v>
      </c>
      <c r="D129" s="27">
        <v>115</v>
      </c>
      <c r="E129" s="27">
        <f t="shared" si="17"/>
        <v>362250</v>
      </c>
      <c r="F129" s="27"/>
      <c r="G129" s="29"/>
      <c r="H129" s="27">
        <f t="shared" si="18"/>
        <v>2521519</v>
      </c>
      <c r="I129" s="30"/>
    </row>
    <row r="130" spans="1:9" ht="20.25" customHeight="1">
      <c r="A130" s="24">
        <v>41719</v>
      </c>
      <c r="B130" s="16" t="s">
        <v>23</v>
      </c>
      <c r="C130" s="26">
        <v>2495</v>
      </c>
      <c r="D130" s="27">
        <v>110</v>
      </c>
      <c r="E130" s="27">
        <f t="shared" si="17"/>
        <v>274450</v>
      </c>
      <c r="F130" s="27"/>
      <c r="G130" s="29"/>
      <c r="H130" s="27">
        <f t="shared" si="18"/>
        <v>2795969</v>
      </c>
      <c r="I130" s="31"/>
    </row>
    <row r="131" spans="1:9" ht="20.25" customHeight="1">
      <c r="A131" s="24"/>
      <c r="B131" s="25" t="s">
        <v>17</v>
      </c>
      <c r="C131" s="26"/>
      <c r="D131" s="27"/>
      <c r="E131" s="27">
        <f t="shared" ref="E131:E138" si="19">C131*D131</f>
        <v>0</v>
      </c>
      <c r="F131" s="27"/>
      <c r="G131" s="29">
        <v>200000</v>
      </c>
      <c r="H131" s="27">
        <f t="shared" si="18"/>
        <v>2595969</v>
      </c>
      <c r="I131" s="30">
        <v>41713</v>
      </c>
    </row>
    <row r="132" spans="1:9" ht="20.25" customHeight="1">
      <c r="A132" s="24"/>
      <c r="B132" s="25" t="s">
        <v>17</v>
      </c>
      <c r="C132" s="26"/>
      <c r="D132" s="27"/>
      <c r="E132" s="27">
        <f t="shared" si="19"/>
        <v>0</v>
      </c>
      <c r="F132" s="27"/>
      <c r="G132" s="29">
        <v>200000</v>
      </c>
      <c r="H132" s="27">
        <f t="shared" si="18"/>
        <v>2395969</v>
      </c>
      <c r="I132" s="30">
        <v>41724</v>
      </c>
    </row>
    <row r="133" spans="1:9" ht="20.25" customHeight="1">
      <c r="A133" s="24"/>
      <c r="B133" s="25" t="s">
        <v>17</v>
      </c>
      <c r="C133" s="26"/>
      <c r="D133" s="27"/>
      <c r="E133" s="27">
        <f t="shared" si="19"/>
        <v>0</v>
      </c>
      <c r="F133" s="27"/>
      <c r="G133" s="29">
        <v>75200</v>
      </c>
      <c r="H133" s="27">
        <f t="shared" si="18"/>
        <v>2320769</v>
      </c>
      <c r="I133" s="30">
        <v>41736</v>
      </c>
    </row>
    <row r="134" spans="1:9" ht="20.25" customHeight="1">
      <c r="A134" s="24"/>
      <c r="B134" s="25" t="s">
        <v>17</v>
      </c>
      <c r="C134" s="26"/>
      <c r="D134" s="27"/>
      <c r="E134" s="27">
        <f t="shared" si="19"/>
        <v>0</v>
      </c>
      <c r="F134" s="27"/>
      <c r="G134" s="29">
        <v>200000</v>
      </c>
      <c r="H134" s="27">
        <f t="shared" si="18"/>
        <v>2120769</v>
      </c>
      <c r="I134" s="30">
        <v>41747</v>
      </c>
    </row>
    <row r="135" spans="1:9" ht="20.25" customHeight="1">
      <c r="A135" s="24"/>
      <c r="B135" s="25" t="s">
        <v>17</v>
      </c>
      <c r="C135" s="26"/>
      <c r="D135" s="27"/>
      <c r="E135" s="27">
        <f t="shared" si="19"/>
        <v>0</v>
      </c>
      <c r="F135" s="27"/>
      <c r="G135" s="29">
        <v>150000</v>
      </c>
      <c r="H135" s="27">
        <f t="shared" ref="H135:H140" si="20">IF(B135&lt;&gt;"",H134+E135-G135,0)</f>
        <v>1970769</v>
      </c>
      <c r="I135" s="30">
        <v>41766</v>
      </c>
    </row>
    <row r="136" spans="1:9" ht="20.25" customHeight="1">
      <c r="A136" s="24"/>
      <c r="B136" s="25" t="s">
        <v>17</v>
      </c>
      <c r="C136" s="26"/>
      <c r="D136" s="27"/>
      <c r="E136" s="27">
        <f t="shared" si="19"/>
        <v>0</v>
      </c>
      <c r="F136" s="27"/>
      <c r="G136" s="29">
        <v>500000</v>
      </c>
      <c r="H136" s="27">
        <f t="shared" si="20"/>
        <v>1470769</v>
      </c>
      <c r="I136" s="30">
        <v>41774</v>
      </c>
    </row>
    <row r="137" spans="1:9" ht="20.25" customHeight="1">
      <c r="A137" s="24"/>
      <c r="B137" s="25" t="s">
        <v>17</v>
      </c>
      <c r="C137" s="26"/>
      <c r="D137" s="27"/>
      <c r="E137" s="27">
        <f t="shared" si="19"/>
        <v>0</v>
      </c>
      <c r="F137" s="27"/>
      <c r="G137" s="29">
        <v>200000</v>
      </c>
      <c r="H137" s="27">
        <f t="shared" si="20"/>
        <v>1270769</v>
      </c>
      <c r="I137" s="30">
        <v>41788</v>
      </c>
    </row>
    <row r="138" spans="1:9" ht="20.25" customHeight="1">
      <c r="A138" s="24"/>
      <c r="B138" s="25" t="s">
        <v>17</v>
      </c>
      <c r="C138" s="26"/>
      <c r="D138" s="27"/>
      <c r="E138" s="27">
        <f t="shared" si="19"/>
        <v>0</v>
      </c>
      <c r="F138" s="27"/>
      <c r="G138" s="29">
        <v>200000</v>
      </c>
      <c r="H138" s="27">
        <f t="shared" si="20"/>
        <v>1070769</v>
      </c>
      <c r="I138" s="30">
        <v>41803</v>
      </c>
    </row>
    <row r="139" spans="1:9" ht="20.25" customHeight="1">
      <c r="A139" s="24"/>
      <c r="B139" s="25" t="s">
        <v>17</v>
      </c>
      <c r="C139" s="26"/>
      <c r="D139" s="27"/>
      <c r="E139" s="27">
        <f>C139*D139</f>
        <v>0</v>
      </c>
      <c r="F139" s="27"/>
      <c r="G139" s="29">
        <v>200000</v>
      </c>
      <c r="H139" s="27">
        <f t="shared" si="20"/>
        <v>870769</v>
      </c>
      <c r="I139" s="30">
        <v>41820</v>
      </c>
    </row>
    <row r="140" spans="1:9" ht="20.25" customHeight="1">
      <c r="A140" s="24">
        <v>41820</v>
      </c>
      <c r="B140" s="16" t="s">
        <v>275</v>
      </c>
      <c r="C140" s="26">
        <v>221</v>
      </c>
      <c r="D140" s="27">
        <v>125</v>
      </c>
      <c r="E140" s="27">
        <f>C140*D140</f>
        <v>27625</v>
      </c>
      <c r="F140" s="27"/>
      <c r="G140" s="29"/>
      <c r="H140" s="27">
        <f t="shared" si="20"/>
        <v>898394</v>
      </c>
      <c r="I140" s="31"/>
    </row>
    <row r="141" spans="1:9" ht="20.25" customHeight="1">
      <c r="A141" s="24"/>
      <c r="B141" s="16" t="s">
        <v>18</v>
      </c>
      <c r="C141" s="26">
        <v>990</v>
      </c>
      <c r="D141" s="27">
        <v>145</v>
      </c>
      <c r="E141" s="27">
        <f t="shared" ref="E141:E162" si="21">C141*D141</f>
        <v>143550</v>
      </c>
      <c r="F141" s="27"/>
      <c r="G141" s="29"/>
      <c r="H141" s="27">
        <f t="shared" ref="H141:H163" si="22">IF(B141&lt;&gt;"",H140+E141-G141,0)</f>
        <v>1041944</v>
      </c>
      <c r="I141" s="31"/>
    </row>
    <row r="142" spans="1:9" ht="20.25" customHeight="1">
      <c r="A142" s="24"/>
      <c r="B142" s="16" t="s">
        <v>34</v>
      </c>
      <c r="C142" s="26">
        <v>101.5</v>
      </c>
      <c r="D142" s="27">
        <v>95</v>
      </c>
      <c r="E142" s="27">
        <f t="shared" si="21"/>
        <v>9642.5</v>
      </c>
      <c r="F142" s="27"/>
      <c r="G142" s="29"/>
      <c r="H142" s="27">
        <f t="shared" si="22"/>
        <v>1051586.5</v>
      </c>
      <c r="I142" s="31"/>
    </row>
    <row r="143" spans="1:9" ht="20.25" customHeight="1">
      <c r="A143" s="24"/>
      <c r="B143" s="16" t="s">
        <v>33</v>
      </c>
      <c r="C143" s="26">
        <v>180</v>
      </c>
      <c r="D143" s="27">
        <v>90</v>
      </c>
      <c r="E143" s="27">
        <f t="shared" si="21"/>
        <v>16200</v>
      </c>
      <c r="F143" s="27"/>
      <c r="G143" s="29"/>
      <c r="H143" s="27">
        <f t="shared" si="22"/>
        <v>1067786.5</v>
      </c>
      <c r="I143" s="31"/>
    </row>
    <row r="144" spans="1:9" ht="20.25" customHeight="1">
      <c r="A144" s="24"/>
      <c r="B144" s="16" t="s">
        <v>166</v>
      </c>
      <c r="C144" s="26">
        <v>432.5</v>
      </c>
      <c r="D144" s="27">
        <v>90</v>
      </c>
      <c r="E144" s="27">
        <f t="shared" si="21"/>
        <v>38925</v>
      </c>
      <c r="F144" s="27"/>
      <c r="G144" s="29"/>
      <c r="H144" s="27">
        <f t="shared" si="22"/>
        <v>1106711.5</v>
      </c>
      <c r="I144" s="31"/>
    </row>
    <row r="145" spans="1:9" ht="20.25" customHeight="1">
      <c r="A145" s="24"/>
      <c r="B145" s="25" t="s">
        <v>17</v>
      </c>
      <c r="C145" s="26"/>
      <c r="D145" s="27"/>
      <c r="E145" s="27">
        <f t="shared" si="21"/>
        <v>0</v>
      </c>
      <c r="F145" s="27"/>
      <c r="G145" s="29">
        <v>200000</v>
      </c>
      <c r="H145" s="27">
        <f t="shared" si="22"/>
        <v>906711.5</v>
      </c>
      <c r="I145" s="30">
        <v>41829</v>
      </c>
    </row>
    <row r="146" spans="1:9" ht="20.25" customHeight="1">
      <c r="A146" s="24"/>
      <c r="B146" s="25" t="s">
        <v>17</v>
      </c>
      <c r="C146" s="26"/>
      <c r="D146" s="27"/>
      <c r="E146" s="27">
        <f>C146*D146</f>
        <v>0</v>
      </c>
      <c r="F146" s="27"/>
      <c r="G146" s="29">
        <v>100000</v>
      </c>
      <c r="H146" s="27">
        <f>IF(B146&lt;&gt;"",H145+E146-G146,0)</f>
        <v>806711.5</v>
      </c>
      <c r="I146" s="30">
        <v>41843</v>
      </c>
    </row>
    <row r="147" spans="1:9" ht="20.25" customHeight="1">
      <c r="A147" s="24"/>
      <c r="B147" s="25" t="s">
        <v>17</v>
      </c>
      <c r="C147" s="26"/>
      <c r="D147" s="27"/>
      <c r="E147" s="27">
        <f>C147*D147</f>
        <v>0</v>
      </c>
      <c r="F147" s="27"/>
      <c r="G147" s="29">
        <v>100000</v>
      </c>
      <c r="H147" s="27">
        <f>IF(B147&lt;&gt;"",H146+E147-G147,0)</f>
        <v>706711.5</v>
      </c>
      <c r="I147" s="30">
        <v>41858</v>
      </c>
    </row>
    <row r="148" spans="1:9" ht="20.25" customHeight="1">
      <c r="A148" s="24"/>
      <c r="B148" s="25" t="s">
        <v>17</v>
      </c>
      <c r="C148" s="26"/>
      <c r="D148" s="27"/>
      <c r="E148" s="27">
        <f t="shared" si="21"/>
        <v>0</v>
      </c>
      <c r="F148" s="27"/>
      <c r="G148" s="29">
        <v>150000</v>
      </c>
      <c r="H148" s="27">
        <f t="shared" si="22"/>
        <v>556711.5</v>
      </c>
      <c r="I148" s="30">
        <v>41877</v>
      </c>
    </row>
    <row r="149" spans="1:9" ht="20.25" customHeight="1">
      <c r="A149" s="24"/>
      <c r="B149" s="25" t="s">
        <v>17</v>
      </c>
      <c r="C149" s="26"/>
      <c r="D149" s="27"/>
      <c r="E149" s="27">
        <f t="shared" si="21"/>
        <v>0</v>
      </c>
      <c r="F149" s="27"/>
      <c r="G149" s="29">
        <v>100000</v>
      </c>
      <c r="H149" s="27">
        <f t="shared" si="22"/>
        <v>456711.5</v>
      </c>
      <c r="I149" s="30">
        <v>41907</v>
      </c>
    </row>
    <row r="150" spans="1:9" ht="20.25" customHeight="1">
      <c r="A150" s="24"/>
      <c r="B150" s="25" t="s">
        <v>17</v>
      </c>
      <c r="C150" s="26"/>
      <c r="D150" s="27"/>
      <c r="E150" s="27">
        <f>C150*D150</f>
        <v>0</v>
      </c>
      <c r="F150" s="27"/>
      <c r="G150" s="29">
        <v>100000</v>
      </c>
      <c r="H150" s="27">
        <f>IF(B150&lt;&gt;"",H149+E150-G150,0)</f>
        <v>356711.5</v>
      </c>
      <c r="I150" s="30">
        <v>41946</v>
      </c>
    </row>
    <row r="151" spans="1:9" ht="20.25" customHeight="1">
      <c r="A151" s="24"/>
      <c r="B151" s="25" t="s">
        <v>17</v>
      </c>
      <c r="C151" s="26"/>
      <c r="D151" s="27"/>
      <c r="E151" s="27">
        <f t="shared" si="21"/>
        <v>0</v>
      </c>
      <c r="F151" s="27"/>
      <c r="G151" s="29">
        <v>100000</v>
      </c>
      <c r="H151" s="27">
        <f t="shared" si="22"/>
        <v>256711.5</v>
      </c>
      <c r="I151" s="30">
        <v>41963</v>
      </c>
    </row>
    <row r="152" spans="1:9" ht="20.25" customHeight="1">
      <c r="A152" s="24"/>
      <c r="B152" s="16" t="s">
        <v>169</v>
      </c>
      <c r="C152" s="26">
        <v>786</v>
      </c>
      <c r="D152" s="27">
        <v>65</v>
      </c>
      <c r="E152" s="27">
        <f t="shared" si="21"/>
        <v>51090</v>
      </c>
      <c r="F152" s="27"/>
      <c r="G152" s="29"/>
      <c r="H152" s="27">
        <f t="shared" si="22"/>
        <v>307801.5</v>
      </c>
      <c r="I152" s="248" t="s">
        <v>198</v>
      </c>
    </row>
    <row r="153" spans="1:9" ht="20.25" customHeight="1">
      <c r="A153" s="24"/>
      <c r="B153" s="16" t="s">
        <v>165</v>
      </c>
      <c r="C153" s="26">
        <v>170</v>
      </c>
      <c r="D153" s="27">
        <v>65</v>
      </c>
      <c r="E153" s="27">
        <f t="shared" si="21"/>
        <v>11050</v>
      </c>
      <c r="F153" s="27"/>
      <c r="G153" s="29"/>
      <c r="H153" s="27">
        <f t="shared" si="22"/>
        <v>318851.5</v>
      </c>
      <c r="I153" s="249"/>
    </row>
    <row r="154" spans="1:9" ht="20.25" customHeight="1">
      <c r="A154" s="24">
        <v>41817</v>
      </c>
      <c r="B154" s="16" t="s">
        <v>304</v>
      </c>
      <c r="C154" s="26">
        <v>4404</v>
      </c>
      <c r="D154" s="27">
        <v>25</v>
      </c>
      <c r="E154" s="27">
        <f t="shared" si="21"/>
        <v>110100</v>
      </c>
      <c r="F154" s="27"/>
      <c r="G154" s="29"/>
      <c r="H154" s="27">
        <f t="shared" si="22"/>
        <v>428951.5</v>
      </c>
      <c r="I154" s="31" t="s">
        <v>159</v>
      </c>
    </row>
    <row r="155" spans="1:9" ht="20.25" customHeight="1">
      <c r="A155" s="24">
        <v>41997</v>
      </c>
      <c r="B155" s="176" t="s">
        <v>18</v>
      </c>
      <c r="C155" s="26">
        <v>807</v>
      </c>
      <c r="D155" s="27">
        <v>125</v>
      </c>
      <c r="E155" s="27">
        <f t="shared" si="21"/>
        <v>100875</v>
      </c>
      <c r="F155" s="27"/>
      <c r="G155" s="29"/>
      <c r="H155" s="27">
        <f t="shared" si="22"/>
        <v>529826.5</v>
      </c>
      <c r="I155" s="31"/>
    </row>
    <row r="156" spans="1:9" ht="20.25" customHeight="1">
      <c r="A156" s="24"/>
      <c r="B156" s="25" t="s">
        <v>17</v>
      </c>
      <c r="C156" s="26"/>
      <c r="D156" s="27"/>
      <c r="E156" s="27">
        <f>C156*D156</f>
        <v>0</v>
      </c>
      <c r="F156" s="27"/>
      <c r="G156" s="29">
        <v>100000</v>
      </c>
      <c r="H156" s="27">
        <f>IF(B156&lt;&gt;"",H155+E156-G156,0)</f>
        <v>429826.5</v>
      </c>
      <c r="I156" s="30">
        <v>42024</v>
      </c>
    </row>
    <row r="157" spans="1:9" ht="20.25" customHeight="1">
      <c r="A157" s="24"/>
      <c r="B157" s="16" t="s">
        <v>17</v>
      </c>
      <c r="C157" s="26"/>
      <c r="D157" s="27"/>
      <c r="E157" s="27">
        <f t="shared" si="21"/>
        <v>0</v>
      </c>
      <c r="F157" s="27"/>
      <c r="G157" s="29">
        <v>100000</v>
      </c>
      <c r="H157" s="27">
        <f t="shared" si="22"/>
        <v>329826.5</v>
      </c>
      <c r="I157" s="30">
        <v>42074</v>
      </c>
    </row>
    <row r="158" spans="1:9" ht="20.25" customHeight="1">
      <c r="A158" s="24"/>
      <c r="B158" s="16" t="s">
        <v>17</v>
      </c>
      <c r="C158" s="26"/>
      <c r="D158" s="27"/>
      <c r="E158" s="27">
        <f t="shared" si="21"/>
        <v>0</v>
      </c>
      <c r="F158" s="27"/>
      <c r="G158" s="29">
        <v>100000</v>
      </c>
      <c r="H158" s="27">
        <f t="shared" si="22"/>
        <v>229826.5</v>
      </c>
      <c r="I158" s="30">
        <v>42146</v>
      </c>
    </row>
    <row r="159" spans="1:9" ht="20.25" customHeight="1">
      <c r="A159" s="24"/>
      <c r="B159" s="16" t="s">
        <v>17</v>
      </c>
      <c r="C159" s="26"/>
      <c r="D159" s="27"/>
      <c r="E159" s="27">
        <f t="shared" si="21"/>
        <v>0</v>
      </c>
      <c r="F159" s="27"/>
      <c r="G159" s="29">
        <v>100000</v>
      </c>
      <c r="H159" s="27">
        <f t="shared" si="22"/>
        <v>129826.5</v>
      </c>
      <c r="I159" s="30">
        <v>42213</v>
      </c>
    </row>
    <row r="160" spans="1:9" ht="20.25" customHeight="1">
      <c r="A160" s="24"/>
      <c r="B160" s="16"/>
      <c r="C160" s="26"/>
      <c r="D160" s="27"/>
      <c r="E160" s="27">
        <f t="shared" si="21"/>
        <v>0</v>
      </c>
      <c r="F160" s="27"/>
      <c r="G160" s="29"/>
      <c r="H160" s="27">
        <f t="shared" si="22"/>
        <v>0</v>
      </c>
      <c r="I160" s="30"/>
    </row>
    <row r="161" spans="1:9" ht="20.25" customHeight="1">
      <c r="A161" s="24"/>
      <c r="B161" s="16"/>
      <c r="C161" s="26"/>
      <c r="D161" s="27"/>
      <c r="E161" s="27">
        <f t="shared" si="21"/>
        <v>0</v>
      </c>
      <c r="F161" s="27"/>
      <c r="G161" s="29"/>
      <c r="H161" s="27">
        <f t="shared" si="22"/>
        <v>0</v>
      </c>
      <c r="I161" s="30"/>
    </row>
    <row r="162" spans="1:9" ht="20.25" customHeight="1">
      <c r="A162" s="24"/>
      <c r="B162" s="16"/>
      <c r="C162" s="26"/>
      <c r="D162" s="27"/>
      <c r="E162" s="27">
        <f t="shared" si="21"/>
        <v>0</v>
      </c>
      <c r="F162" s="27"/>
      <c r="G162" s="29"/>
      <c r="H162" s="27">
        <f t="shared" si="22"/>
        <v>0</v>
      </c>
      <c r="I162" s="30"/>
    </row>
    <row r="163" spans="1:9" ht="20.25" customHeight="1">
      <c r="A163" s="24"/>
      <c r="B163" s="16" t="s">
        <v>305</v>
      </c>
      <c r="C163" s="26"/>
      <c r="D163" s="27"/>
      <c r="E163" s="27">
        <f>C163*D163</f>
        <v>0</v>
      </c>
      <c r="F163" s="27"/>
      <c r="G163" s="29"/>
      <c r="H163" s="27">
        <f t="shared" si="22"/>
        <v>0</v>
      </c>
      <c r="I163" s="30"/>
    </row>
    <row r="164" spans="1:9" s="37" customFormat="1" ht="23.25" customHeight="1">
      <c r="A164" s="245" t="s">
        <v>14</v>
      </c>
      <c r="B164" s="246"/>
      <c r="C164" s="246"/>
      <c r="D164" s="247"/>
      <c r="E164" s="81">
        <f>SUM(E11:E163)+H10</f>
        <v>8739526.5</v>
      </c>
      <c r="F164" s="81">
        <f>SUM(F11:F163)+I10</f>
        <v>0</v>
      </c>
      <c r="G164" s="81">
        <f>SUM(G11:G163)+J10</f>
        <v>8609700</v>
      </c>
      <c r="H164" s="68">
        <f>E164-F164-G164</f>
        <v>129826.5</v>
      </c>
      <c r="I164" s="69"/>
    </row>
    <row r="165" spans="1:9" ht="23.25" customHeight="1">
      <c r="G165" s="11"/>
      <c r="H165" s="7"/>
    </row>
    <row r="166" spans="1:9" s="111" customFormat="1" ht="21" customHeight="1">
      <c r="A166" s="108"/>
      <c r="B166" s="114" t="s">
        <v>99</v>
      </c>
      <c r="C166" s="109"/>
      <c r="D166" s="110"/>
      <c r="E166" s="128">
        <f>H164*1000</f>
        <v>129826500</v>
      </c>
      <c r="F166" s="115" t="s">
        <v>88</v>
      </c>
      <c r="G166" s="115" t="s">
        <v>88</v>
      </c>
      <c r="H166" s="110"/>
      <c r="I166" s="110"/>
    </row>
    <row r="167" spans="1:9" s="111" customFormat="1" ht="21" customHeight="1">
      <c r="A167" s="108"/>
      <c r="B167" s="114"/>
      <c r="C167" s="112"/>
      <c r="D167" s="110"/>
      <c r="E167" s="110"/>
      <c r="F167" s="113"/>
      <c r="G167" s="110"/>
      <c r="H167" s="110"/>
      <c r="I167" s="110"/>
    </row>
  </sheetData>
  <autoFilter ref="A9:I9"/>
  <mergeCells count="12">
    <mergeCell ref="A164:D164"/>
    <mergeCell ref="A5:I5"/>
    <mergeCell ref="A7:B7"/>
    <mergeCell ref="C7:D7"/>
    <mergeCell ref="A81:G81"/>
    <mergeCell ref="A121:G121"/>
    <mergeCell ref="I152:I153"/>
    <mergeCell ref="A1:D1"/>
    <mergeCell ref="A2:F2"/>
    <mergeCell ref="A3:B3"/>
    <mergeCell ref="C3:E3"/>
    <mergeCell ref="A10:G10"/>
  </mergeCells>
  <phoneticPr fontId="5" type="noConversion"/>
  <pageMargins left="0.41" right="0.22" top="0.28000000000000003" bottom="0.15" header="0.16" footer="0.15"/>
  <pageSetup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A184" sqref="A184"/>
    </sheetView>
  </sheetViews>
  <sheetFormatPr defaultRowHeight="21.75" customHeight="1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>
      <c r="A1" s="253" t="s">
        <v>38</v>
      </c>
      <c r="B1" s="253"/>
      <c r="C1" s="253"/>
      <c r="D1" s="253"/>
      <c r="F1" s="177"/>
      <c r="G1" s="162"/>
      <c r="H1" s="162"/>
    </row>
    <row r="2" spans="1:9" s="161" customFormat="1" ht="18.75" customHeight="1">
      <c r="A2" s="253" t="s">
        <v>37</v>
      </c>
      <c r="B2" s="253"/>
      <c r="C2" s="253"/>
      <c r="D2" s="253"/>
      <c r="E2" s="253"/>
      <c r="F2" s="253"/>
      <c r="G2" s="162"/>
      <c r="H2" s="162"/>
    </row>
    <row r="3" spans="1:9" s="161" customFormat="1" ht="18.75" customHeight="1">
      <c r="A3" s="253" t="s">
        <v>40</v>
      </c>
      <c r="B3" s="253"/>
      <c r="C3" s="253" t="s">
        <v>41</v>
      </c>
      <c r="D3" s="253"/>
      <c r="E3" s="253"/>
      <c r="F3" s="178"/>
      <c r="G3" s="162"/>
      <c r="H3" s="162"/>
    </row>
    <row r="4" spans="1:9" ht="9.75" customHeight="1">
      <c r="C4" s="8"/>
      <c r="D4" s="8"/>
      <c r="E4" s="8"/>
      <c r="F4" s="131"/>
      <c r="H4" s="17"/>
    </row>
    <row r="5" spans="1:9" s="163" customFormat="1" ht="29.25" customHeight="1">
      <c r="A5" s="252" t="s">
        <v>39</v>
      </c>
      <c r="B5" s="252"/>
      <c r="C5" s="252"/>
      <c r="D5" s="252"/>
      <c r="E5" s="252"/>
      <c r="F5" s="252"/>
      <c r="G5" s="252"/>
      <c r="H5" s="252"/>
      <c r="I5" s="252"/>
    </row>
    <row r="6" spans="1:9" ht="9.75" customHeight="1">
      <c r="C6" s="8"/>
      <c r="D6" s="8"/>
      <c r="E6" s="8"/>
      <c r="F6" s="131"/>
      <c r="H6" s="17"/>
    </row>
    <row r="7" spans="1:9" ht="21.75" customHeight="1">
      <c r="A7" s="250" t="s">
        <v>369</v>
      </c>
      <c r="B7" s="250"/>
      <c r="C7" s="210" t="s">
        <v>371</v>
      </c>
    </row>
    <row r="8" spans="1:9" ht="18.75" customHeight="1">
      <c r="G8" s="10"/>
    </row>
    <row r="9" spans="1:9" s="165" customFormat="1" ht="43.5" customHeight="1">
      <c r="A9" s="71" t="s">
        <v>0</v>
      </c>
      <c r="B9" s="71" t="s">
        <v>1</v>
      </c>
      <c r="C9" s="84" t="s">
        <v>24</v>
      </c>
      <c r="D9" s="84" t="s">
        <v>35</v>
      </c>
      <c r="E9" s="84" t="s">
        <v>75</v>
      </c>
      <c r="F9" s="179" t="s">
        <v>15</v>
      </c>
      <c r="G9" s="164" t="s">
        <v>2</v>
      </c>
      <c r="H9" s="71" t="s">
        <v>3</v>
      </c>
    </row>
    <row r="10" spans="1:9" ht="20.25" customHeight="1">
      <c r="A10" s="18"/>
      <c r="B10" s="16" t="s">
        <v>370</v>
      </c>
      <c r="C10" s="20"/>
      <c r="D10" s="19"/>
      <c r="E10" s="19">
        <v>445985</v>
      </c>
      <c r="F10" s="29"/>
      <c r="G10" s="19">
        <v>445985</v>
      </c>
      <c r="H10" s="30"/>
    </row>
    <row r="11" spans="1:9" s="4" customFormat="1" ht="20.25" customHeight="1">
      <c r="A11" s="24"/>
      <c r="B11" s="25" t="s">
        <v>17</v>
      </c>
      <c r="C11" s="26"/>
      <c r="D11" s="27"/>
      <c r="E11" s="27">
        <f>C11*D11</f>
        <v>0</v>
      </c>
      <c r="F11" s="29">
        <v>100000</v>
      </c>
      <c r="G11" s="27">
        <f>IF(B11&lt;&gt;"",G10+E11-F11,0)</f>
        <v>345985</v>
      </c>
      <c r="H11" s="30">
        <v>42046</v>
      </c>
    </row>
    <row r="12" spans="1:9" ht="20.25" customHeight="1">
      <c r="A12" s="18"/>
      <c r="B12" s="16" t="s">
        <v>17</v>
      </c>
      <c r="C12" s="20"/>
      <c r="D12" s="19"/>
      <c r="E12" s="27">
        <f t="shared" ref="E12:E15" si="0">C12*D12</f>
        <v>0</v>
      </c>
      <c r="F12" s="29">
        <v>100000</v>
      </c>
      <c r="G12" s="27">
        <f t="shared" ref="G12:G16" si="1">IF(B12&lt;&gt;"",G11+E12-F12,0)</f>
        <v>245985</v>
      </c>
      <c r="H12" s="30">
        <v>42146</v>
      </c>
    </row>
    <row r="13" spans="1:9" s="4" customFormat="1" ht="20.25" customHeight="1">
      <c r="A13" s="24"/>
      <c r="B13" s="25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9" ht="20.25" customHeight="1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>
      <c r="A16" s="166"/>
      <c r="B16" s="21"/>
      <c r="C16" s="167"/>
      <c r="D16" s="168"/>
      <c r="E16" s="19">
        <f t="shared" ref="E16" si="2">C16*D16</f>
        <v>0</v>
      </c>
      <c r="F16" s="29"/>
      <c r="G16" s="27">
        <f t="shared" si="1"/>
        <v>0</v>
      </c>
      <c r="H16" s="30"/>
    </row>
    <row r="17" spans="1:9" s="158" customFormat="1" ht="21.75" customHeight="1">
      <c r="A17" s="251" t="s">
        <v>14</v>
      </c>
      <c r="B17" s="251"/>
      <c r="C17" s="251"/>
      <c r="D17" s="251"/>
      <c r="E17" s="170">
        <f>SUM(E10:E16)</f>
        <v>445985</v>
      </c>
      <c r="F17" s="180">
        <f>SUM(F10:F16)</f>
        <v>200000</v>
      </c>
      <c r="G17" s="171">
        <f>E17-F17</f>
        <v>245985</v>
      </c>
      <c r="H17" s="169"/>
    </row>
    <row r="18" spans="1:9" ht="21.75" customHeight="1">
      <c r="F18" s="11"/>
      <c r="G18" s="10"/>
    </row>
    <row r="19" spans="1:9" s="111" customFormat="1" ht="21" customHeight="1">
      <c r="A19" s="108"/>
      <c r="B19" s="114" t="s">
        <v>99</v>
      </c>
      <c r="C19" s="109"/>
      <c r="D19" s="110"/>
      <c r="E19" s="128">
        <f>G17*1000</f>
        <v>245985000</v>
      </c>
      <c r="F19" s="181" t="s">
        <v>88</v>
      </c>
      <c r="G19" s="115"/>
      <c r="H19" s="110"/>
      <c r="I19" s="110"/>
    </row>
    <row r="20" spans="1:9" s="111" customFormat="1" ht="21" customHeight="1">
      <c r="A20" s="108"/>
      <c r="B20" s="114" t="s">
        <v>89</v>
      </c>
      <c r="C20" s="112" t="str">
        <f>[1]!VND(E19, TRUE)</f>
        <v>Hai trăm bốn mươi lăm triệu, chín trăm tám mươi lăm ngàn đồng</v>
      </c>
      <c r="D20" s="110"/>
      <c r="E20" s="110"/>
      <c r="F20" s="182"/>
      <c r="G20" s="110"/>
      <c r="H20" s="110"/>
      <c r="I20" s="110"/>
    </row>
  </sheetData>
  <autoFilter ref="A9:H9"/>
  <mergeCells count="7">
    <mergeCell ref="A7:B7"/>
    <mergeCell ref="A17:D17"/>
    <mergeCell ref="A5:I5"/>
    <mergeCell ref="A1:D1"/>
    <mergeCell ref="A2:F2"/>
    <mergeCell ref="A3:B3"/>
    <mergeCell ref="C3:E3"/>
  </mergeCells>
  <phoneticPr fontId="5" type="noConversion"/>
  <pageMargins left="0.52" right="0.23" top="0.32" bottom="0.2" header="0.3" footer="0.3"/>
  <pageSetup paperSize="9" scale="8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6"/>
  </sheetPr>
  <dimension ref="A1:J39"/>
  <sheetViews>
    <sheetView topLeftCell="A7" workbookViewId="0">
      <pane ySplit="3" topLeftCell="A18" activePane="bottomLeft" state="frozen"/>
      <selection activeCell="A184" sqref="A184"/>
      <selection pane="bottomLeft" activeCell="C33" sqref="C33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07" customWidth="1"/>
    <col min="5" max="5" width="16.5703125" style="207" customWidth="1"/>
    <col min="6" max="6" width="12.42578125" style="12" customWidth="1"/>
    <col min="7" max="7" width="16.28515625" style="9" customWidth="1"/>
    <col min="8" max="8" width="14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27" t="s">
        <v>38</v>
      </c>
      <c r="B1" s="227"/>
      <c r="C1" s="227"/>
      <c r="D1" s="227"/>
      <c r="F1" s="92"/>
      <c r="H1" s="62"/>
      <c r="I1" s="62"/>
    </row>
    <row r="2" spans="1:10" s="60" customFormat="1" ht="18.75" customHeight="1">
      <c r="A2" s="227" t="s">
        <v>37</v>
      </c>
      <c r="B2" s="227"/>
      <c r="C2" s="227"/>
      <c r="D2" s="227"/>
      <c r="E2" s="227"/>
      <c r="F2" s="227"/>
      <c r="G2" s="227"/>
      <c r="H2" s="62"/>
      <c r="I2" s="62"/>
    </row>
    <row r="3" spans="1:10" s="60" customFormat="1" ht="18.75" customHeight="1">
      <c r="A3" s="227" t="s">
        <v>40</v>
      </c>
      <c r="B3" s="227"/>
      <c r="C3" s="227" t="s">
        <v>41</v>
      </c>
      <c r="D3" s="227"/>
      <c r="E3" s="227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28" t="s">
        <v>39</v>
      </c>
      <c r="B5" s="228"/>
      <c r="C5" s="228"/>
      <c r="D5" s="228"/>
      <c r="E5" s="228"/>
      <c r="F5" s="228"/>
      <c r="G5" s="228"/>
      <c r="H5" s="228"/>
      <c r="I5" s="228"/>
      <c r="J5" s="228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31" t="s">
        <v>388</v>
      </c>
      <c r="B7" s="231"/>
      <c r="C7" s="230" t="s">
        <v>28</v>
      </c>
      <c r="D7" s="230"/>
      <c r="E7" s="241" t="s">
        <v>29</v>
      </c>
      <c r="F7" s="241"/>
      <c r="G7" s="241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33">
        <v>42009</v>
      </c>
      <c r="B10" s="23" t="s">
        <v>111</v>
      </c>
      <c r="C10" s="34">
        <v>280</v>
      </c>
      <c r="D10" s="41">
        <v>10</v>
      </c>
      <c r="E10" s="27">
        <f t="shared" ref="E10:E20" si="0">C10*D10</f>
        <v>2800</v>
      </c>
      <c r="F10" s="36"/>
      <c r="G10" s="22"/>
      <c r="H10" s="32">
        <f>E10-F10-G10</f>
        <v>2800</v>
      </c>
      <c r="I10" s="201"/>
    </row>
    <row r="11" spans="1:10" ht="20.25" customHeight="1">
      <c r="A11" s="24"/>
      <c r="B11" s="31" t="s">
        <v>17</v>
      </c>
      <c r="C11" s="26"/>
      <c r="D11" s="41"/>
      <c r="E11" s="27">
        <f t="shared" ref="E11" si="1">C11*D11</f>
        <v>0</v>
      </c>
      <c r="F11" s="28"/>
      <c r="G11" s="29">
        <f>H10</f>
        <v>2800</v>
      </c>
      <c r="H11" s="27">
        <f>IF(B11&lt;&gt;"",H10+E11-F11-G11,0)</f>
        <v>0</v>
      </c>
      <c r="I11" s="201">
        <v>42009</v>
      </c>
    </row>
    <row r="12" spans="1:10" ht="20.25" customHeight="1">
      <c r="A12" s="39">
        <v>42014</v>
      </c>
      <c r="B12" s="31" t="s">
        <v>111</v>
      </c>
      <c r="C12" s="40">
        <v>680</v>
      </c>
      <c r="D12" s="41">
        <v>10</v>
      </c>
      <c r="E12" s="41">
        <f t="shared" si="0"/>
        <v>6800</v>
      </c>
      <c r="F12" s="64"/>
      <c r="G12" s="42"/>
      <c r="H12" s="27">
        <f t="shared" ref="H12:H38" si="2">IF(B12&lt;&gt;"",H11+E12-F12-G12,0)</f>
        <v>6800</v>
      </c>
      <c r="I12" s="201"/>
    </row>
    <row r="13" spans="1:10" ht="20.25" customHeight="1">
      <c r="A13" s="24">
        <v>42018</v>
      </c>
      <c r="B13" s="31" t="s">
        <v>111</v>
      </c>
      <c r="C13" s="26">
        <v>530</v>
      </c>
      <c r="D13" s="41">
        <v>10</v>
      </c>
      <c r="E13" s="27">
        <f t="shared" si="0"/>
        <v>5300</v>
      </c>
      <c r="F13" s="28"/>
      <c r="G13" s="29"/>
      <c r="H13" s="27">
        <f t="shared" si="2"/>
        <v>12100</v>
      </c>
      <c r="I13" s="201"/>
    </row>
    <row r="14" spans="1:10" ht="20.25" customHeight="1">
      <c r="A14" s="24"/>
      <c r="B14" s="31" t="s">
        <v>17</v>
      </c>
      <c r="C14" s="26"/>
      <c r="D14" s="41"/>
      <c r="E14" s="27">
        <f t="shared" si="0"/>
        <v>0</v>
      </c>
      <c r="F14" s="28"/>
      <c r="G14" s="29">
        <f>H13</f>
        <v>12100</v>
      </c>
      <c r="H14" s="27">
        <f t="shared" si="2"/>
        <v>0</v>
      </c>
      <c r="I14" s="201">
        <v>42025</v>
      </c>
    </row>
    <row r="15" spans="1:10" ht="20.25" customHeight="1">
      <c r="A15" s="24">
        <v>42024</v>
      </c>
      <c r="B15" s="31" t="s">
        <v>111</v>
      </c>
      <c r="C15" s="26">
        <v>290</v>
      </c>
      <c r="D15" s="41">
        <v>10</v>
      </c>
      <c r="E15" s="27">
        <f t="shared" si="0"/>
        <v>2900</v>
      </c>
      <c r="F15" s="28"/>
      <c r="G15" s="29"/>
      <c r="H15" s="27">
        <f t="shared" si="2"/>
        <v>2900</v>
      </c>
      <c r="I15" s="201"/>
    </row>
    <row r="16" spans="1:10" ht="20.25" customHeight="1">
      <c r="A16" s="24"/>
      <c r="B16" s="31" t="s">
        <v>17</v>
      </c>
      <c r="C16" s="26"/>
      <c r="D16" s="41"/>
      <c r="E16" s="27">
        <f t="shared" si="0"/>
        <v>0</v>
      </c>
      <c r="F16" s="28"/>
      <c r="G16" s="29">
        <f>H15</f>
        <v>2900</v>
      </c>
      <c r="H16" s="27">
        <f t="shared" si="2"/>
        <v>0</v>
      </c>
      <c r="I16" s="201">
        <v>42025</v>
      </c>
    </row>
    <row r="17" spans="1:9" ht="20.25" customHeight="1">
      <c r="A17" s="24">
        <v>42030</v>
      </c>
      <c r="B17" s="31" t="s">
        <v>111</v>
      </c>
      <c r="C17" s="26">
        <v>480</v>
      </c>
      <c r="D17" s="41">
        <v>10</v>
      </c>
      <c r="E17" s="27">
        <f t="shared" si="0"/>
        <v>4800</v>
      </c>
      <c r="F17" s="28"/>
      <c r="G17" s="29"/>
      <c r="H17" s="27">
        <f t="shared" si="2"/>
        <v>4800</v>
      </c>
      <c r="I17" s="201"/>
    </row>
    <row r="18" spans="1:9" ht="20.25" customHeight="1">
      <c r="A18" s="24">
        <v>42034</v>
      </c>
      <c r="B18" s="31" t="s">
        <v>111</v>
      </c>
      <c r="C18" s="26">
        <v>360</v>
      </c>
      <c r="D18" s="41">
        <v>10</v>
      </c>
      <c r="E18" s="27">
        <f t="shared" si="0"/>
        <v>3600</v>
      </c>
      <c r="F18" s="28"/>
      <c r="G18" s="29"/>
      <c r="H18" s="27">
        <f t="shared" si="2"/>
        <v>8400</v>
      </c>
      <c r="I18" s="201"/>
    </row>
    <row r="19" spans="1:9" ht="20.25" customHeight="1">
      <c r="A19" s="39">
        <v>42040</v>
      </c>
      <c r="B19" s="31" t="s">
        <v>111</v>
      </c>
      <c r="C19" s="40">
        <v>340</v>
      </c>
      <c r="D19" s="41">
        <v>10</v>
      </c>
      <c r="E19" s="41">
        <f t="shared" si="0"/>
        <v>3400</v>
      </c>
      <c r="F19" s="64"/>
      <c r="G19" s="42"/>
      <c r="H19" s="27">
        <f t="shared" si="2"/>
        <v>11800</v>
      </c>
      <c r="I19" s="201"/>
    </row>
    <row r="20" spans="1:9" ht="20.25" customHeight="1">
      <c r="A20" s="24"/>
      <c r="B20" s="31" t="s">
        <v>17</v>
      </c>
      <c r="C20" s="26"/>
      <c r="D20" s="41"/>
      <c r="E20" s="27">
        <f t="shared" si="0"/>
        <v>0</v>
      </c>
      <c r="F20" s="28"/>
      <c r="G20" s="29">
        <f>H19</f>
        <v>11800</v>
      </c>
      <c r="H20" s="27">
        <f t="shared" si="2"/>
        <v>0</v>
      </c>
      <c r="I20" s="201">
        <v>42046</v>
      </c>
    </row>
    <row r="21" spans="1:9" s="8" customFormat="1" ht="20.25" customHeight="1">
      <c r="A21" s="18">
        <v>42080</v>
      </c>
      <c r="B21" s="31" t="s">
        <v>111</v>
      </c>
      <c r="C21" s="20">
        <v>340</v>
      </c>
      <c r="D21" s="41">
        <v>10</v>
      </c>
      <c r="E21" s="19">
        <f>C21*D21</f>
        <v>3400</v>
      </c>
      <c r="F21" s="19"/>
      <c r="G21" s="19"/>
      <c r="H21" s="27">
        <f t="shared" si="2"/>
        <v>3400</v>
      </c>
      <c r="I21" s="201"/>
    </row>
    <row r="22" spans="1:9" s="8" customFormat="1" ht="20.25" customHeight="1">
      <c r="A22" s="18">
        <v>42086</v>
      </c>
      <c r="B22" s="31" t="s">
        <v>111</v>
      </c>
      <c r="C22" s="20">
        <v>410</v>
      </c>
      <c r="D22" s="41">
        <v>10</v>
      </c>
      <c r="E22" s="19">
        <f>C22*D22</f>
        <v>4100</v>
      </c>
      <c r="F22" s="19"/>
      <c r="G22" s="19"/>
      <c r="H22" s="27">
        <f t="shared" si="2"/>
        <v>7500</v>
      </c>
      <c r="I22" s="201"/>
    </row>
    <row r="23" spans="1:9" s="8" customFormat="1" ht="20.25" customHeight="1">
      <c r="A23" s="18">
        <v>42091</v>
      </c>
      <c r="B23" s="31" t="s">
        <v>111</v>
      </c>
      <c r="C23" s="20">
        <v>200</v>
      </c>
      <c r="D23" s="41">
        <v>10</v>
      </c>
      <c r="E23" s="19">
        <f>C23*D23</f>
        <v>2000</v>
      </c>
      <c r="F23" s="19"/>
      <c r="G23" s="19"/>
      <c r="H23" s="27">
        <f t="shared" si="2"/>
        <v>9500</v>
      </c>
      <c r="I23" s="201"/>
    </row>
    <row r="24" spans="1:9" ht="20.25" customHeight="1">
      <c r="A24" s="24">
        <v>42100</v>
      </c>
      <c r="B24" s="31" t="s">
        <v>111</v>
      </c>
      <c r="C24" s="26">
        <v>260</v>
      </c>
      <c r="D24" s="41">
        <v>10</v>
      </c>
      <c r="E24" s="27">
        <f>C24*D24</f>
        <v>2600</v>
      </c>
      <c r="F24" s="28"/>
      <c r="G24" s="29"/>
      <c r="H24" s="27">
        <f t="shared" si="2"/>
        <v>12100</v>
      </c>
      <c r="I24" s="201"/>
    </row>
    <row r="25" spans="1:9" s="8" customFormat="1" ht="20.25" customHeight="1">
      <c r="A25" s="18">
        <v>42110</v>
      </c>
      <c r="B25" s="31" t="s">
        <v>111</v>
      </c>
      <c r="C25" s="20">
        <v>170</v>
      </c>
      <c r="D25" s="41">
        <v>10</v>
      </c>
      <c r="E25" s="19">
        <f t="shared" ref="E25:E38" si="3">C25*D25</f>
        <v>1700</v>
      </c>
      <c r="F25" s="19"/>
      <c r="G25" s="19"/>
      <c r="H25" s="27">
        <f t="shared" si="2"/>
        <v>13800</v>
      </c>
      <c r="I25" s="201"/>
    </row>
    <row r="26" spans="1:9" ht="20.25" customHeight="1">
      <c r="A26" s="24"/>
      <c r="B26" s="31" t="s">
        <v>17</v>
      </c>
      <c r="C26" s="26"/>
      <c r="D26" s="41"/>
      <c r="E26" s="27">
        <f>C26*D26</f>
        <v>0</v>
      </c>
      <c r="F26" s="28"/>
      <c r="G26" s="29">
        <f>H25</f>
        <v>13800</v>
      </c>
      <c r="H26" s="27">
        <f t="shared" si="2"/>
        <v>0</v>
      </c>
      <c r="I26" s="201">
        <v>42128</v>
      </c>
    </row>
    <row r="27" spans="1:9" s="8" customFormat="1" ht="20.25" customHeight="1">
      <c r="A27" s="18">
        <v>42285</v>
      </c>
      <c r="B27" s="31" t="s">
        <v>111</v>
      </c>
      <c r="C27" s="20">
        <v>1340</v>
      </c>
      <c r="D27" s="41">
        <v>10</v>
      </c>
      <c r="E27" s="19">
        <f t="shared" si="3"/>
        <v>13400</v>
      </c>
      <c r="F27" s="19"/>
      <c r="G27" s="19"/>
      <c r="H27" s="27">
        <f t="shared" si="2"/>
        <v>13400</v>
      </c>
      <c r="I27" s="201"/>
    </row>
    <row r="28" spans="1:9" s="8" customFormat="1" ht="20.25" customHeight="1">
      <c r="A28" s="18">
        <v>42287</v>
      </c>
      <c r="B28" s="31" t="s">
        <v>111</v>
      </c>
      <c r="C28" s="20">
        <v>1495</v>
      </c>
      <c r="D28" s="41">
        <v>10</v>
      </c>
      <c r="E28" s="19">
        <f t="shared" si="3"/>
        <v>14950</v>
      </c>
      <c r="F28" s="19"/>
      <c r="G28" s="19"/>
      <c r="H28" s="27">
        <f t="shared" si="2"/>
        <v>28350</v>
      </c>
      <c r="I28" s="201"/>
    </row>
    <row r="29" spans="1:9" s="8" customFormat="1" ht="20.25" customHeight="1">
      <c r="A29" s="18">
        <v>42288</v>
      </c>
      <c r="B29" s="31" t="s">
        <v>111</v>
      </c>
      <c r="C29" s="20">
        <v>860</v>
      </c>
      <c r="D29" s="41">
        <v>10</v>
      </c>
      <c r="E29" s="19">
        <f t="shared" si="3"/>
        <v>8600</v>
      </c>
      <c r="F29" s="19"/>
      <c r="G29" s="19"/>
      <c r="H29" s="27">
        <f t="shared" si="2"/>
        <v>36950</v>
      </c>
      <c r="I29" s="201"/>
    </row>
    <row r="30" spans="1:9" s="8" customFormat="1" ht="20.25" customHeight="1">
      <c r="A30" s="18">
        <v>42291</v>
      </c>
      <c r="B30" s="31" t="s">
        <v>111</v>
      </c>
      <c r="C30" s="20">
        <v>1065</v>
      </c>
      <c r="D30" s="41">
        <v>10</v>
      </c>
      <c r="E30" s="19">
        <f t="shared" si="3"/>
        <v>10650</v>
      </c>
      <c r="F30" s="19"/>
      <c r="G30" s="19"/>
      <c r="H30" s="27">
        <f t="shared" si="2"/>
        <v>47600</v>
      </c>
      <c r="I30" s="201"/>
    </row>
    <row r="31" spans="1:9" ht="20.25" customHeight="1">
      <c r="A31" s="24"/>
      <c r="B31" s="31" t="s">
        <v>17</v>
      </c>
      <c r="C31" s="26"/>
      <c r="D31" s="41"/>
      <c r="E31" s="27">
        <f>C31*D31</f>
        <v>0</v>
      </c>
      <c r="F31" s="28"/>
      <c r="G31" s="29">
        <f>H30</f>
        <v>47600</v>
      </c>
      <c r="H31" s="27">
        <f t="shared" ref="H31" si="4">IF(B31&lt;&gt;"",H30+E31-F31-G31,0)</f>
        <v>0</v>
      </c>
      <c r="I31" s="220">
        <v>42300</v>
      </c>
    </row>
    <row r="32" spans="1:9" s="8" customFormat="1" ht="20.25" customHeight="1">
      <c r="A32" s="18">
        <v>42297</v>
      </c>
      <c r="B32" s="31" t="s">
        <v>111</v>
      </c>
      <c r="C32" s="20">
        <v>230</v>
      </c>
      <c r="D32" s="19">
        <v>10</v>
      </c>
      <c r="E32" s="19">
        <f t="shared" si="3"/>
        <v>2300</v>
      </c>
      <c r="F32" s="19"/>
      <c r="G32" s="19"/>
      <c r="H32" s="27">
        <f t="shared" si="2"/>
        <v>2300</v>
      </c>
      <c r="I32" s="201"/>
    </row>
    <row r="33" spans="1:10" s="8" customFormat="1" ht="20.25" customHeight="1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2"/>
        <v>0</v>
      </c>
      <c r="I33" s="201"/>
    </row>
    <row r="34" spans="1:10" s="8" customFormat="1" ht="20.25" customHeight="1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2"/>
        <v>0</v>
      </c>
      <c r="I34" s="201"/>
    </row>
    <row r="35" spans="1:10" ht="20.25" customHeight="1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2"/>
        <v>0</v>
      </c>
      <c r="I35" s="201"/>
    </row>
    <row r="36" spans="1:10" ht="20.25" customHeight="1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2"/>
        <v>0</v>
      </c>
      <c r="I36" s="201"/>
    </row>
    <row r="37" spans="1:10" ht="20.25" customHeight="1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2"/>
        <v>0</v>
      </c>
      <c r="I37" s="201"/>
    </row>
    <row r="38" spans="1:10" ht="20.25" customHeight="1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2"/>
        <v>0</v>
      </c>
      <c r="I38" s="201"/>
    </row>
    <row r="39" spans="1:10" s="200" customFormat="1" ht="20.25" customHeight="1">
      <c r="A39" s="226" t="s">
        <v>14</v>
      </c>
      <c r="B39" s="226"/>
      <c r="C39" s="226"/>
      <c r="D39" s="226"/>
      <c r="E39" s="68">
        <f>SUM(E10:E38)</f>
        <v>93300</v>
      </c>
      <c r="F39" s="68">
        <f t="shared" ref="F39:G39" si="5">SUM(F10:F38)</f>
        <v>0</v>
      </c>
      <c r="G39" s="68">
        <f t="shared" si="5"/>
        <v>91000</v>
      </c>
      <c r="H39" s="68">
        <f>E39-F39-G39</f>
        <v>2300</v>
      </c>
      <c r="I39" s="68"/>
      <c r="J39" s="206"/>
    </row>
  </sheetData>
  <autoFilter ref="A9:I39">
    <filterColumn colId="3"/>
  </autoFilter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/>
  </sheetPr>
  <dimension ref="A1:J39"/>
  <sheetViews>
    <sheetView topLeftCell="A7" workbookViewId="0">
      <pane ySplit="3" topLeftCell="A10" activePane="bottomLeft" state="frozen"/>
      <selection activeCell="A184" sqref="A184"/>
      <selection pane="bottomLeft" activeCell="G13" sqref="G13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22" customWidth="1"/>
    <col min="5" max="5" width="16.5703125" style="222" customWidth="1"/>
    <col min="6" max="6" width="12.42578125" style="12" customWidth="1"/>
    <col min="7" max="7" width="16.28515625" style="9" customWidth="1"/>
    <col min="8" max="8" width="14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27" t="s">
        <v>38</v>
      </c>
      <c r="B1" s="227"/>
      <c r="C1" s="227"/>
      <c r="D1" s="227"/>
      <c r="F1" s="92"/>
      <c r="H1" s="62"/>
      <c r="I1" s="62"/>
    </row>
    <row r="2" spans="1:10" s="60" customFormat="1" ht="18.75" customHeight="1">
      <c r="A2" s="227" t="s">
        <v>37</v>
      </c>
      <c r="B2" s="227"/>
      <c r="C2" s="227"/>
      <c r="D2" s="227"/>
      <c r="E2" s="227"/>
      <c r="F2" s="227"/>
      <c r="G2" s="227"/>
      <c r="H2" s="62"/>
      <c r="I2" s="62"/>
    </row>
    <row r="3" spans="1:10" s="60" customFormat="1" ht="18.75" customHeight="1">
      <c r="A3" s="227" t="s">
        <v>40</v>
      </c>
      <c r="B3" s="227"/>
      <c r="C3" s="227" t="s">
        <v>41</v>
      </c>
      <c r="D3" s="227"/>
      <c r="E3" s="227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28" t="s">
        <v>39</v>
      </c>
      <c r="B5" s="228"/>
      <c r="C5" s="228"/>
      <c r="D5" s="228"/>
      <c r="E5" s="228"/>
      <c r="F5" s="228"/>
      <c r="G5" s="228"/>
      <c r="H5" s="228"/>
      <c r="I5" s="228"/>
      <c r="J5" s="228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31" t="s">
        <v>412</v>
      </c>
      <c r="B7" s="231"/>
      <c r="C7" s="230" t="s">
        <v>413</v>
      </c>
      <c r="D7" s="230"/>
      <c r="E7" s="241" t="s">
        <v>29</v>
      </c>
      <c r="F7" s="241"/>
      <c r="G7" s="241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86" t="s">
        <v>0</v>
      </c>
      <c r="B9" s="85" t="s">
        <v>1</v>
      </c>
      <c r="C9" s="83" t="s">
        <v>24</v>
      </c>
      <c r="D9" s="83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42298</v>
      </c>
      <c r="B10" s="31" t="s">
        <v>414</v>
      </c>
      <c r="C10" s="26">
        <v>388</v>
      </c>
      <c r="D10" s="27">
        <v>180</v>
      </c>
      <c r="E10" s="27">
        <f t="shared" ref="E10:E20" si="0">C10*D10</f>
        <v>69840</v>
      </c>
      <c r="F10" s="36"/>
      <c r="G10" s="22"/>
      <c r="H10" s="32">
        <f>E10-F10-G10</f>
        <v>69840</v>
      </c>
      <c r="I10" s="220"/>
    </row>
    <row r="11" spans="1:10" ht="20.25" customHeight="1">
      <c r="A11" s="24">
        <v>42312</v>
      </c>
      <c r="B11" s="31" t="s">
        <v>414</v>
      </c>
      <c r="C11" s="26">
        <v>163</v>
      </c>
      <c r="D11" s="27">
        <v>180</v>
      </c>
      <c r="E11" s="27">
        <f t="shared" si="0"/>
        <v>29340</v>
      </c>
      <c r="F11" s="28"/>
      <c r="G11" s="29"/>
      <c r="H11" s="27">
        <f>IF(B11&lt;&gt;"",H10+E11-F11-G11,0)</f>
        <v>99180</v>
      </c>
      <c r="I11" s="220"/>
    </row>
    <row r="12" spans="1:10" ht="20.25" customHeight="1">
      <c r="A12" s="24">
        <v>42328</v>
      </c>
      <c r="B12" s="31" t="s">
        <v>17</v>
      </c>
      <c r="C12" s="26"/>
      <c r="D12" s="27"/>
      <c r="E12" s="27">
        <f t="shared" si="0"/>
        <v>0</v>
      </c>
      <c r="F12" s="64"/>
      <c r="G12" s="42">
        <v>70000</v>
      </c>
      <c r="H12" s="27">
        <f t="shared" ref="H12:H38" si="1">IF(B12&lt;&gt;"",H11+E12-F12-G12,0)</f>
        <v>29180</v>
      </c>
      <c r="I12" s="220"/>
    </row>
    <row r="13" spans="1:10" ht="20.25" customHeight="1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220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220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220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220"/>
    </row>
    <row r="17" spans="1:9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220"/>
    </row>
    <row r="18" spans="1:9" ht="20.25" customHeight="1">
      <c r="A18" s="24"/>
      <c r="B18" s="31"/>
      <c r="C18" s="26"/>
      <c r="D18" s="41"/>
      <c r="E18" s="27">
        <f t="shared" si="0"/>
        <v>0</v>
      </c>
      <c r="F18" s="28"/>
      <c r="G18" s="29"/>
      <c r="H18" s="27">
        <f t="shared" si="1"/>
        <v>0</v>
      </c>
      <c r="I18" s="220"/>
    </row>
    <row r="19" spans="1:9" ht="20.25" customHeight="1">
      <c r="A19" s="39"/>
      <c r="B19" s="31"/>
      <c r="C19" s="40"/>
      <c r="D19" s="41"/>
      <c r="E19" s="41">
        <f t="shared" si="0"/>
        <v>0</v>
      </c>
      <c r="F19" s="64"/>
      <c r="G19" s="42"/>
      <c r="H19" s="27">
        <f t="shared" si="1"/>
        <v>0</v>
      </c>
      <c r="I19" s="220"/>
    </row>
    <row r="20" spans="1:9" ht="20.25" customHeight="1">
      <c r="A20" s="24"/>
      <c r="B20" s="31"/>
      <c r="C20" s="26"/>
      <c r="D20" s="41"/>
      <c r="E20" s="27">
        <f t="shared" si="0"/>
        <v>0</v>
      </c>
      <c r="F20" s="28"/>
      <c r="G20" s="29"/>
      <c r="H20" s="27">
        <f t="shared" si="1"/>
        <v>0</v>
      </c>
      <c r="I20" s="220"/>
    </row>
    <row r="21" spans="1:9" s="8" customFormat="1" ht="20.25" customHeight="1">
      <c r="A21" s="18"/>
      <c r="B21" s="31"/>
      <c r="C21" s="20"/>
      <c r="D21" s="41"/>
      <c r="E21" s="19">
        <f>C21*D21</f>
        <v>0</v>
      </c>
      <c r="F21" s="19"/>
      <c r="G21" s="19"/>
      <c r="H21" s="27">
        <f t="shared" si="1"/>
        <v>0</v>
      </c>
      <c r="I21" s="220"/>
    </row>
    <row r="22" spans="1:9" s="8" customFormat="1" ht="20.25" customHeight="1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0"/>
    </row>
    <row r="23" spans="1:9" s="8" customFormat="1" ht="20.25" customHeight="1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0"/>
    </row>
    <row r="24" spans="1:9" ht="20.25" customHeight="1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0"/>
    </row>
    <row r="25" spans="1:9" s="8" customFormat="1" ht="20.25" customHeight="1">
      <c r="A25" s="18"/>
      <c r="B25" s="31"/>
      <c r="C25" s="20"/>
      <c r="D25" s="41"/>
      <c r="E25" s="19">
        <f t="shared" ref="E25:E38" si="2">C25*D25</f>
        <v>0</v>
      </c>
      <c r="F25" s="19"/>
      <c r="G25" s="19"/>
      <c r="H25" s="27">
        <f t="shared" si="1"/>
        <v>0</v>
      </c>
      <c r="I25" s="220"/>
    </row>
    <row r="26" spans="1:9" ht="20.25" customHeight="1">
      <c r="A26" s="24"/>
      <c r="B26" s="31"/>
      <c r="C26" s="26"/>
      <c r="D26" s="41"/>
      <c r="E26" s="27">
        <f>C26*D26</f>
        <v>0</v>
      </c>
      <c r="F26" s="28"/>
      <c r="G26" s="29"/>
      <c r="H26" s="27">
        <f t="shared" si="1"/>
        <v>0</v>
      </c>
      <c r="I26" s="220"/>
    </row>
    <row r="27" spans="1:9" s="8" customFormat="1" ht="20.25" customHeight="1">
      <c r="A27" s="18"/>
      <c r="B27" s="31"/>
      <c r="C27" s="20"/>
      <c r="D27" s="41"/>
      <c r="E27" s="19">
        <f t="shared" si="2"/>
        <v>0</v>
      </c>
      <c r="F27" s="19"/>
      <c r="G27" s="19"/>
      <c r="H27" s="27">
        <f t="shared" si="1"/>
        <v>0</v>
      </c>
      <c r="I27" s="220"/>
    </row>
    <row r="28" spans="1:9" s="8" customFormat="1" ht="20.25" customHeight="1">
      <c r="A28" s="18"/>
      <c r="B28" s="31"/>
      <c r="C28" s="20"/>
      <c r="D28" s="41"/>
      <c r="E28" s="19">
        <f t="shared" si="2"/>
        <v>0</v>
      </c>
      <c r="F28" s="19"/>
      <c r="G28" s="19"/>
      <c r="H28" s="27">
        <f t="shared" si="1"/>
        <v>0</v>
      </c>
      <c r="I28" s="220"/>
    </row>
    <row r="29" spans="1:9" s="8" customFormat="1" ht="20.25" customHeight="1">
      <c r="A29" s="18"/>
      <c r="B29" s="31"/>
      <c r="C29" s="20"/>
      <c r="D29" s="41"/>
      <c r="E29" s="19">
        <f t="shared" si="2"/>
        <v>0</v>
      </c>
      <c r="F29" s="19"/>
      <c r="G29" s="19"/>
      <c r="H29" s="27">
        <f t="shared" si="1"/>
        <v>0</v>
      </c>
      <c r="I29" s="220"/>
    </row>
    <row r="30" spans="1:9" s="8" customFormat="1" ht="20.25" customHeight="1">
      <c r="A30" s="18"/>
      <c r="B30" s="31"/>
      <c r="C30" s="20"/>
      <c r="D30" s="41"/>
      <c r="E30" s="19">
        <f t="shared" si="2"/>
        <v>0</v>
      </c>
      <c r="F30" s="19"/>
      <c r="G30" s="19"/>
      <c r="H30" s="27">
        <f t="shared" si="1"/>
        <v>0</v>
      </c>
      <c r="I30" s="220"/>
    </row>
    <row r="31" spans="1:9" ht="20.25" customHeight="1">
      <c r="A31" s="24"/>
      <c r="B31" s="31"/>
      <c r="C31" s="26"/>
      <c r="D31" s="41"/>
      <c r="E31" s="27">
        <f>C31*D31</f>
        <v>0</v>
      </c>
      <c r="F31" s="28"/>
      <c r="G31" s="29"/>
      <c r="H31" s="27">
        <f t="shared" si="1"/>
        <v>0</v>
      </c>
      <c r="I31" s="220"/>
    </row>
    <row r="32" spans="1:9" s="8" customFormat="1" ht="20.25" customHeight="1">
      <c r="A32" s="18"/>
      <c r="B32" s="31"/>
      <c r="C32" s="20"/>
      <c r="D32" s="19"/>
      <c r="E32" s="19">
        <f t="shared" si="2"/>
        <v>0</v>
      </c>
      <c r="F32" s="19"/>
      <c r="G32" s="19"/>
      <c r="H32" s="27">
        <f t="shared" si="1"/>
        <v>0</v>
      </c>
      <c r="I32" s="220"/>
    </row>
    <row r="33" spans="1:10" s="8" customFormat="1" ht="20.25" customHeight="1">
      <c r="A33" s="18"/>
      <c r="B33" s="21"/>
      <c r="C33" s="20"/>
      <c r="D33" s="19"/>
      <c r="E33" s="19">
        <f t="shared" si="2"/>
        <v>0</v>
      </c>
      <c r="F33" s="19"/>
      <c r="G33" s="19"/>
      <c r="H33" s="27">
        <f t="shared" si="1"/>
        <v>0</v>
      </c>
      <c r="I33" s="220"/>
    </row>
    <row r="34" spans="1:10" s="8" customFormat="1" ht="20.25" customHeight="1">
      <c r="A34" s="18"/>
      <c r="B34" s="21"/>
      <c r="C34" s="20"/>
      <c r="D34" s="19"/>
      <c r="E34" s="19">
        <f t="shared" si="2"/>
        <v>0</v>
      </c>
      <c r="F34" s="19"/>
      <c r="G34" s="19"/>
      <c r="H34" s="27">
        <f t="shared" si="1"/>
        <v>0</v>
      </c>
      <c r="I34" s="220"/>
    </row>
    <row r="35" spans="1:10" ht="20.25" customHeight="1">
      <c r="A35" s="24"/>
      <c r="B35" s="21"/>
      <c r="C35" s="26"/>
      <c r="D35" s="19"/>
      <c r="E35" s="27">
        <f t="shared" si="2"/>
        <v>0</v>
      </c>
      <c r="F35" s="28"/>
      <c r="G35" s="29"/>
      <c r="H35" s="27">
        <f t="shared" si="1"/>
        <v>0</v>
      </c>
      <c r="I35" s="220"/>
    </row>
    <row r="36" spans="1:10" ht="20.25" customHeight="1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1"/>
        <v>0</v>
      </c>
      <c r="I36" s="220"/>
    </row>
    <row r="37" spans="1:10" ht="20.25" customHeight="1">
      <c r="A37" s="24"/>
      <c r="B37" s="21"/>
      <c r="C37" s="26"/>
      <c r="D37" s="27"/>
      <c r="E37" s="27">
        <f t="shared" si="2"/>
        <v>0</v>
      </c>
      <c r="F37" s="28"/>
      <c r="G37" s="29"/>
      <c r="H37" s="27">
        <f t="shared" si="1"/>
        <v>0</v>
      </c>
      <c r="I37" s="220"/>
    </row>
    <row r="38" spans="1:10" ht="20.25" customHeight="1">
      <c r="A38" s="24"/>
      <c r="B38" s="21"/>
      <c r="C38" s="26"/>
      <c r="D38" s="27"/>
      <c r="E38" s="27">
        <f t="shared" si="2"/>
        <v>0</v>
      </c>
      <c r="F38" s="28"/>
      <c r="G38" s="29"/>
      <c r="H38" s="27">
        <f t="shared" si="1"/>
        <v>0</v>
      </c>
      <c r="I38" s="220"/>
    </row>
    <row r="39" spans="1:10" s="219" customFormat="1" ht="20.25" customHeight="1">
      <c r="A39" s="226" t="s">
        <v>14</v>
      </c>
      <c r="B39" s="226"/>
      <c r="C39" s="226"/>
      <c r="D39" s="226"/>
      <c r="E39" s="68">
        <f>SUM(E10:E38)</f>
        <v>99180</v>
      </c>
      <c r="F39" s="68">
        <f t="shared" ref="F39:G39" si="3">SUM(F10:F38)</f>
        <v>0</v>
      </c>
      <c r="G39" s="68">
        <f t="shared" si="3"/>
        <v>70000</v>
      </c>
      <c r="H39" s="68">
        <f>E39-F39-G39</f>
        <v>29180</v>
      </c>
      <c r="I39" s="68"/>
      <c r="J39" s="221"/>
    </row>
  </sheetData>
  <autoFilter ref="A9:I39">
    <filterColumn colId="3"/>
  </autoFilter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30" enableFormatConditionsCalculation="0">
    <tabColor theme="6"/>
  </sheetPr>
  <dimension ref="A1:J143"/>
  <sheetViews>
    <sheetView topLeftCell="A7" workbookViewId="0">
      <pane ySplit="3" topLeftCell="A124" activePane="bottomLeft" state="frozen"/>
      <selection activeCell="A184" sqref="A184"/>
      <selection pane="bottomLeft" activeCell="G74" sqref="G74:G140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5" customWidth="1"/>
    <col min="4" max="4" width="9.85546875" style="6" customWidth="1"/>
    <col min="5" max="5" width="16.5703125" style="6" customWidth="1"/>
    <col min="6" max="6" width="12.42578125" style="12" customWidth="1"/>
    <col min="7" max="7" width="16.28515625" style="9" customWidth="1"/>
    <col min="8" max="8" width="14.140625" style="6" customWidth="1"/>
    <col min="9" max="9" width="14.42578125" style="4" customWidth="1"/>
    <col min="10" max="16384" width="9.140625" style="4"/>
  </cols>
  <sheetData>
    <row r="1" spans="1:10" s="60" customFormat="1" ht="18.75" customHeight="1">
      <c r="A1" s="227" t="s">
        <v>38</v>
      </c>
      <c r="B1" s="227"/>
      <c r="C1" s="227"/>
      <c r="D1" s="227"/>
      <c r="F1" s="92"/>
      <c r="H1" s="62"/>
      <c r="I1" s="62"/>
    </row>
    <row r="2" spans="1:10" s="60" customFormat="1" ht="18.75" customHeight="1">
      <c r="A2" s="227" t="s">
        <v>37</v>
      </c>
      <c r="B2" s="227"/>
      <c r="C2" s="227"/>
      <c r="D2" s="227"/>
      <c r="E2" s="227"/>
      <c r="F2" s="227"/>
      <c r="G2" s="227"/>
      <c r="H2" s="62"/>
      <c r="I2" s="62"/>
    </row>
    <row r="3" spans="1:10" s="60" customFormat="1" ht="18.75" customHeight="1">
      <c r="A3" s="227" t="s">
        <v>40</v>
      </c>
      <c r="B3" s="227"/>
      <c r="C3" s="227" t="s">
        <v>41</v>
      </c>
      <c r="D3" s="227"/>
      <c r="E3" s="227"/>
      <c r="F3" s="93"/>
      <c r="G3" s="59"/>
      <c r="H3" s="62"/>
      <c r="I3" s="62"/>
    </row>
    <row r="4" spans="1:10" ht="9.75" customHeight="1">
      <c r="C4" s="4"/>
      <c r="D4" s="4"/>
      <c r="E4" s="4"/>
      <c r="F4" s="65"/>
      <c r="G4" s="4"/>
      <c r="I4" s="6"/>
    </row>
    <row r="5" spans="1:10" s="50" customFormat="1" ht="29.25" customHeight="1">
      <c r="A5" s="228" t="s">
        <v>39</v>
      </c>
      <c r="B5" s="228"/>
      <c r="C5" s="228"/>
      <c r="D5" s="228"/>
      <c r="E5" s="228"/>
      <c r="F5" s="228"/>
      <c r="G5" s="228"/>
      <c r="H5" s="228"/>
      <c r="I5" s="228"/>
      <c r="J5" s="228"/>
    </row>
    <row r="6" spans="1:10" ht="9.75" customHeight="1">
      <c r="C6" s="4"/>
      <c r="D6" s="4"/>
      <c r="E6" s="4"/>
      <c r="F6" s="65"/>
      <c r="G6" s="4"/>
      <c r="I6" s="6"/>
    </row>
    <row r="7" spans="1:10" ht="21" customHeight="1">
      <c r="A7" s="231" t="s">
        <v>122</v>
      </c>
      <c r="B7" s="231"/>
      <c r="C7" s="230" t="s">
        <v>372</v>
      </c>
      <c r="D7" s="230"/>
      <c r="E7" s="241" t="s">
        <v>29</v>
      </c>
      <c r="F7" s="241"/>
      <c r="G7" s="241"/>
      <c r="I7" s="6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33">
        <v>41425</v>
      </c>
      <c r="B10" s="23" t="s">
        <v>111</v>
      </c>
      <c r="C10" s="34">
        <v>1480</v>
      </c>
      <c r="D10" s="32">
        <v>10</v>
      </c>
      <c r="E10" s="27">
        <f t="shared" ref="E10:E19" si="0">C10*D10</f>
        <v>14800</v>
      </c>
      <c r="F10" s="36"/>
      <c r="G10" s="22"/>
      <c r="H10" s="32">
        <f>E10-F10-G10</f>
        <v>14800</v>
      </c>
      <c r="I10" s="23"/>
    </row>
    <row r="11" spans="1:10" ht="20.25" customHeight="1">
      <c r="A11" s="39">
        <v>41426</v>
      </c>
      <c r="B11" s="31" t="s">
        <v>111</v>
      </c>
      <c r="C11" s="40">
        <v>2050</v>
      </c>
      <c r="D11" s="32">
        <v>10</v>
      </c>
      <c r="E11" s="41">
        <f t="shared" si="0"/>
        <v>20500</v>
      </c>
      <c r="F11" s="64"/>
      <c r="G11" s="42"/>
      <c r="H11" s="41">
        <f t="shared" ref="H11:H19" si="1">IF(B11&lt;&gt;"",H10+E11-F11-G11,0)</f>
        <v>35300</v>
      </c>
      <c r="I11" s="47"/>
    </row>
    <row r="12" spans="1:10" ht="20.25" customHeight="1">
      <c r="A12" s="24">
        <v>41428</v>
      </c>
      <c r="B12" s="31" t="s">
        <v>111</v>
      </c>
      <c r="C12" s="26">
        <v>2550</v>
      </c>
      <c r="D12" s="32">
        <v>10</v>
      </c>
      <c r="E12" s="27">
        <f t="shared" si="0"/>
        <v>25500</v>
      </c>
      <c r="F12" s="28"/>
      <c r="G12" s="29"/>
      <c r="H12" s="27">
        <f t="shared" si="1"/>
        <v>60800</v>
      </c>
      <c r="I12" s="31"/>
    </row>
    <row r="13" spans="1:10" ht="20.25" customHeight="1">
      <c r="A13" s="24">
        <v>41429</v>
      </c>
      <c r="B13" s="31" t="s">
        <v>111</v>
      </c>
      <c r="C13" s="26">
        <v>1780</v>
      </c>
      <c r="D13" s="32">
        <v>10</v>
      </c>
      <c r="E13" s="27">
        <f t="shared" si="0"/>
        <v>17800</v>
      </c>
      <c r="F13" s="28"/>
      <c r="G13" s="29"/>
      <c r="H13" s="27">
        <f t="shared" si="1"/>
        <v>78600</v>
      </c>
      <c r="I13" s="31"/>
    </row>
    <row r="14" spans="1:10" ht="20.25" customHeight="1">
      <c r="A14" s="24">
        <v>41430</v>
      </c>
      <c r="B14" s="31" t="s">
        <v>111</v>
      </c>
      <c r="C14" s="26">
        <v>1870</v>
      </c>
      <c r="D14" s="32">
        <v>10</v>
      </c>
      <c r="E14" s="27">
        <f t="shared" si="0"/>
        <v>18700</v>
      </c>
      <c r="F14" s="28"/>
      <c r="G14" s="29"/>
      <c r="H14" s="27">
        <f t="shared" si="1"/>
        <v>97300</v>
      </c>
      <c r="I14" s="31"/>
    </row>
    <row r="15" spans="1:10" ht="20.25" customHeight="1">
      <c r="A15" s="24">
        <v>41431</v>
      </c>
      <c r="B15" s="31" t="s">
        <v>111</v>
      </c>
      <c r="C15" s="26">
        <v>2400</v>
      </c>
      <c r="D15" s="32">
        <v>10</v>
      </c>
      <c r="E15" s="27">
        <f t="shared" si="0"/>
        <v>24000</v>
      </c>
      <c r="F15" s="28"/>
      <c r="G15" s="29"/>
      <c r="H15" s="27">
        <f t="shared" si="1"/>
        <v>121300</v>
      </c>
      <c r="I15" s="31"/>
    </row>
    <row r="16" spans="1:10" ht="20.25" customHeight="1">
      <c r="A16" s="24"/>
      <c r="B16" s="67" t="s">
        <v>17</v>
      </c>
      <c r="C16" s="26"/>
      <c r="D16" s="27"/>
      <c r="E16" s="27">
        <f t="shared" si="0"/>
        <v>0</v>
      </c>
      <c r="F16" s="28"/>
      <c r="G16" s="29">
        <f>H15</f>
        <v>121300</v>
      </c>
      <c r="H16" s="27">
        <f t="shared" si="1"/>
        <v>0</v>
      </c>
      <c r="I16" s="47">
        <v>41437</v>
      </c>
    </row>
    <row r="17" spans="1:9" ht="20.25" customHeight="1">
      <c r="A17" s="24">
        <v>41467</v>
      </c>
      <c r="B17" s="31" t="s">
        <v>161</v>
      </c>
      <c r="C17" s="26">
        <v>10</v>
      </c>
      <c r="D17" s="27">
        <v>25</v>
      </c>
      <c r="E17" s="27">
        <f t="shared" si="0"/>
        <v>250</v>
      </c>
      <c r="F17" s="28"/>
      <c r="G17" s="29"/>
      <c r="H17" s="27">
        <f t="shared" si="1"/>
        <v>250</v>
      </c>
      <c r="I17" s="31"/>
    </row>
    <row r="18" spans="1:9" ht="20.25" customHeight="1">
      <c r="A18" s="39"/>
      <c r="B18" s="31" t="s">
        <v>111</v>
      </c>
      <c r="C18" s="40">
        <v>1140</v>
      </c>
      <c r="D18" s="41">
        <v>9</v>
      </c>
      <c r="E18" s="41">
        <f t="shared" si="0"/>
        <v>10260</v>
      </c>
      <c r="F18" s="64"/>
      <c r="G18" s="42"/>
      <c r="H18" s="41">
        <f t="shared" si="1"/>
        <v>10510</v>
      </c>
      <c r="I18" s="47"/>
    </row>
    <row r="19" spans="1:9" ht="20.25" customHeight="1">
      <c r="A19" s="24"/>
      <c r="B19" s="67" t="s">
        <v>17</v>
      </c>
      <c r="C19" s="26"/>
      <c r="D19" s="27"/>
      <c r="E19" s="27">
        <f t="shared" si="0"/>
        <v>0</v>
      </c>
      <c r="F19" s="28"/>
      <c r="G19" s="29">
        <f>H18</f>
        <v>10510</v>
      </c>
      <c r="H19" s="27">
        <f t="shared" si="1"/>
        <v>0</v>
      </c>
      <c r="I19" s="47">
        <v>41514</v>
      </c>
    </row>
    <row r="20" spans="1:9" ht="21" customHeight="1">
      <c r="A20" s="254" t="s">
        <v>252</v>
      </c>
      <c r="B20" s="255"/>
      <c r="C20" s="255"/>
      <c r="D20" s="255"/>
      <c r="E20" s="255"/>
      <c r="F20" s="255"/>
      <c r="G20" s="255"/>
      <c r="H20" s="255"/>
      <c r="I20" s="256"/>
    </row>
    <row r="21" spans="1:9" s="8" customFormat="1" ht="20.25" customHeight="1">
      <c r="A21" s="18">
        <v>41647</v>
      </c>
      <c r="B21" s="21" t="s">
        <v>161</v>
      </c>
      <c r="C21" s="20">
        <v>475</v>
      </c>
      <c r="D21" s="19">
        <v>35</v>
      </c>
      <c r="E21" s="19">
        <f>C21*D21</f>
        <v>16625</v>
      </c>
      <c r="F21" s="19"/>
      <c r="G21" s="19"/>
      <c r="H21" s="19">
        <f>IF(B21&lt;&gt;"",H19+E21-F21-G21,0)</f>
        <v>16625</v>
      </c>
      <c r="I21" s="166"/>
    </row>
    <row r="22" spans="1:9" s="8" customFormat="1" ht="20.25" customHeight="1">
      <c r="A22" s="18"/>
      <c r="B22" s="21" t="s">
        <v>111</v>
      </c>
      <c r="C22" s="20">
        <v>940</v>
      </c>
      <c r="D22" s="19">
        <v>10</v>
      </c>
      <c r="E22" s="19">
        <f>C22*D22</f>
        <v>9400</v>
      </c>
      <c r="F22" s="19"/>
      <c r="G22" s="19"/>
      <c r="H22" s="19">
        <f t="shared" ref="H22:H47" si="2">IF(B22&lt;&gt;"",H21+E22-F22-G22,0)</f>
        <v>26025</v>
      </c>
      <c r="I22" s="16"/>
    </row>
    <row r="23" spans="1:9" s="8" customFormat="1" ht="20.25" customHeight="1">
      <c r="A23" s="18">
        <v>41647</v>
      </c>
      <c r="B23" s="21" t="s">
        <v>280</v>
      </c>
      <c r="C23" s="20">
        <v>863</v>
      </c>
      <c r="D23" s="19">
        <v>69</v>
      </c>
      <c r="E23" s="19">
        <f>C23*D23</f>
        <v>59547</v>
      </c>
      <c r="F23" s="19"/>
      <c r="G23" s="19"/>
      <c r="H23" s="19">
        <f t="shared" si="2"/>
        <v>85572</v>
      </c>
      <c r="I23" s="166"/>
    </row>
    <row r="24" spans="1:9" ht="20.25" customHeight="1">
      <c r="A24" s="24"/>
      <c r="B24" s="67" t="s">
        <v>17</v>
      </c>
      <c r="C24" s="26"/>
      <c r="D24" s="27"/>
      <c r="E24" s="27">
        <f>C24*D24</f>
        <v>0</v>
      </c>
      <c r="F24" s="28"/>
      <c r="G24" s="29">
        <f>H23</f>
        <v>85572</v>
      </c>
      <c r="H24" s="19">
        <f t="shared" si="2"/>
        <v>0</v>
      </c>
      <c r="I24" s="47">
        <v>41658</v>
      </c>
    </row>
    <row r="25" spans="1:9" s="8" customFormat="1" ht="20.25" customHeight="1">
      <c r="A25" s="18">
        <v>41752</v>
      </c>
      <c r="B25" s="21" t="s">
        <v>111</v>
      </c>
      <c r="C25" s="20">
        <v>1300</v>
      </c>
      <c r="D25" s="19">
        <v>12</v>
      </c>
      <c r="E25" s="19">
        <f t="shared" ref="E25:E46" si="3">C25*D25</f>
        <v>15600</v>
      </c>
      <c r="F25" s="19"/>
      <c r="G25" s="19"/>
      <c r="H25" s="19">
        <f t="shared" si="2"/>
        <v>15600</v>
      </c>
      <c r="I25" s="16"/>
    </row>
    <row r="26" spans="1:9" ht="20.25" customHeight="1">
      <c r="A26" s="24"/>
      <c r="B26" s="67" t="s">
        <v>17</v>
      </c>
      <c r="C26" s="26"/>
      <c r="D26" s="27"/>
      <c r="E26" s="27">
        <f>C26*D26</f>
        <v>0</v>
      </c>
      <c r="F26" s="28"/>
      <c r="G26" s="29">
        <f>H25</f>
        <v>15600</v>
      </c>
      <c r="H26" s="19">
        <f t="shared" si="2"/>
        <v>0</v>
      </c>
      <c r="I26" s="47">
        <v>41837</v>
      </c>
    </row>
    <row r="27" spans="1:9" s="8" customFormat="1" ht="20.25" customHeight="1">
      <c r="A27" s="18">
        <v>41869</v>
      </c>
      <c r="B27" s="21" t="s">
        <v>111</v>
      </c>
      <c r="C27" s="20">
        <v>1500</v>
      </c>
      <c r="D27" s="19">
        <v>12</v>
      </c>
      <c r="E27" s="19">
        <f t="shared" si="3"/>
        <v>18000</v>
      </c>
      <c r="F27" s="19"/>
      <c r="G27" s="19"/>
      <c r="H27" s="19">
        <f t="shared" si="2"/>
        <v>18000</v>
      </c>
      <c r="I27" s="16"/>
    </row>
    <row r="28" spans="1:9" s="8" customFormat="1" ht="20.25" customHeight="1">
      <c r="A28" s="18">
        <v>41871</v>
      </c>
      <c r="B28" s="21" t="s">
        <v>111</v>
      </c>
      <c r="C28" s="20">
        <v>2158</v>
      </c>
      <c r="D28" s="19">
        <v>12</v>
      </c>
      <c r="E28" s="19">
        <f t="shared" si="3"/>
        <v>25896</v>
      </c>
      <c r="F28" s="19"/>
      <c r="G28" s="19"/>
      <c r="H28" s="19">
        <f t="shared" si="2"/>
        <v>43896</v>
      </c>
      <c r="I28" s="16"/>
    </row>
    <row r="29" spans="1:9" s="8" customFormat="1" ht="20.25" customHeight="1">
      <c r="A29" s="18">
        <v>41872</v>
      </c>
      <c r="B29" s="21" t="s">
        <v>111</v>
      </c>
      <c r="C29" s="20">
        <v>1260</v>
      </c>
      <c r="D29" s="19">
        <v>12</v>
      </c>
      <c r="E29" s="19">
        <f t="shared" si="3"/>
        <v>15120</v>
      </c>
      <c r="F29" s="19"/>
      <c r="G29" s="19"/>
      <c r="H29" s="19">
        <f t="shared" si="2"/>
        <v>59016</v>
      </c>
      <c r="I29" s="16"/>
    </row>
    <row r="30" spans="1:9" s="8" customFormat="1" ht="20.25" customHeight="1">
      <c r="A30" s="18"/>
      <c r="B30" s="21" t="s">
        <v>111</v>
      </c>
      <c r="C30" s="20">
        <v>420</v>
      </c>
      <c r="D30" s="19">
        <v>12</v>
      </c>
      <c r="E30" s="19">
        <f t="shared" si="3"/>
        <v>5040</v>
      </c>
      <c r="F30" s="19"/>
      <c r="G30" s="19"/>
      <c r="H30" s="19">
        <f t="shared" si="2"/>
        <v>64056</v>
      </c>
      <c r="I30" s="16"/>
    </row>
    <row r="31" spans="1:9" s="8" customFormat="1" ht="20.25" customHeight="1">
      <c r="A31" s="18">
        <v>41875</v>
      </c>
      <c r="B31" s="21" t="s">
        <v>111</v>
      </c>
      <c r="C31" s="20">
        <v>1000</v>
      </c>
      <c r="D31" s="19">
        <v>12</v>
      </c>
      <c r="E31" s="19">
        <f t="shared" si="3"/>
        <v>12000</v>
      </c>
      <c r="F31" s="19"/>
      <c r="G31" s="19"/>
      <c r="H31" s="19">
        <f t="shared" si="2"/>
        <v>76056</v>
      </c>
      <c r="I31" s="16"/>
    </row>
    <row r="32" spans="1:9" s="8" customFormat="1" ht="20.25" customHeight="1">
      <c r="A32" s="18">
        <v>41883</v>
      </c>
      <c r="B32" s="21" t="s">
        <v>111</v>
      </c>
      <c r="C32" s="20">
        <v>1850</v>
      </c>
      <c r="D32" s="19">
        <v>12</v>
      </c>
      <c r="E32" s="19">
        <f t="shared" si="3"/>
        <v>22200</v>
      </c>
      <c r="F32" s="19"/>
      <c r="G32" s="19"/>
      <c r="H32" s="19">
        <f t="shared" si="2"/>
        <v>98256</v>
      </c>
      <c r="I32" s="16"/>
    </row>
    <row r="33" spans="1:9" s="8" customFormat="1" ht="20.25" customHeight="1">
      <c r="A33" s="18">
        <v>41886</v>
      </c>
      <c r="B33" s="21" t="s">
        <v>111</v>
      </c>
      <c r="C33" s="20">
        <v>1300</v>
      </c>
      <c r="D33" s="19">
        <v>12</v>
      </c>
      <c r="E33" s="19">
        <f t="shared" si="3"/>
        <v>15600</v>
      </c>
      <c r="F33" s="19"/>
      <c r="G33" s="19"/>
      <c r="H33" s="19">
        <f t="shared" si="2"/>
        <v>113856</v>
      </c>
      <c r="I33" s="16"/>
    </row>
    <row r="34" spans="1:9" s="8" customFormat="1" ht="20.25" customHeight="1">
      <c r="A34" s="18">
        <v>41888</v>
      </c>
      <c r="B34" s="21" t="s">
        <v>111</v>
      </c>
      <c r="C34" s="20">
        <v>1540</v>
      </c>
      <c r="D34" s="19">
        <v>12</v>
      </c>
      <c r="E34" s="19">
        <f t="shared" si="3"/>
        <v>18480</v>
      </c>
      <c r="F34" s="19"/>
      <c r="G34" s="19"/>
      <c r="H34" s="19">
        <f t="shared" si="2"/>
        <v>132336</v>
      </c>
      <c r="I34" s="16"/>
    </row>
    <row r="35" spans="1:9" ht="20.25" customHeight="1">
      <c r="A35" s="24">
        <v>41889</v>
      </c>
      <c r="B35" s="21" t="s">
        <v>111</v>
      </c>
      <c r="C35" s="26">
        <v>1885</v>
      </c>
      <c r="D35" s="19">
        <v>12</v>
      </c>
      <c r="E35" s="27">
        <f t="shared" si="3"/>
        <v>22620</v>
      </c>
      <c r="F35" s="28"/>
      <c r="G35" s="29"/>
      <c r="H35" s="19">
        <f t="shared" si="2"/>
        <v>154956</v>
      </c>
      <c r="I35" s="31"/>
    </row>
    <row r="36" spans="1:9" ht="20.25" customHeight="1">
      <c r="A36" s="24"/>
      <c r="B36" s="67" t="s">
        <v>17</v>
      </c>
      <c r="C36" s="26"/>
      <c r="D36" s="27"/>
      <c r="E36" s="27">
        <f>C36*D36</f>
        <v>0</v>
      </c>
      <c r="F36" s="28"/>
      <c r="G36" s="29">
        <v>50000</v>
      </c>
      <c r="H36" s="19">
        <f t="shared" si="2"/>
        <v>104956</v>
      </c>
      <c r="I36" s="47">
        <v>41877</v>
      </c>
    </row>
    <row r="37" spans="1:9" ht="20.25" customHeight="1">
      <c r="A37" s="24">
        <v>41898</v>
      </c>
      <c r="B37" s="21" t="s">
        <v>111</v>
      </c>
      <c r="C37" s="26">
        <v>1462</v>
      </c>
      <c r="D37" s="27">
        <v>12</v>
      </c>
      <c r="E37" s="27">
        <f t="shared" si="3"/>
        <v>17544</v>
      </c>
      <c r="F37" s="28"/>
      <c r="G37" s="29"/>
      <c r="H37" s="19">
        <f t="shared" si="2"/>
        <v>122500</v>
      </c>
      <c r="I37" s="31"/>
    </row>
    <row r="38" spans="1:9" ht="20.25" customHeight="1">
      <c r="A38" s="24">
        <v>41904</v>
      </c>
      <c r="B38" s="21" t="s">
        <v>111</v>
      </c>
      <c r="C38" s="26">
        <v>1000</v>
      </c>
      <c r="D38" s="27">
        <v>12</v>
      </c>
      <c r="E38" s="27">
        <f t="shared" si="3"/>
        <v>12000</v>
      </c>
      <c r="F38" s="28"/>
      <c r="G38" s="29"/>
      <c r="H38" s="19">
        <f t="shared" si="2"/>
        <v>134500</v>
      </c>
      <c r="I38" s="31"/>
    </row>
    <row r="39" spans="1:9" ht="20.25" customHeight="1">
      <c r="A39" s="24">
        <v>41905</v>
      </c>
      <c r="B39" s="21" t="s">
        <v>111</v>
      </c>
      <c r="C39" s="26">
        <v>2500</v>
      </c>
      <c r="D39" s="27">
        <v>12</v>
      </c>
      <c r="E39" s="27">
        <f t="shared" si="3"/>
        <v>30000</v>
      </c>
      <c r="F39" s="28"/>
      <c r="G39" s="29"/>
      <c r="H39" s="19">
        <f t="shared" si="2"/>
        <v>164500</v>
      </c>
      <c r="I39" s="31"/>
    </row>
    <row r="40" spans="1:9" ht="20.25" customHeight="1">
      <c r="A40" s="24"/>
      <c r="B40" s="67" t="s">
        <v>17</v>
      </c>
      <c r="C40" s="26"/>
      <c r="D40" s="27"/>
      <c r="E40" s="27">
        <f>C40*D40</f>
        <v>0</v>
      </c>
      <c r="F40" s="28"/>
      <c r="G40" s="29">
        <v>100000</v>
      </c>
      <c r="H40" s="19">
        <f t="shared" si="2"/>
        <v>64500</v>
      </c>
      <c r="I40" s="47">
        <v>41907</v>
      </c>
    </row>
    <row r="41" spans="1:9" ht="20.25" customHeight="1">
      <c r="A41" s="24">
        <v>41908</v>
      </c>
      <c r="B41" s="21" t="s">
        <v>111</v>
      </c>
      <c r="C41" s="26">
        <v>1600</v>
      </c>
      <c r="D41" s="27">
        <v>12</v>
      </c>
      <c r="E41" s="27">
        <f t="shared" si="3"/>
        <v>19200</v>
      </c>
      <c r="F41" s="28"/>
      <c r="G41" s="29"/>
      <c r="H41" s="19">
        <f t="shared" si="2"/>
        <v>83700</v>
      </c>
      <c r="I41" s="31"/>
    </row>
    <row r="42" spans="1:9" ht="20.25" customHeight="1">
      <c r="A42" s="24">
        <v>41911</v>
      </c>
      <c r="B42" s="21" t="s">
        <v>111</v>
      </c>
      <c r="C42" s="26">
        <v>1870</v>
      </c>
      <c r="D42" s="27">
        <v>12</v>
      </c>
      <c r="E42" s="27">
        <f t="shared" si="3"/>
        <v>22440</v>
      </c>
      <c r="F42" s="28"/>
      <c r="G42" s="29"/>
      <c r="H42" s="19">
        <f t="shared" si="2"/>
        <v>106140</v>
      </c>
      <c r="I42" s="31"/>
    </row>
    <row r="43" spans="1:9" ht="20.25" customHeight="1">
      <c r="A43" s="24">
        <v>41916</v>
      </c>
      <c r="B43" s="21" t="s">
        <v>111</v>
      </c>
      <c r="C43" s="26">
        <v>1890</v>
      </c>
      <c r="D43" s="27">
        <v>12</v>
      </c>
      <c r="E43" s="27">
        <f t="shared" si="3"/>
        <v>22680</v>
      </c>
      <c r="F43" s="28"/>
      <c r="G43" s="29"/>
      <c r="H43" s="19">
        <f t="shared" si="2"/>
        <v>128820</v>
      </c>
      <c r="I43" s="31"/>
    </row>
    <row r="44" spans="1:9" ht="20.25" customHeight="1">
      <c r="A44" s="24">
        <v>41917</v>
      </c>
      <c r="B44" s="21" t="s">
        <v>111</v>
      </c>
      <c r="C44" s="26">
        <v>3780</v>
      </c>
      <c r="D44" s="27">
        <v>12</v>
      </c>
      <c r="E44" s="27">
        <f t="shared" si="3"/>
        <v>45360</v>
      </c>
      <c r="F44" s="28"/>
      <c r="G44" s="29"/>
      <c r="H44" s="19">
        <f t="shared" si="2"/>
        <v>174180</v>
      </c>
      <c r="I44" s="31"/>
    </row>
    <row r="45" spans="1:9" ht="20.25" customHeight="1">
      <c r="A45" s="24">
        <v>41918</v>
      </c>
      <c r="B45" s="21" t="s">
        <v>111</v>
      </c>
      <c r="C45" s="26">
        <v>980</v>
      </c>
      <c r="D45" s="27">
        <v>12</v>
      </c>
      <c r="E45" s="27">
        <f t="shared" si="3"/>
        <v>11760</v>
      </c>
      <c r="F45" s="28"/>
      <c r="G45" s="29"/>
      <c r="H45" s="19">
        <f t="shared" si="2"/>
        <v>185940</v>
      </c>
      <c r="I45" s="31"/>
    </row>
    <row r="46" spans="1:9" ht="20.25" customHeight="1">
      <c r="A46" s="24">
        <v>41919</v>
      </c>
      <c r="B46" s="21" t="s">
        <v>111</v>
      </c>
      <c r="C46" s="26">
        <v>1560</v>
      </c>
      <c r="D46" s="27">
        <v>12</v>
      </c>
      <c r="E46" s="27">
        <f t="shared" si="3"/>
        <v>18720</v>
      </c>
      <c r="F46" s="28"/>
      <c r="G46" s="29"/>
      <c r="H46" s="19">
        <f t="shared" si="2"/>
        <v>204660</v>
      </c>
      <c r="I46" s="31"/>
    </row>
    <row r="47" spans="1:9" ht="20.25" customHeight="1">
      <c r="A47" s="24"/>
      <c r="B47" s="67" t="s">
        <v>17</v>
      </c>
      <c r="C47" s="26"/>
      <c r="D47" s="27"/>
      <c r="E47" s="27">
        <f>C47*D47</f>
        <v>0</v>
      </c>
      <c r="F47" s="28"/>
      <c r="G47" s="29">
        <v>100000</v>
      </c>
      <c r="H47" s="19">
        <f t="shared" si="2"/>
        <v>104660</v>
      </c>
      <c r="I47" s="47">
        <v>41921</v>
      </c>
    </row>
    <row r="48" spans="1:9" ht="20.25" customHeight="1">
      <c r="A48" s="24">
        <v>41931</v>
      </c>
      <c r="B48" s="21" t="s">
        <v>111</v>
      </c>
      <c r="C48" s="26">
        <v>1610</v>
      </c>
      <c r="D48" s="27">
        <v>12</v>
      </c>
      <c r="E48" s="27">
        <f t="shared" ref="E48:E56" si="4">C48*D48</f>
        <v>19320</v>
      </c>
      <c r="F48" s="28"/>
      <c r="G48" s="29"/>
      <c r="H48" s="19">
        <f t="shared" ref="H48:H56" si="5">IF(B48&lt;&gt;"",H47+E48-F48-G48,0)</f>
        <v>123980</v>
      </c>
      <c r="I48" s="31"/>
    </row>
    <row r="49" spans="1:9" ht="20.25" customHeight="1">
      <c r="A49" s="24">
        <v>41932</v>
      </c>
      <c r="B49" s="21" t="s">
        <v>111</v>
      </c>
      <c r="C49" s="26">
        <v>1500</v>
      </c>
      <c r="D49" s="27">
        <v>12</v>
      </c>
      <c r="E49" s="27">
        <f t="shared" si="4"/>
        <v>18000</v>
      </c>
      <c r="F49" s="28"/>
      <c r="G49" s="29"/>
      <c r="H49" s="19">
        <f t="shared" si="5"/>
        <v>141980</v>
      </c>
      <c r="I49" s="31"/>
    </row>
    <row r="50" spans="1:9" ht="20.25" customHeight="1">
      <c r="A50" s="24">
        <v>41934</v>
      </c>
      <c r="B50" s="21" t="s">
        <v>111</v>
      </c>
      <c r="C50" s="26">
        <v>1280</v>
      </c>
      <c r="D50" s="27">
        <v>12</v>
      </c>
      <c r="E50" s="27">
        <f t="shared" si="4"/>
        <v>15360</v>
      </c>
      <c r="F50" s="28"/>
      <c r="G50" s="29"/>
      <c r="H50" s="19">
        <f t="shared" si="5"/>
        <v>157340</v>
      </c>
      <c r="I50" s="31"/>
    </row>
    <row r="51" spans="1:9" ht="20.25" customHeight="1">
      <c r="A51" s="24">
        <v>41960</v>
      </c>
      <c r="B51" s="21" t="s">
        <v>111</v>
      </c>
      <c r="C51" s="26">
        <v>475</v>
      </c>
      <c r="D51" s="27">
        <v>12.5</v>
      </c>
      <c r="E51" s="27">
        <f t="shared" si="4"/>
        <v>5937.5</v>
      </c>
      <c r="F51" s="28"/>
      <c r="G51" s="29"/>
      <c r="H51" s="19">
        <f t="shared" si="5"/>
        <v>163277.5</v>
      </c>
      <c r="I51" s="31"/>
    </row>
    <row r="52" spans="1:9" ht="20.25" customHeight="1">
      <c r="A52" s="24">
        <v>41968</v>
      </c>
      <c r="B52" s="21" t="s">
        <v>111</v>
      </c>
      <c r="C52" s="26">
        <v>1140</v>
      </c>
      <c r="D52" s="27">
        <v>12.5</v>
      </c>
      <c r="E52" s="27">
        <f t="shared" si="4"/>
        <v>14250</v>
      </c>
      <c r="F52" s="28"/>
      <c r="G52" s="29"/>
      <c r="H52" s="19">
        <f t="shared" si="5"/>
        <v>177527.5</v>
      </c>
      <c r="I52" s="31"/>
    </row>
    <row r="53" spans="1:9" ht="20.25" customHeight="1">
      <c r="A53" s="24"/>
      <c r="B53" s="21" t="s">
        <v>111</v>
      </c>
      <c r="C53" s="26">
        <v>320</v>
      </c>
      <c r="D53" s="27">
        <v>12.5</v>
      </c>
      <c r="E53" s="27">
        <f>C53*D53</f>
        <v>4000</v>
      </c>
      <c r="F53" s="28"/>
      <c r="G53" s="29"/>
      <c r="H53" s="19">
        <f>IF(B53&lt;&gt;"",H52+E53-F53-G53,0)</f>
        <v>181527.5</v>
      </c>
      <c r="I53" s="31"/>
    </row>
    <row r="54" spans="1:9" ht="20.25" customHeight="1">
      <c r="A54" s="24">
        <v>41970</v>
      </c>
      <c r="B54" s="21" t="s">
        <v>111</v>
      </c>
      <c r="C54" s="26">
        <v>1070</v>
      </c>
      <c r="D54" s="27">
        <v>12.5</v>
      </c>
      <c r="E54" s="27">
        <f>C54*D54</f>
        <v>13375</v>
      </c>
      <c r="F54" s="28"/>
      <c r="G54" s="29"/>
      <c r="H54" s="19">
        <f>IF(B54&lt;&gt;"",H53+E54-F54-G54,0)</f>
        <v>194902.5</v>
      </c>
      <c r="I54" s="31"/>
    </row>
    <row r="55" spans="1:9" ht="20.25" customHeight="1">
      <c r="A55" s="24">
        <v>41971</v>
      </c>
      <c r="B55" s="21" t="s">
        <v>111</v>
      </c>
      <c r="C55" s="26">
        <v>1000</v>
      </c>
      <c r="D55" s="27">
        <v>12.5</v>
      </c>
      <c r="E55" s="27">
        <f t="shared" si="4"/>
        <v>12500</v>
      </c>
      <c r="F55" s="28"/>
      <c r="G55" s="29"/>
      <c r="H55" s="19">
        <f t="shared" si="5"/>
        <v>207402.5</v>
      </c>
      <c r="I55" s="31"/>
    </row>
    <row r="56" spans="1:9" ht="20.25" customHeight="1">
      <c r="A56" s="24">
        <v>41973</v>
      </c>
      <c r="B56" s="21" t="s">
        <v>111</v>
      </c>
      <c r="C56" s="26">
        <v>900</v>
      </c>
      <c r="D56" s="27">
        <v>12.5</v>
      </c>
      <c r="E56" s="27">
        <f t="shared" si="4"/>
        <v>11250</v>
      </c>
      <c r="F56" s="28"/>
      <c r="G56" s="29"/>
      <c r="H56" s="19">
        <f t="shared" si="5"/>
        <v>218652.5</v>
      </c>
      <c r="I56" s="31"/>
    </row>
    <row r="57" spans="1:9" ht="20.25" customHeight="1">
      <c r="A57" s="24">
        <v>41975</v>
      </c>
      <c r="B57" s="21" t="s">
        <v>111</v>
      </c>
      <c r="C57" s="26">
        <v>1220</v>
      </c>
      <c r="D57" s="27">
        <v>12.5</v>
      </c>
      <c r="E57" s="27">
        <f t="shared" ref="E57:E85" si="6">C57*D57</f>
        <v>15250</v>
      </c>
      <c r="F57" s="28"/>
      <c r="G57" s="29"/>
      <c r="H57" s="19">
        <f t="shared" ref="H57:H85" si="7">IF(B57&lt;&gt;"",H56+E57-F57-G57,0)</f>
        <v>233902.5</v>
      </c>
      <c r="I57" s="31"/>
    </row>
    <row r="58" spans="1:9" ht="20.25" customHeight="1">
      <c r="A58" s="24">
        <v>41977</v>
      </c>
      <c r="B58" s="21" t="s">
        <v>111</v>
      </c>
      <c r="C58" s="26">
        <v>1100</v>
      </c>
      <c r="D58" s="27">
        <v>12.5</v>
      </c>
      <c r="E58" s="27">
        <f t="shared" si="6"/>
        <v>13750</v>
      </c>
      <c r="F58" s="28"/>
      <c r="G58" s="29"/>
      <c r="H58" s="19">
        <f t="shared" si="7"/>
        <v>247652.5</v>
      </c>
      <c r="I58" s="31"/>
    </row>
    <row r="59" spans="1:9" ht="20.25" customHeight="1">
      <c r="A59" s="24"/>
      <c r="B59" s="21" t="s">
        <v>111</v>
      </c>
      <c r="C59" s="26">
        <v>990</v>
      </c>
      <c r="D59" s="27">
        <v>12.5</v>
      </c>
      <c r="E59" s="27">
        <f t="shared" si="6"/>
        <v>12375</v>
      </c>
      <c r="F59" s="28"/>
      <c r="G59" s="29"/>
      <c r="H59" s="19">
        <f t="shared" si="7"/>
        <v>260027.5</v>
      </c>
      <c r="I59" s="31"/>
    </row>
    <row r="60" spans="1:9" ht="20.25" customHeight="1">
      <c r="A60" s="24"/>
      <c r="B60" s="67" t="s">
        <v>17</v>
      </c>
      <c r="C60" s="26"/>
      <c r="D60" s="27"/>
      <c r="E60" s="27">
        <f>C60*D60</f>
        <v>0</v>
      </c>
      <c r="F60" s="28"/>
      <c r="G60" s="29">
        <v>150000</v>
      </c>
      <c r="H60" s="19">
        <f t="shared" si="7"/>
        <v>110027.5</v>
      </c>
      <c r="I60" s="47">
        <v>41979</v>
      </c>
    </row>
    <row r="61" spans="1:9" ht="20.25" customHeight="1">
      <c r="A61" s="24"/>
      <c r="B61" s="67" t="s">
        <v>17</v>
      </c>
      <c r="C61" s="26">
        <v>331</v>
      </c>
      <c r="D61" s="27">
        <v>12.5</v>
      </c>
      <c r="E61" s="27"/>
      <c r="F61" s="28"/>
      <c r="G61" s="29">
        <f>C61*D61</f>
        <v>4137.5</v>
      </c>
      <c r="H61" s="19">
        <f t="shared" si="7"/>
        <v>105890</v>
      </c>
      <c r="I61" s="47"/>
    </row>
    <row r="62" spans="1:9" ht="20.25" customHeight="1">
      <c r="A62" s="24">
        <v>41979</v>
      </c>
      <c r="B62" s="21" t="s">
        <v>111</v>
      </c>
      <c r="C62" s="26">
        <v>1000</v>
      </c>
      <c r="D62" s="27">
        <v>12.5</v>
      </c>
      <c r="E62" s="27">
        <f t="shared" si="6"/>
        <v>12500</v>
      </c>
      <c r="F62" s="28"/>
      <c r="G62" s="29"/>
      <c r="H62" s="19">
        <f t="shared" si="7"/>
        <v>118390</v>
      </c>
      <c r="I62" s="31"/>
    </row>
    <row r="63" spans="1:9" ht="20.25" customHeight="1">
      <c r="A63" s="24">
        <v>41995</v>
      </c>
      <c r="B63" s="21" t="s">
        <v>111</v>
      </c>
      <c r="C63" s="26">
        <v>1640</v>
      </c>
      <c r="D63" s="27">
        <v>10</v>
      </c>
      <c r="E63" s="27">
        <f t="shared" si="6"/>
        <v>16400</v>
      </c>
      <c r="F63" s="28"/>
      <c r="G63" s="29"/>
      <c r="H63" s="19">
        <f t="shared" si="7"/>
        <v>134790</v>
      </c>
      <c r="I63" s="31"/>
    </row>
    <row r="64" spans="1:9" ht="20.25" customHeight="1">
      <c r="A64" s="24">
        <v>41996</v>
      </c>
      <c r="B64" s="21" t="s">
        <v>111</v>
      </c>
      <c r="C64" s="26">
        <v>1300</v>
      </c>
      <c r="D64" s="27">
        <v>12.5</v>
      </c>
      <c r="E64" s="27">
        <f t="shared" si="6"/>
        <v>16250</v>
      </c>
      <c r="F64" s="28"/>
      <c r="G64" s="29"/>
      <c r="H64" s="19">
        <f t="shared" si="7"/>
        <v>151040</v>
      </c>
      <c r="I64" s="31"/>
    </row>
    <row r="65" spans="1:9" ht="20.25" customHeight="1">
      <c r="A65" s="24">
        <v>42000</v>
      </c>
      <c r="B65" s="21" t="s">
        <v>111</v>
      </c>
      <c r="C65" s="26">
        <v>1000</v>
      </c>
      <c r="D65" s="27">
        <v>12.5</v>
      </c>
      <c r="E65" s="27">
        <f t="shared" si="6"/>
        <v>12500</v>
      </c>
      <c r="F65" s="28"/>
      <c r="G65" s="29"/>
      <c r="H65" s="19">
        <f t="shared" si="7"/>
        <v>163540</v>
      </c>
      <c r="I65" s="31"/>
    </row>
    <row r="66" spans="1:9" ht="20.25" customHeight="1">
      <c r="A66" s="24"/>
      <c r="B66" s="21" t="s">
        <v>111</v>
      </c>
      <c r="C66" s="26">
        <v>940</v>
      </c>
      <c r="D66" s="27">
        <v>10</v>
      </c>
      <c r="E66" s="27">
        <f t="shared" si="6"/>
        <v>9400</v>
      </c>
      <c r="F66" s="28"/>
      <c r="G66" s="29"/>
      <c r="H66" s="19">
        <f t="shared" si="7"/>
        <v>172940</v>
      </c>
      <c r="I66" s="31"/>
    </row>
    <row r="67" spans="1:9" ht="20.25" customHeight="1">
      <c r="A67" s="24">
        <v>42001</v>
      </c>
      <c r="B67" s="21" t="s">
        <v>111</v>
      </c>
      <c r="C67" s="26">
        <v>1280</v>
      </c>
      <c r="D67" s="27">
        <v>12.5</v>
      </c>
      <c r="E67" s="27">
        <f t="shared" si="6"/>
        <v>16000</v>
      </c>
      <c r="F67" s="28"/>
      <c r="G67" s="29"/>
      <c r="H67" s="19">
        <f t="shared" si="7"/>
        <v>188940</v>
      </c>
      <c r="I67" s="31"/>
    </row>
    <row r="68" spans="1:9" ht="20.25" customHeight="1">
      <c r="A68" s="24">
        <v>42003</v>
      </c>
      <c r="B68" s="21" t="s">
        <v>111</v>
      </c>
      <c r="C68" s="26">
        <v>1180</v>
      </c>
      <c r="D68" s="27">
        <v>12.5</v>
      </c>
      <c r="E68" s="27">
        <f t="shared" si="6"/>
        <v>14750</v>
      </c>
      <c r="F68" s="28"/>
      <c r="G68" s="29"/>
      <c r="H68" s="19">
        <f t="shared" si="7"/>
        <v>203690</v>
      </c>
      <c r="I68" s="31"/>
    </row>
    <row r="69" spans="1:9" ht="20.25" customHeight="1">
      <c r="A69" s="24">
        <v>42004</v>
      </c>
      <c r="B69" s="21" t="s">
        <v>111</v>
      </c>
      <c r="C69" s="26">
        <v>980</v>
      </c>
      <c r="D69" s="27">
        <v>10</v>
      </c>
      <c r="E69" s="27">
        <f t="shared" si="6"/>
        <v>9800</v>
      </c>
      <c r="F69" s="28"/>
      <c r="G69" s="29"/>
      <c r="H69" s="19">
        <f t="shared" si="7"/>
        <v>213490</v>
      </c>
      <c r="I69" s="31"/>
    </row>
    <row r="70" spans="1:9" ht="20.25" customHeight="1">
      <c r="A70" s="24">
        <v>42006</v>
      </c>
      <c r="B70" s="21" t="s">
        <v>111</v>
      </c>
      <c r="C70" s="26">
        <v>1000</v>
      </c>
      <c r="D70" s="27">
        <v>12.5</v>
      </c>
      <c r="E70" s="27">
        <f t="shared" si="6"/>
        <v>12500</v>
      </c>
      <c r="F70" s="28"/>
      <c r="G70" s="29"/>
      <c r="H70" s="19">
        <f t="shared" si="7"/>
        <v>225990</v>
      </c>
      <c r="I70" s="31"/>
    </row>
    <row r="71" spans="1:9" ht="20.25" customHeight="1">
      <c r="A71" s="24">
        <v>42009</v>
      </c>
      <c r="B71" s="21" t="s">
        <v>111</v>
      </c>
      <c r="C71" s="26">
        <v>225</v>
      </c>
      <c r="D71" s="27">
        <v>10</v>
      </c>
      <c r="E71" s="27">
        <f t="shared" si="6"/>
        <v>2250</v>
      </c>
      <c r="F71" s="28"/>
      <c r="G71" s="29"/>
      <c r="H71" s="19">
        <f t="shared" si="7"/>
        <v>228240</v>
      </c>
      <c r="I71" s="31"/>
    </row>
    <row r="72" spans="1:9" ht="20.25" customHeight="1">
      <c r="A72" s="24"/>
      <c r="B72" s="21" t="s">
        <v>111</v>
      </c>
      <c r="C72" s="26">
        <v>3000</v>
      </c>
      <c r="D72" s="27">
        <v>10</v>
      </c>
      <c r="E72" s="27">
        <f t="shared" si="6"/>
        <v>30000</v>
      </c>
      <c r="F72" s="28"/>
      <c r="G72" s="29"/>
      <c r="H72" s="19">
        <f t="shared" si="7"/>
        <v>258240</v>
      </c>
      <c r="I72" s="31"/>
    </row>
    <row r="73" spans="1:9" ht="20.25" customHeight="1">
      <c r="A73" s="24">
        <v>42010</v>
      </c>
      <c r="B73" s="21" t="s">
        <v>111</v>
      </c>
      <c r="C73" s="26">
        <v>1140</v>
      </c>
      <c r="D73" s="27">
        <v>12.5</v>
      </c>
      <c r="E73" s="27">
        <f t="shared" si="6"/>
        <v>14250</v>
      </c>
      <c r="F73" s="28"/>
      <c r="G73" s="29"/>
      <c r="H73" s="19">
        <f t="shared" si="7"/>
        <v>272490</v>
      </c>
      <c r="I73" s="31"/>
    </row>
    <row r="74" spans="1:9" ht="20.25" customHeight="1">
      <c r="A74" s="24"/>
      <c r="B74" s="21" t="s">
        <v>111</v>
      </c>
      <c r="C74" s="26">
        <v>160</v>
      </c>
      <c r="D74" s="27">
        <v>10</v>
      </c>
      <c r="E74" s="27">
        <f t="shared" si="6"/>
        <v>1600</v>
      </c>
      <c r="F74" s="28"/>
      <c r="G74" s="29"/>
      <c r="H74" s="19">
        <f t="shared" si="7"/>
        <v>274090</v>
      </c>
      <c r="I74" s="31"/>
    </row>
    <row r="75" spans="1:9" ht="20.25" customHeight="1">
      <c r="A75" s="24"/>
      <c r="B75" s="67" t="s">
        <v>17</v>
      </c>
      <c r="C75" s="26"/>
      <c r="D75" s="27"/>
      <c r="E75" s="27">
        <f>C75*D75</f>
        <v>0</v>
      </c>
      <c r="F75" s="28"/>
      <c r="G75" s="29">
        <v>100000</v>
      </c>
      <c r="H75" s="19">
        <f t="shared" si="7"/>
        <v>174090</v>
      </c>
      <c r="I75" s="47">
        <v>42010</v>
      </c>
    </row>
    <row r="76" spans="1:9" ht="20.25" customHeight="1">
      <c r="A76" s="24">
        <v>42021</v>
      </c>
      <c r="B76" s="21" t="s">
        <v>111</v>
      </c>
      <c r="C76" s="26">
        <v>1190</v>
      </c>
      <c r="D76" s="27">
        <v>11</v>
      </c>
      <c r="E76" s="27">
        <f t="shared" si="6"/>
        <v>13090</v>
      </c>
      <c r="F76" s="28"/>
      <c r="G76" s="29"/>
      <c r="H76" s="19">
        <f t="shared" si="7"/>
        <v>187180</v>
      </c>
      <c r="I76" s="31"/>
    </row>
    <row r="77" spans="1:9" ht="20.25" customHeight="1">
      <c r="A77" s="24">
        <v>42024</v>
      </c>
      <c r="B77" s="21" t="s">
        <v>111</v>
      </c>
      <c r="C77" s="26">
        <v>1010</v>
      </c>
      <c r="D77" s="27">
        <v>11</v>
      </c>
      <c r="E77" s="27">
        <f t="shared" si="6"/>
        <v>11110</v>
      </c>
      <c r="F77" s="28"/>
      <c r="G77" s="29"/>
      <c r="H77" s="19">
        <f t="shared" si="7"/>
        <v>198290</v>
      </c>
      <c r="I77" s="31"/>
    </row>
    <row r="78" spans="1:9" ht="20.25" customHeight="1">
      <c r="A78" s="24">
        <v>42031</v>
      </c>
      <c r="B78" s="21" t="s">
        <v>111</v>
      </c>
      <c r="C78" s="26">
        <v>1540</v>
      </c>
      <c r="D78" s="27">
        <v>11</v>
      </c>
      <c r="E78" s="27">
        <f t="shared" si="6"/>
        <v>16940</v>
      </c>
      <c r="F78" s="28"/>
      <c r="G78" s="29"/>
      <c r="H78" s="19">
        <f t="shared" si="7"/>
        <v>215230</v>
      </c>
      <c r="I78" s="31"/>
    </row>
    <row r="79" spans="1:9" ht="20.25" customHeight="1">
      <c r="A79" s="24">
        <v>42032</v>
      </c>
      <c r="B79" s="21" t="s">
        <v>111</v>
      </c>
      <c r="C79" s="26">
        <v>1470</v>
      </c>
      <c r="D79" s="27">
        <v>11</v>
      </c>
      <c r="E79" s="27">
        <f t="shared" si="6"/>
        <v>16170</v>
      </c>
      <c r="F79" s="28"/>
      <c r="G79" s="29"/>
      <c r="H79" s="19">
        <f t="shared" si="7"/>
        <v>231400</v>
      </c>
      <c r="I79" s="31"/>
    </row>
    <row r="80" spans="1:9" ht="20.25" customHeight="1">
      <c r="A80" s="24"/>
      <c r="B80" s="21" t="s">
        <v>301</v>
      </c>
      <c r="C80" s="26">
        <v>619</v>
      </c>
      <c r="D80" s="27">
        <v>60</v>
      </c>
      <c r="E80" s="27">
        <f t="shared" si="6"/>
        <v>37140</v>
      </c>
      <c r="F80" s="28"/>
      <c r="G80" s="29"/>
      <c r="H80" s="19">
        <f t="shared" si="7"/>
        <v>268540</v>
      </c>
      <c r="I80" s="31"/>
    </row>
    <row r="81" spans="1:9" ht="20.25" customHeight="1">
      <c r="A81" s="24">
        <v>42033</v>
      </c>
      <c r="B81" s="21" t="s">
        <v>111</v>
      </c>
      <c r="C81" s="26">
        <v>1600</v>
      </c>
      <c r="D81" s="27">
        <v>11</v>
      </c>
      <c r="E81" s="27">
        <f t="shared" si="6"/>
        <v>17600</v>
      </c>
      <c r="F81" s="28"/>
      <c r="G81" s="29"/>
      <c r="H81" s="19">
        <f t="shared" si="7"/>
        <v>286140</v>
      </c>
      <c r="I81" s="31"/>
    </row>
    <row r="82" spans="1:9" ht="20.25" customHeight="1">
      <c r="A82" s="24">
        <v>42034</v>
      </c>
      <c r="B82" s="21" t="s">
        <v>111</v>
      </c>
      <c r="C82" s="26">
        <v>1710</v>
      </c>
      <c r="D82" s="27">
        <v>11</v>
      </c>
      <c r="E82" s="27">
        <f t="shared" si="6"/>
        <v>18810</v>
      </c>
      <c r="F82" s="28"/>
      <c r="G82" s="29"/>
      <c r="H82" s="19">
        <f t="shared" si="7"/>
        <v>304950</v>
      </c>
      <c r="I82" s="31"/>
    </row>
    <row r="83" spans="1:9" ht="20.25" customHeight="1">
      <c r="A83" s="24">
        <v>42035</v>
      </c>
      <c r="B83" s="21" t="s">
        <v>111</v>
      </c>
      <c r="C83" s="26">
        <v>1340</v>
      </c>
      <c r="D83" s="27">
        <v>10</v>
      </c>
      <c r="E83" s="27">
        <f t="shared" si="6"/>
        <v>13400</v>
      </c>
      <c r="F83" s="28"/>
      <c r="G83" s="29"/>
      <c r="H83" s="19">
        <f t="shared" si="7"/>
        <v>318350</v>
      </c>
      <c r="I83" s="31"/>
    </row>
    <row r="84" spans="1:9" ht="20.25" customHeight="1">
      <c r="A84" s="24"/>
      <c r="B84" s="67" t="s">
        <v>17</v>
      </c>
      <c r="C84" s="26"/>
      <c r="D84" s="27"/>
      <c r="E84" s="27">
        <f t="shared" si="6"/>
        <v>0</v>
      </c>
      <c r="F84" s="28"/>
      <c r="G84" s="29">
        <v>100000</v>
      </c>
      <c r="H84" s="19">
        <f t="shared" si="7"/>
        <v>218350</v>
      </c>
      <c r="I84" s="47">
        <v>42033</v>
      </c>
    </row>
    <row r="85" spans="1:9" ht="20.25" customHeight="1">
      <c r="A85" s="24"/>
      <c r="B85" s="31" t="s">
        <v>17</v>
      </c>
      <c r="C85" s="26"/>
      <c r="D85" s="27"/>
      <c r="E85" s="27">
        <f t="shared" si="6"/>
        <v>0</v>
      </c>
      <c r="F85" s="28"/>
      <c r="G85" s="29">
        <v>100000</v>
      </c>
      <c r="H85" s="19">
        <f t="shared" si="7"/>
        <v>118350</v>
      </c>
      <c r="I85" s="197">
        <v>42049</v>
      </c>
    </row>
    <row r="86" spans="1:9" ht="20.25" customHeight="1">
      <c r="A86" s="24"/>
      <c r="B86" s="31" t="s">
        <v>17</v>
      </c>
      <c r="C86" s="26"/>
      <c r="D86" s="27"/>
      <c r="E86" s="27">
        <f t="shared" ref="E86:E108" si="8">C86*D86</f>
        <v>0</v>
      </c>
      <c r="F86" s="28"/>
      <c r="G86" s="29">
        <f>H85</f>
        <v>118350</v>
      </c>
      <c r="H86" s="19">
        <f t="shared" ref="H86:H108" si="9">IF(B86&lt;&gt;"",H85+E86-F86-G86,0)</f>
        <v>0</v>
      </c>
      <c r="I86" s="197">
        <v>42066</v>
      </c>
    </row>
    <row r="87" spans="1:9" ht="20.25" customHeight="1">
      <c r="A87" s="24">
        <v>42131</v>
      </c>
      <c r="B87" s="31" t="s">
        <v>111</v>
      </c>
      <c r="C87" s="26">
        <v>2230</v>
      </c>
      <c r="D87" s="27">
        <v>11</v>
      </c>
      <c r="E87" s="27">
        <f t="shared" si="8"/>
        <v>24530</v>
      </c>
      <c r="F87" s="28"/>
      <c r="G87" s="29"/>
      <c r="H87" s="19">
        <f t="shared" si="9"/>
        <v>24530</v>
      </c>
      <c r="I87" s="197"/>
    </row>
    <row r="88" spans="1:9" ht="20.25" customHeight="1">
      <c r="A88" s="24">
        <v>42132</v>
      </c>
      <c r="B88" s="31" t="s">
        <v>111</v>
      </c>
      <c r="C88" s="26">
        <v>2240</v>
      </c>
      <c r="D88" s="27">
        <v>11</v>
      </c>
      <c r="E88" s="27">
        <f t="shared" si="8"/>
        <v>24640</v>
      </c>
      <c r="F88" s="28"/>
      <c r="G88" s="29"/>
      <c r="H88" s="19">
        <f t="shared" si="9"/>
        <v>49170</v>
      </c>
      <c r="I88" s="197"/>
    </row>
    <row r="89" spans="1:9" ht="20.25" customHeight="1">
      <c r="A89" s="24"/>
      <c r="B89" s="31" t="s">
        <v>111</v>
      </c>
      <c r="C89" s="26">
        <v>760</v>
      </c>
      <c r="D89" s="27">
        <v>7</v>
      </c>
      <c r="E89" s="27">
        <f t="shared" si="8"/>
        <v>5320</v>
      </c>
      <c r="F89" s="28"/>
      <c r="G89" s="29"/>
      <c r="H89" s="19">
        <f t="shared" si="9"/>
        <v>54490</v>
      </c>
      <c r="I89" s="197"/>
    </row>
    <row r="90" spans="1:9" ht="20.25" customHeight="1">
      <c r="A90" s="24">
        <v>42133</v>
      </c>
      <c r="B90" s="31" t="s">
        <v>111</v>
      </c>
      <c r="C90" s="26">
        <v>4040</v>
      </c>
      <c r="D90" s="27">
        <v>11</v>
      </c>
      <c r="E90" s="27">
        <f t="shared" si="8"/>
        <v>44440</v>
      </c>
      <c r="F90" s="28"/>
      <c r="G90" s="29"/>
      <c r="H90" s="19">
        <f t="shared" si="9"/>
        <v>98930</v>
      </c>
      <c r="I90" s="197"/>
    </row>
    <row r="91" spans="1:9" ht="20.25" customHeight="1">
      <c r="A91" s="24">
        <v>42134</v>
      </c>
      <c r="B91" s="31" t="s">
        <v>111</v>
      </c>
      <c r="C91" s="26">
        <v>3830</v>
      </c>
      <c r="D91" s="27">
        <v>11</v>
      </c>
      <c r="E91" s="27">
        <f t="shared" si="8"/>
        <v>42130</v>
      </c>
      <c r="F91" s="28"/>
      <c r="G91" s="29"/>
      <c r="H91" s="19">
        <f t="shared" si="9"/>
        <v>141060</v>
      </c>
      <c r="I91" s="197"/>
    </row>
    <row r="92" spans="1:9" ht="20.25" customHeight="1">
      <c r="A92" s="24">
        <v>42135</v>
      </c>
      <c r="B92" s="31" t="s">
        <v>111</v>
      </c>
      <c r="C92" s="26">
        <v>1920</v>
      </c>
      <c r="D92" s="27">
        <v>11</v>
      </c>
      <c r="E92" s="27">
        <f t="shared" si="8"/>
        <v>21120</v>
      </c>
      <c r="F92" s="28"/>
      <c r="G92" s="29"/>
      <c r="H92" s="19">
        <f t="shared" si="9"/>
        <v>162180</v>
      </c>
      <c r="I92" s="197"/>
    </row>
    <row r="93" spans="1:9" ht="20.25" customHeight="1">
      <c r="A93" s="24">
        <v>42136</v>
      </c>
      <c r="B93" s="31" t="s">
        <v>111</v>
      </c>
      <c r="C93" s="26">
        <v>450</v>
      </c>
      <c r="D93" s="27">
        <v>11</v>
      </c>
      <c r="E93" s="27">
        <f t="shared" si="8"/>
        <v>4950</v>
      </c>
      <c r="F93" s="28"/>
      <c r="G93" s="29"/>
      <c r="H93" s="19">
        <f t="shared" si="9"/>
        <v>167130</v>
      </c>
      <c r="I93" s="197"/>
    </row>
    <row r="94" spans="1:9" ht="20.25" customHeight="1">
      <c r="A94" s="24">
        <v>42138</v>
      </c>
      <c r="B94" s="31" t="s">
        <v>111</v>
      </c>
      <c r="C94" s="26">
        <v>3150</v>
      </c>
      <c r="D94" s="27">
        <v>11</v>
      </c>
      <c r="E94" s="27">
        <f t="shared" si="8"/>
        <v>34650</v>
      </c>
      <c r="F94" s="28"/>
      <c r="G94" s="29"/>
      <c r="H94" s="19">
        <f t="shared" si="9"/>
        <v>201780</v>
      </c>
      <c r="I94" s="197"/>
    </row>
    <row r="95" spans="1:9" ht="20.25" customHeight="1">
      <c r="A95" s="24">
        <v>42139</v>
      </c>
      <c r="B95" s="31" t="s">
        <v>111</v>
      </c>
      <c r="C95" s="26">
        <v>3630</v>
      </c>
      <c r="D95" s="27">
        <v>11</v>
      </c>
      <c r="E95" s="27">
        <f t="shared" si="8"/>
        <v>39930</v>
      </c>
      <c r="F95" s="28"/>
      <c r="G95" s="29"/>
      <c r="H95" s="19">
        <f t="shared" si="9"/>
        <v>241710</v>
      </c>
      <c r="I95" s="197"/>
    </row>
    <row r="96" spans="1:9" ht="20.25" customHeight="1">
      <c r="A96" s="24">
        <v>42140</v>
      </c>
      <c r="B96" s="31" t="s">
        <v>111</v>
      </c>
      <c r="C96" s="26">
        <v>2990</v>
      </c>
      <c r="D96" s="27">
        <v>11</v>
      </c>
      <c r="E96" s="27">
        <f t="shared" si="8"/>
        <v>32890</v>
      </c>
      <c r="F96" s="28"/>
      <c r="G96" s="29"/>
      <c r="H96" s="19">
        <f t="shared" si="9"/>
        <v>274600</v>
      </c>
      <c r="I96" s="197"/>
    </row>
    <row r="97" spans="1:9" ht="20.25" customHeight="1">
      <c r="A97" s="24">
        <v>42141</v>
      </c>
      <c r="B97" s="31" t="s">
        <v>111</v>
      </c>
      <c r="C97" s="26">
        <v>3630</v>
      </c>
      <c r="D97" s="27">
        <v>11</v>
      </c>
      <c r="E97" s="27">
        <f t="shared" si="8"/>
        <v>39930</v>
      </c>
      <c r="F97" s="28"/>
      <c r="G97" s="29"/>
      <c r="H97" s="19">
        <f t="shared" si="9"/>
        <v>314530</v>
      </c>
      <c r="I97" s="197"/>
    </row>
    <row r="98" spans="1:9" ht="20.25" customHeight="1">
      <c r="A98" s="24">
        <v>42142</v>
      </c>
      <c r="B98" s="31" t="s">
        <v>111</v>
      </c>
      <c r="C98" s="26">
        <v>3870</v>
      </c>
      <c r="D98" s="27">
        <v>11</v>
      </c>
      <c r="E98" s="27">
        <f t="shared" si="8"/>
        <v>42570</v>
      </c>
      <c r="F98" s="28"/>
      <c r="G98" s="29"/>
      <c r="H98" s="19">
        <f t="shared" si="9"/>
        <v>357100</v>
      </c>
      <c r="I98" s="197"/>
    </row>
    <row r="99" spans="1:9" ht="20.25" customHeight="1">
      <c r="A99" s="24">
        <v>42143</v>
      </c>
      <c r="B99" s="31" t="s">
        <v>111</v>
      </c>
      <c r="C99" s="26">
        <v>1070</v>
      </c>
      <c r="D99" s="27">
        <v>11</v>
      </c>
      <c r="E99" s="27">
        <f t="shared" si="8"/>
        <v>11770</v>
      </c>
      <c r="F99" s="28"/>
      <c r="G99" s="29"/>
      <c r="H99" s="19">
        <f t="shared" si="9"/>
        <v>368870</v>
      </c>
      <c r="I99" s="197"/>
    </row>
    <row r="100" spans="1:9" ht="20.25" customHeight="1">
      <c r="A100" s="24">
        <v>42145</v>
      </c>
      <c r="B100" s="31" t="s">
        <v>111</v>
      </c>
      <c r="C100" s="26">
        <v>4980</v>
      </c>
      <c r="D100" s="27">
        <v>11</v>
      </c>
      <c r="E100" s="27">
        <f t="shared" si="8"/>
        <v>54780</v>
      </c>
      <c r="F100" s="28"/>
      <c r="G100" s="29"/>
      <c r="H100" s="19">
        <f t="shared" si="9"/>
        <v>423650</v>
      </c>
      <c r="I100" s="197"/>
    </row>
    <row r="101" spans="1:9" ht="20.25" customHeight="1">
      <c r="A101" s="24">
        <v>42146</v>
      </c>
      <c r="B101" s="31" t="s">
        <v>111</v>
      </c>
      <c r="C101" s="26">
        <v>1480</v>
      </c>
      <c r="D101" s="27">
        <v>11</v>
      </c>
      <c r="E101" s="27">
        <f t="shared" si="8"/>
        <v>16280</v>
      </c>
      <c r="F101" s="28"/>
      <c r="G101" s="29"/>
      <c r="H101" s="19">
        <f t="shared" si="9"/>
        <v>439930</v>
      </c>
      <c r="I101" s="197"/>
    </row>
    <row r="102" spans="1:9" ht="20.25" customHeight="1">
      <c r="A102" s="24">
        <v>42147</v>
      </c>
      <c r="B102" s="31" t="s">
        <v>111</v>
      </c>
      <c r="C102" s="26">
        <v>1380</v>
      </c>
      <c r="D102" s="27">
        <v>11</v>
      </c>
      <c r="E102" s="27">
        <f t="shared" si="8"/>
        <v>15180</v>
      </c>
      <c r="F102" s="28"/>
      <c r="G102" s="29"/>
      <c r="H102" s="19">
        <f t="shared" si="9"/>
        <v>455110</v>
      </c>
      <c r="I102" s="197"/>
    </row>
    <row r="103" spans="1:9" ht="20.25" customHeight="1">
      <c r="A103" s="24"/>
      <c r="B103" s="31" t="s">
        <v>17</v>
      </c>
      <c r="C103" s="26"/>
      <c r="D103" s="27"/>
      <c r="E103" s="27">
        <f t="shared" si="8"/>
        <v>0</v>
      </c>
      <c r="F103" s="28"/>
      <c r="G103" s="29">
        <v>200000</v>
      </c>
      <c r="H103" s="19">
        <f t="shared" si="9"/>
        <v>255110</v>
      </c>
      <c r="I103" s="197">
        <v>42152</v>
      </c>
    </row>
    <row r="104" spans="1:9" ht="20.25" customHeight="1">
      <c r="A104" s="24"/>
      <c r="B104" s="31" t="s">
        <v>17</v>
      </c>
      <c r="C104" s="26"/>
      <c r="D104" s="27"/>
      <c r="E104" s="27">
        <f t="shared" si="8"/>
        <v>0</v>
      </c>
      <c r="F104" s="28"/>
      <c r="G104" s="29">
        <v>100000</v>
      </c>
      <c r="H104" s="19">
        <f t="shared" si="9"/>
        <v>155110</v>
      </c>
      <c r="I104" s="197">
        <v>42186</v>
      </c>
    </row>
    <row r="105" spans="1:9" ht="20.25" customHeight="1">
      <c r="A105" s="24"/>
      <c r="B105" s="31" t="s">
        <v>17</v>
      </c>
      <c r="C105" s="26"/>
      <c r="D105" s="27"/>
      <c r="E105" s="27">
        <f t="shared" si="8"/>
        <v>0</v>
      </c>
      <c r="F105" s="28"/>
      <c r="G105" s="29">
        <f>H104</f>
        <v>155110</v>
      </c>
      <c r="H105" s="19">
        <f t="shared" si="9"/>
        <v>0</v>
      </c>
      <c r="I105" s="197">
        <v>42220</v>
      </c>
    </row>
    <row r="106" spans="1:9" ht="20.25" customHeight="1">
      <c r="A106" s="24">
        <v>42201</v>
      </c>
      <c r="B106" s="31" t="s">
        <v>111</v>
      </c>
      <c r="C106" s="26">
        <v>2120</v>
      </c>
      <c r="D106" s="27">
        <v>12</v>
      </c>
      <c r="E106" s="27">
        <f t="shared" si="8"/>
        <v>25440</v>
      </c>
      <c r="F106" s="28"/>
      <c r="G106" s="29"/>
      <c r="H106" s="19">
        <f t="shared" si="9"/>
        <v>25440</v>
      </c>
      <c r="I106" s="197"/>
    </row>
    <row r="107" spans="1:9" ht="20.25" customHeight="1">
      <c r="A107" s="24">
        <v>42202</v>
      </c>
      <c r="B107" s="31" t="s">
        <v>111</v>
      </c>
      <c r="C107" s="26">
        <v>2410</v>
      </c>
      <c r="D107" s="27">
        <v>12</v>
      </c>
      <c r="E107" s="27">
        <f t="shared" si="8"/>
        <v>28920</v>
      </c>
      <c r="F107" s="28"/>
      <c r="G107" s="29"/>
      <c r="H107" s="19">
        <f t="shared" si="9"/>
        <v>54360</v>
      </c>
      <c r="I107" s="197"/>
    </row>
    <row r="108" spans="1:9" ht="20.25" customHeight="1">
      <c r="A108" s="24">
        <v>42203</v>
      </c>
      <c r="B108" s="31" t="s">
        <v>111</v>
      </c>
      <c r="C108" s="26">
        <v>1680</v>
      </c>
      <c r="D108" s="27">
        <v>12</v>
      </c>
      <c r="E108" s="27">
        <f t="shared" si="8"/>
        <v>20160</v>
      </c>
      <c r="F108" s="28"/>
      <c r="G108" s="29"/>
      <c r="H108" s="19">
        <f t="shared" si="9"/>
        <v>74520</v>
      </c>
      <c r="I108" s="197"/>
    </row>
    <row r="109" spans="1:9" ht="20.25" customHeight="1">
      <c r="A109" s="24">
        <v>42204</v>
      </c>
      <c r="B109" s="31" t="s">
        <v>111</v>
      </c>
      <c r="C109" s="26">
        <v>2100</v>
      </c>
      <c r="D109" s="27">
        <v>12</v>
      </c>
      <c r="E109" s="27">
        <f t="shared" ref="E109:E141" si="10">C109*D109</f>
        <v>25200</v>
      </c>
      <c r="F109" s="28"/>
      <c r="G109" s="29"/>
      <c r="H109" s="19">
        <f t="shared" ref="H109:H141" si="11">IF(B109&lt;&gt;"",H108+E109-F109-G109,0)</f>
        <v>99720</v>
      </c>
      <c r="I109" s="197"/>
    </row>
    <row r="110" spans="1:9" ht="20.25" customHeight="1">
      <c r="A110" s="24">
        <v>42205</v>
      </c>
      <c r="B110" s="31" t="s">
        <v>111</v>
      </c>
      <c r="C110" s="26">
        <v>3710</v>
      </c>
      <c r="D110" s="27">
        <v>12</v>
      </c>
      <c r="E110" s="27">
        <f t="shared" si="10"/>
        <v>44520</v>
      </c>
      <c r="F110" s="28"/>
      <c r="G110" s="29"/>
      <c r="H110" s="19">
        <f t="shared" si="11"/>
        <v>144240</v>
      </c>
      <c r="I110" s="197"/>
    </row>
    <row r="111" spans="1:9" ht="20.25" customHeight="1">
      <c r="A111" s="24">
        <v>42206</v>
      </c>
      <c r="B111" s="31" t="s">
        <v>111</v>
      </c>
      <c r="C111" s="26">
        <v>3220</v>
      </c>
      <c r="D111" s="27">
        <v>11</v>
      </c>
      <c r="E111" s="27">
        <f t="shared" si="10"/>
        <v>35420</v>
      </c>
      <c r="F111" s="28"/>
      <c r="G111" s="29"/>
      <c r="H111" s="19">
        <f t="shared" si="11"/>
        <v>179660</v>
      </c>
      <c r="I111" s="197"/>
    </row>
    <row r="112" spans="1:9" ht="20.25" customHeight="1">
      <c r="A112" s="24">
        <v>42207</v>
      </c>
      <c r="B112" s="31" t="s">
        <v>111</v>
      </c>
      <c r="C112" s="26">
        <v>2820</v>
      </c>
      <c r="D112" s="27">
        <v>11</v>
      </c>
      <c r="E112" s="27">
        <f t="shared" si="10"/>
        <v>31020</v>
      </c>
      <c r="F112" s="28"/>
      <c r="G112" s="29"/>
      <c r="H112" s="19">
        <f t="shared" si="11"/>
        <v>210680</v>
      </c>
      <c r="I112" s="197"/>
    </row>
    <row r="113" spans="1:9" ht="20.25" customHeight="1">
      <c r="A113" s="24">
        <v>42208</v>
      </c>
      <c r="B113" s="31" t="s">
        <v>111</v>
      </c>
      <c r="C113" s="26">
        <v>3110</v>
      </c>
      <c r="D113" s="27">
        <v>11</v>
      </c>
      <c r="E113" s="27">
        <f t="shared" si="10"/>
        <v>34210</v>
      </c>
      <c r="F113" s="28"/>
      <c r="G113" s="29"/>
      <c r="H113" s="19">
        <f t="shared" si="11"/>
        <v>244890</v>
      </c>
      <c r="I113" s="197"/>
    </row>
    <row r="114" spans="1:9" ht="20.25" customHeight="1">
      <c r="A114" s="24">
        <v>42209</v>
      </c>
      <c r="B114" s="31" t="s">
        <v>111</v>
      </c>
      <c r="C114" s="26">
        <v>2660</v>
      </c>
      <c r="D114" s="27">
        <v>11</v>
      </c>
      <c r="E114" s="27">
        <f t="shared" si="10"/>
        <v>29260</v>
      </c>
      <c r="F114" s="28"/>
      <c r="G114" s="29"/>
      <c r="H114" s="19">
        <f t="shared" si="11"/>
        <v>274150</v>
      </c>
      <c r="I114" s="197"/>
    </row>
    <row r="115" spans="1:9" ht="20.25" customHeight="1">
      <c r="A115" s="24">
        <v>42210</v>
      </c>
      <c r="B115" s="31" t="s">
        <v>111</v>
      </c>
      <c r="C115" s="26">
        <v>1270</v>
      </c>
      <c r="D115" s="27">
        <v>11</v>
      </c>
      <c r="E115" s="27">
        <f t="shared" si="10"/>
        <v>13970</v>
      </c>
      <c r="F115" s="28"/>
      <c r="G115" s="29"/>
      <c r="H115" s="19">
        <f t="shared" si="11"/>
        <v>288120</v>
      </c>
      <c r="I115" s="197"/>
    </row>
    <row r="116" spans="1:9" ht="20.25" customHeight="1">
      <c r="A116" s="24">
        <v>42211</v>
      </c>
      <c r="B116" s="31" t="s">
        <v>111</v>
      </c>
      <c r="C116" s="26">
        <v>3520</v>
      </c>
      <c r="D116" s="27">
        <v>11</v>
      </c>
      <c r="E116" s="27">
        <f t="shared" si="10"/>
        <v>38720</v>
      </c>
      <c r="F116" s="28"/>
      <c r="G116" s="29"/>
      <c r="H116" s="19">
        <f t="shared" si="11"/>
        <v>326840</v>
      </c>
      <c r="I116" s="197"/>
    </row>
    <row r="117" spans="1:9" ht="20.25" customHeight="1">
      <c r="A117" s="24">
        <v>42212</v>
      </c>
      <c r="B117" s="31" t="s">
        <v>111</v>
      </c>
      <c r="C117" s="26">
        <v>1460</v>
      </c>
      <c r="D117" s="27">
        <v>11</v>
      </c>
      <c r="E117" s="27">
        <f t="shared" si="10"/>
        <v>16060</v>
      </c>
      <c r="F117" s="28"/>
      <c r="G117" s="29"/>
      <c r="H117" s="19">
        <f t="shared" si="11"/>
        <v>342900</v>
      </c>
      <c r="I117" s="197"/>
    </row>
    <row r="118" spans="1:9" ht="20.25" customHeight="1">
      <c r="A118" s="24">
        <v>42213</v>
      </c>
      <c r="B118" s="31" t="s">
        <v>111</v>
      </c>
      <c r="C118" s="26">
        <v>790</v>
      </c>
      <c r="D118" s="27">
        <v>11</v>
      </c>
      <c r="E118" s="27">
        <f t="shared" si="10"/>
        <v>8690</v>
      </c>
      <c r="F118" s="28"/>
      <c r="G118" s="29"/>
      <c r="H118" s="19">
        <f t="shared" si="11"/>
        <v>351590</v>
      </c>
      <c r="I118" s="197"/>
    </row>
    <row r="119" spans="1:9" ht="20.25" customHeight="1">
      <c r="A119" s="24">
        <v>42214</v>
      </c>
      <c r="B119" s="31" t="s">
        <v>111</v>
      </c>
      <c r="C119" s="26">
        <v>790</v>
      </c>
      <c r="D119" s="27">
        <v>11</v>
      </c>
      <c r="E119" s="27">
        <f t="shared" si="10"/>
        <v>8690</v>
      </c>
      <c r="F119" s="28"/>
      <c r="G119" s="29"/>
      <c r="H119" s="19">
        <f t="shared" si="11"/>
        <v>360280</v>
      </c>
      <c r="I119" s="197"/>
    </row>
    <row r="120" spans="1:9" ht="20.25" customHeight="1">
      <c r="A120" s="24"/>
      <c r="B120" s="31" t="s">
        <v>373</v>
      </c>
      <c r="C120" s="26">
        <v>1060</v>
      </c>
      <c r="D120" s="27">
        <v>11</v>
      </c>
      <c r="E120" s="27">
        <f t="shared" si="10"/>
        <v>11660</v>
      </c>
      <c r="F120" s="28"/>
      <c r="G120" s="29"/>
      <c r="H120" s="19">
        <f t="shared" si="11"/>
        <v>371940</v>
      </c>
      <c r="I120" s="197"/>
    </row>
    <row r="121" spans="1:9" ht="20.25" customHeight="1">
      <c r="A121" s="24">
        <v>42216</v>
      </c>
      <c r="B121" s="31" t="s">
        <v>111</v>
      </c>
      <c r="C121" s="26">
        <v>2930</v>
      </c>
      <c r="D121" s="27">
        <v>11</v>
      </c>
      <c r="E121" s="27">
        <f t="shared" si="10"/>
        <v>32230</v>
      </c>
      <c r="F121" s="28"/>
      <c r="G121" s="29"/>
      <c r="H121" s="19">
        <f t="shared" si="11"/>
        <v>404170</v>
      </c>
      <c r="I121" s="197"/>
    </row>
    <row r="122" spans="1:9" ht="20.25" customHeight="1">
      <c r="A122" s="24">
        <v>42217</v>
      </c>
      <c r="B122" s="31" t="s">
        <v>111</v>
      </c>
      <c r="C122" s="26">
        <v>950</v>
      </c>
      <c r="D122" s="27">
        <v>11</v>
      </c>
      <c r="E122" s="27">
        <f t="shared" si="10"/>
        <v>10450</v>
      </c>
      <c r="F122" s="28"/>
      <c r="G122" s="29"/>
      <c r="H122" s="19">
        <f t="shared" si="11"/>
        <v>414620</v>
      </c>
      <c r="I122" s="197"/>
    </row>
    <row r="123" spans="1:9" ht="20.25" customHeight="1">
      <c r="A123" s="24">
        <v>42218</v>
      </c>
      <c r="B123" s="31" t="s">
        <v>111</v>
      </c>
      <c r="C123" s="26">
        <v>1030</v>
      </c>
      <c r="D123" s="27">
        <v>11</v>
      </c>
      <c r="E123" s="27">
        <f t="shared" si="10"/>
        <v>11330</v>
      </c>
      <c r="F123" s="28"/>
      <c r="G123" s="29"/>
      <c r="H123" s="19">
        <f t="shared" si="11"/>
        <v>425950</v>
      </c>
      <c r="I123" s="197"/>
    </row>
    <row r="124" spans="1:9" ht="20.25" customHeight="1">
      <c r="A124" s="24">
        <v>42221</v>
      </c>
      <c r="B124" s="31" t="s">
        <v>111</v>
      </c>
      <c r="C124" s="26">
        <v>1730</v>
      </c>
      <c r="D124" s="27">
        <v>11</v>
      </c>
      <c r="E124" s="27">
        <f t="shared" si="10"/>
        <v>19030</v>
      </c>
      <c r="F124" s="28"/>
      <c r="G124" s="29"/>
      <c r="H124" s="19">
        <f t="shared" si="11"/>
        <v>444980</v>
      </c>
      <c r="I124" s="197"/>
    </row>
    <row r="125" spans="1:9" ht="20.25" customHeight="1">
      <c r="A125" s="24">
        <v>42222</v>
      </c>
      <c r="B125" s="31" t="s">
        <v>111</v>
      </c>
      <c r="C125" s="26">
        <v>1490</v>
      </c>
      <c r="D125" s="27">
        <v>11</v>
      </c>
      <c r="E125" s="27">
        <f t="shared" si="10"/>
        <v>16390</v>
      </c>
      <c r="F125" s="28"/>
      <c r="G125" s="29"/>
      <c r="H125" s="19">
        <f t="shared" si="11"/>
        <v>461370</v>
      </c>
      <c r="I125" s="197"/>
    </row>
    <row r="126" spans="1:9" ht="20.25" customHeight="1">
      <c r="A126" s="24">
        <v>42224</v>
      </c>
      <c r="B126" s="31" t="s">
        <v>111</v>
      </c>
      <c r="C126" s="26">
        <v>1850</v>
      </c>
      <c r="D126" s="27">
        <v>11</v>
      </c>
      <c r="E126" s="27">
        <f t="shared" si="10"/>
        <v>20350</v>
      </c>
      <c r="F126" s="28"/>
      <c r="G126" s="29"/>
      <c r="H126" s="19">
        <f t="shared" si="11"/>
        <v>481720</v>
      </c>
      <c r="I126" s="197"/>
    </row>
    <row r="127" spans="1:9" ht="20.25" customHeight="1">
      <c r="A127" s="24">
        <v>42225</v>
      </c>
      <c r="B127" s="31" t="s">
        <v>111</v>
      </c>
      <c r="C127" s="26">
        <v>1700</v>
      </c>
      <c r="D127" s="27">
        <v>11</v>
      </c>
      <c r="E127" s="27">
        <f t="shared" si="10"/>
        <v>18700</v>
      </c>
      <c r="F127" s="28"/>
      <c r="G127" s="29"/>
      <c r="H127" s="19">
        <f t="shared" si="11"/>
        <v>500420</v>
      </c>
      <c r="I127" s="197"/>
    </row>
    <row r="128" spans="1:9" ht="20.25" customHeight="1">
      <c r="A128" s="24">
        <v>42226</v>
      </c>
      <c r="B128" s="31" t="s">
        <v>111</v>
      </c>
      <c r="C128" s="26">
        <v>2310</v>
      </c>
      <c r="D128" s="27">
        <v>11</v>
      </c>
      <c r="E128" s="27">
        <f t="shared" si="10"/>
        <v>25410</v>
      </c>
      <c r="F128" s="28"/>
      <c r="G128" s="29"/>
      <c r="H128" s="19">
        <f t="shared" si="11"/>
        <v>525830</v>
      </c>
      <c r="I128" s="197"/>
    </row>
    <row r="129" spans="1:10" ht="20.25" customHeight="1">
      <c r="A129" s="24">
        <v>42228</v>
      </c>
      <c r="B129" s="31" t="s">
        <v>111</v>
      </c>
      <c r="C129" s="26">
        <v>5180</v>
      </c>
      <c r="D129" s="27">
        <v>11</v>
      </c>
      <c r="E129" s="27">
        <f t="shared" si="10"/>
        <v>56980</v>
      </c>
      <c r="F129" s="28"/>
      <c r="G129" s="29"/>
      <c r="H129" s="19">
        <f t="shared" si="11"/>
        <v>582810</v>
      </c>
      <c r="I129" s="197"/>
    </row>
    <row r="130" spans="1:10" ht="20.25" customHeight="1">
      <c r="A130" s="24">
        <v>42229</v>
      </c>
      <c r="B130" s="31" t="s">
        <v>111</v>
      </c>
      <c r="C130" s="26">
        <v>3000</v>
      </c>
      <c r="D130" s="27">
        <v>11</v>
      </c>
      <c r="E130" s="27">
        <f t="shared" si="10"/>
        <v>33000</v>
      </c>
      <c r="F130" s="28"/>
      <c r="G130" s="29"/>
      <c r="H130" s="19">
        <f t="shared" si="11"/>
        <v>615810</v>
      </c>
      <c r="I130" s="197"/>
    </row>
    <row r="131" spans="1:10" ht="20.25" customHeight="1">
      <c r="A131" s="24">
        <v>42230</v>
      </c>
      <c r="B131" s="31" t="s">
        <v>111</v>
      </c>
      <c r="C131" s="26">
        <v>4250</v>
      </c>
      <c r="D131" s="27">
        <v>11</v>
      </c>
      <c r="E131" s="27">
        <f t="shared" si="10"/>
        <v>46750</v>
      </c>
      <c r="F131" s="28"/>
      <c r="G131" s="29"/>
      <c r="H131" s="19">
        <f t="shared" si="11"/>
        <v>662560</v>
      </c>
      <c r="I131" s="197"/>
    </row>
    <row r="132" spans="1:10" ht="20.25" customHeight="1">
      <c r="A132" s="24">
        <v>42231</v>
      </c>
      <c r="B132" s="31" t="s">
        <v>111</v>
      </c>
      <c r="C132" s="26">
        <v>2010</v>
      </c>
      <c r="D132" s="27">
        <v>11</v>
      </c>
      <c r="E132" s="27">
        <f t="shared" si="10"/>
        <v>22110</v>
      </c>
      <c r="F132" s="28"/>
      <c r="G132" s="29"/>
      <c r="H132" s="19">
        <f t="shared" si="11"/>
        <v>684670</v>
      </c>
      <c r="I132" s="197"/>
    </row>
    <row r="133" spans="1:10" ht="20.25" customHeight="1">
      <c r="A133" s="24">
        <v>42235</v>
      </c>
      <c r="B133" s="31" t="s">
        <v>111</v>
      </c>
      <c r="C133" s="26">
        <v>1070</v>
      </c>
      <c r="D133" s="27">
        <v>11</v>
      </c>
      <c r="E133" s="27">
        <f t="shared" si="10"/>
        <v>11770</v>
      </c>
      <c r="F133" s="28"/>
      <c r="G133" s="29"/>
      <c r="H133" s="19">
        <f t="shared" si="11"/>
        <v>696440</v>
      </c>
      <c r="I133" s="197"/>
    </row>
    <row r="134" spans="1:10" ht="20.25" customHeight="1">
      <c r="A134" s="24">
        <v>42238</v>
      </c>
      <c r="B134" s="31" t="s">
        <v>111</v>
      </c>
      <c r="C134" s="26">
        <v>2250</v>
      </c>
      <c r="D134" s="27">
        <v>11</v>
      </c>
      <c r="E134" s="27">
        <f t="shared" si="10"/>
        <v>24750</v>
      </c>
      <c r="F134" s="28"/>
      <c r="G134" s="29"/>
      <c r="H134" s="19">
        <f t="shared" si="11"/>
        <v>721190</v>
      </c>
      <c r="I134" s="197"/>
    </row>
    <row r="135" spans="1:10" ht="20.25" customHeight="1">
      <c r="A135" s="24">
        <v>42240</v>
      </c>
      <c r="B135" s="31" t="s">
        <v>111</v>
      </c>
      <c r="C135" s="26">
        <v>1670</v>
      </c>
      <c r="D135" s="27">
        <v>11</v>
      </c>
      <c r="E135" s="27">
        <f t="shared" si="10"/>
        <v>18370</v>
      </c>
      <c r="F135" s="28"/>
      <c r="G135" s="29"/>
      <c r="H135" s="19">
        <f t="shared" si="11"/>
        <v>739560</v>
      </c>
      <c r="I135" s="197"/>
    </row>
    <row r="136" spans="1:10" ht="20.25" customHeight="1">
      <c r="A136" s="24">
        <v>42241</v>
      </c>
      <c r="B136" s="31" t="s">
        <v>111</v>
      </c>
      <c r="C136" s="26">
        <v>1010</v>
      </c>
      <c r="D136" s="27">
        <v>11</v>
      </c>
      <c r="E136" s="27">
        <f t="shared" si="10"/>
        <v>11110</v>
      </c>
      <c r="F136" s="28"/>
      <c r="G136" s="29"/>
      <c r="H136" s="19">
        <f t="shared" si="11"/>
        <v>750670</v>
      </c>
      <c r="I136" s="197"/>
    </row>
    <row r="137" spans="1:10" ht="20.25" customHeight="1">
      <c r="A137" s="24"/>
      <c r="B137" s="31" t="s">
        <v>17</v>
      </c>
      <c r="C137" s="26"/>
      <c r="D137" s="27"/>
      <c r="E137" s="27">
        <f t="shared" si="10"/>
        <v>0</v>
      </c>
      <c r="F137" s="28"/>
      <c r="G137" s="29">
        <v>200000</v>
      </c>
      <c r="H137" s="19">
        <f t="shared" si="11"/>
        <v>550670</v>
      </c>
      <c r="I137" s="197">
        <v>42235</v>
      </c>
    </row>
    <row r="138" spans="1:10" ht="20.25" customHeight="1">
      <c r="A138" s="24"/>
      <c r="B138" s="31" t="s">
        <v>17</v>
      </c>
      <c r="C138" s="26"/>
      <c r="D138" s="27"/>
      <c r="E138" s="27">
        <f t="shared" si="10"/>
        <v>0</v>
      </c>
      <c r="F138" s="28"/>
      <c r="G138" s="29">
        <v>100000</v>
      </c>
      <c r="H138" s="19">
        <f t="shared" si="11"/>
        <v>450670</v>
      </c>
      <c r="I138" s="220">
        <v>42304</v>
      </c>
    </row>
    <row r="139" spans="1:10" ht="20.25" customHeight="1">
      <c r="A139" s="24"/>
      <c r="B139" s="31"/>
      <c r="C139" s="26"/>
      <c r="D139" s="27"/>
      <c r="E139" s="27">
        <f t="shared" si="10"/>
        <v>0</v>
      </c>
      <c r="F139" s="28"/>
      <c r="G139" s="29"/>
      <c r="H139" s="19">
        <f t="shared" si="11"/>
        <v>0</v>
      </c>
      <c r="I139" s="220"/>
    </row>
    <row r="140" spans="1:10" ht="20.25" customHeight="1">
      <c r="A140" s="24"/>
      <c r="B140" s="31"/>
      <c r="C140" s="26"/>
      <c r="D140" s="27"/>
      <c r="E140" s="27">
        <f t="shared" si="10"/>
        <v>0</v>
      </c>
      <c r="F140" s="28"/>
      <c r="G140" s="29"/>
      <c r="H140" s="19">
        <f t="shared" si="11"/>
        <v>0</v>
      </c>
      <c r="I140" s="220"/>
    </row>
    <row r="141" spans="1:10" ht="20.25" customHeight="1">
      <c r="A141" s="24"/>
      <c r="B141" s="31"/>
      <c r="C141" s="26"/>
      <c r="D141" s="27"/>
      <c r="E141" s="27">
        <f t="shared" si="10"/>
        <v>0</v>
      </c>
      <c r="F141" s="28"/>
      <c r="G141" s="29"/>
      <c r="H141" s="19">
        <f t="shared" si="11"/>
        <v>0</v>
      </c>
      <c r="I141" s="220"/>
    </row>
    <row r="142" spans="1:10" ht="20.25" customHeight="1">
      <c r="A142" s="24"/>
      <c r="B142" s="31"/>
      <c r="C142" s="26"/>
      <c r="D142" s="27"/>
      <c r="E142" s="27">
        <f t="shared" ref="E142" si="12">C142*D142</f>
        <v>0</v>
      </c>
      <c r="F142" s="28"/>
      <c r="G142" s="29"/>
      <c r="H142" s="19">
        <f>IF(B142&lt;&gt;"",#REF!+E142-F142-G142,0)</f>
        <v>0</v>
      </c>
      <c r="I142" s="197"/>
    </row>
    <row r="143" spans="1:10" s="37" customFormat="1" ht="20.25" customHeight="1">
      <c r="A143" s="226" t="s">
        <v>14</v>
      </c>
      <c r="B143" s="226"/>
      <c r="C143" s="226"/>
      <c r="D143" s="226"/>
      <c r="E143" s="68">
        <f>SUM(E21:E142)</f>
        <v>2129439.5</v>
      </c>
      <c r="F143" s="68">
        <f>SUM(F21:F142)</f>
        <v>0</v>
      </c>
      <c r="G143" s="68">
        <f>SUM(G21:G142)</f>
        <v>1678769.5</v>
      </c>
      <c r="H143" s="68">
        <f>E143-F143-G143</f>
        <v>450670</v>
      </c>
      <c r="I143" s="68"/>
      <c r="J143" s="79"/>
    </row>
  </sheetData>
  <autoFilter ref="A9:I143">
    <filterColumn colId="3"/>
  </autoFilter>
  <mergeCells count="10">
    <mergeCell ref="A1:D1"/>
    <mergeCell ref="A2:G2"/>
    <mergeCell ref="A3:B3"/>
    <mergeCell ref="C3:E3"/>
    <mergeCell ref="A143:D143"/>
    <mergeCell ref="A7:B7"/>
    <mergeCell ref="C7:D7"/>
    <mergeCell ref="E7:G7"/>
    <mergeCell ref="A20:I20"/>
    <mergeCell ref="A5:J5"/>
  </mergeCells>
  <phoneticPr fontId="5" type="noConversion"/>
  <pageMargins left="0.52" right="0.16" top="0.32" bottom="0.19" header="0.3" footer="0.17"/>
  <pageSetup paperSize="9"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3" enableFormatConditionsCalculation="0">
    <tabColor rgb="FFFF0000"/>
  </sheetPr>
  <dimension ref="A1:J81"/>
  <sheetViews>
    <sheetView topLeftCell="A7" workbookViewId="0">
      <pane ySplit="3" topLeftCell="A10" activePane="bottomLeft" state="frozen"/>
      <selection activeCell="D75" sqref="D75"/>
      <selection pane="bottomLeft" activeCell="F54" activeCellId="1" sqref="F43:F52 F54:F64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6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27" t="s">
        <v>38</v>
      </c>
      <c r="B1" s="227"/>
      <c r="C1" s="227"/>
      <c r="D1" s="227"/>
      <c r="F1" s="61"/>
      <c r="G1" s="62"/>
    </row>
    <row r="2" spans="1:8" s="60" customFormat="1" ht="18.75" customHeight="1">
      <c r="A2" s="227" t="s">
        <v>37</v>
      </c>
      <c r="B2" s="227"/>
      <c r="C2" s="227"/>
      <c r="D2" s="227"/>
      <c r="E2" s="227"/>
      <c r="F2" s="61"/>
      <c r="G2" s="62"/>
    </row>
    <row r="3" spans="1:8" s="60" customFormat="1" ht="18.75" customHeight="1">
      <c r="A3" s="227" t="s">
        <v>40</v>
      </c>
      <c r="B3" s="227"/>
      <c r="C3" s="227" t="s">
        <v>41</v>
      </c>
      <c r="D3" s="227"/>
      <c r="E3" s="227"/>
      <c r="F3" s="61"/>
      <c r="G3" s="62"/>
    </row>
    <row r="4" spans="1:8" ht="9.75" customHeight="1"/>
    <row r="5" spans="1:8" s="63" customFormat="1" ht="29.25" customHeight="1">
      <c r="A5" s="228" t="s">
        <v>48</v>
      </c>
      <c r="B5" s="228"/>
      <c r="C5" s="228"/>
      <c r="D5" s="228"/>
      <c r="E5" s="228"/>
      <c r="F5" s="228"/>
      <c r="G5" s="228"/>
      <c r="H5" s="228"/>
    </row>
    <row r="6" spans="1:8" ht="9.75" customHeight="1"/>
    <row r="7" spans="1:8" ht="21.75" customHeight="1">
      <c r="A7" s="231" t="s">
        <v>6</v>
      </c>
      <c r="B7" s="231"/>
      <c r="C7" s="257" t="s">
        <v>27</v>
      </c>
      <c r="D7" s="257"/>
    </row>
    <row r="8" spans="1:8" s="55" customFormat="1" ht="15.75" customHeight="1">
      <c r="C8" s="258"/>
      <c r="D8" s="259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hidden="1" customHeight="1">
      <c r="A10" s="24">
        <v>40740</v>
      </c>
      <c r="B10" s="31" t="s">
        <v>61</v>
      </c>
      <c r="C10" s="26">
        <v>578</v>
      </c>
      <c r="D10" s="27">
        <v>55</v>
      </c>
      <c r="E10" s="27">
        <f>C10*D10</f>
        <v>31790</v>
      </c>
      <c r="F10" s="29"/>
      <c r="G10" s="27">
        <f>IF(B10&lt;&gt;"",+E10-F10,0)</f>
        <v>31790</v>
      </c>
      <c r="H10" s="260" t="s">
        <v>62</v>
      </c>
    </row>
    <row r="11" spans="1:8" ht="18.75" hidden="1" customHeight="1">
      <c r="A11" s="24"/>
      <c r="B11" s="31" t="s">
        <v>61</v>
      </c>
      <c r="C11" s="26">
        <f>3168-C10-158.4</f>
        <v>2431.6</v>
      </c>
      <c r="D11" s="27">
        <v>50</v>
      </c>
      <c r="E11" s="27">
        <f>C11*D11</f>
        <v>121580</v>
      </c>
      <c r="F11" s="29"/>
      <c r="G11" s="27">
        <f>IF(B11&lt;&gt;"",G10+E11-F11,0)</f>
        <v>153370</v>
      </c>
      <c r="H11" s="261"/>
    </row>
    <row r="12" spans="1:8" ht="18.75" hidden="1" customHeight="1">
      <c r="A12" s="24"/>
      <c r="B12" s="31"/>
      <c r="C12" s="26"/>
      <c r="D12" s="27"/>
      <c r="E12" s="27"/>
      <c r="F12" s="29"/>
      <c r="G12" s="27">
        <f>IF(B12&lt;&gt;"",G11+E12-F12,0)</f>
        <v>0</v>
      </c>
      <c r="H12" s="121"/>
    </row>
    <row r="13" spans="1:8" ht="18.75" hidden="1" customHeight="1">
      <c r="A13" s="235"/>
      <c r="B13" s="236"/>
      <c r="C13" s="236"/>
      <c r="D13" s="236"/>
      <c r="E13" s="236"/>
      <c r="F13" s="236"/>
      <c r="G13" s="236"/>
      <c r="H13" s="237"/>
    </row>
    <row r="14" spans="1:8" ht="18.75" hidden="1" customHeight="1">
      <c r="A14" s="24">
        <v>41345</v>
      </c>
      <c r="B14" s="31" t="s">
        <v>30</v>
      </c>
      <c r="C14" s="26">
        <v>4000</v>
      </c>
      <c r="D14" s="27">
        <v>55</v>
      </c>
      <c r="E14" s="27">
        <f t="shared" ref="E14:E20" si="0">C14*D14</f>
        <v>220000</v>
      </c>
      <c r="F14" s="29"/>
      <c r="G14" s="27">
        <f>E14</f>
        <v>220000</v>
      </c>
      <c r="H14" s="31"/>
    </row>
    <row r="15" spans="1:8" ht="18.75" hidden="1" customHeight="1">
      <c r="A15" s="24">
        <v>41347</v>
      </c>
      <c r="B15" s="31" t="s">
        <v>30</v>
      </c>
      <c r="C15" s="26">
        <v>7085</v>
      </c>
      <c r="D15" s="27">
        <v>55</v>
      </c>
      <c r="E15" s="27">
        <f t="shared" si="0"/>
        <v>389675</v>
      </c>
      <c r="F15" s="29"/>
      <c r="G15" s="27">
        <f t="shared" ref="G15:G20" si="1">IF(B15&lt;&gt;"",G14+E15-F15,0)</f>
        <v>609675</v>
      </c>
      <c r="H15" s="31"/>
    </row>
    <row r="16" spans="1:8" ht="18.75" hidden="1" customHeight="1">
      <c r="A16" s="24"/>
      <c r="B16" s="25" t="s">
        <v>17</v>
      </c>
      <c r="C16" s="26"/>
      <c r="D16" s="27"/>
      <c r="E16" s="27">
        <f t="shared" si="0"/>
        <v>0</v>
      </c>
      <c r="F16" s="29">
        <v>200000</v>
      </c>
      <c r="G16" s="27">
        <f t="shared" si="1"/>
        <v>409675</v>
      </c>
      <c r="H16" s="30">
        <v>41342</v>
      </c>
    </row>
    <row r="17" spans="1:10" ht="18.75" hidden="1" customHeight="1">
      <c r="A17" s="24"/>
      <c r="B17" s="25" t="s">
        <v>17</v>
      </c>
      <c r="C17" s="26"/>
      <c r="D17" s="27"/>
      <c r="E17" s="27">
        <f t="shared" si="0"/>
        <v>0</v>
      </c>
      <c r="F17" s="29">
        <v>300000</v>
      </c>
      <c r="G17" s="27">
        <f t="shared" si="1"/>
        <v>109675</v>
      </c>
      <c r="H17" s="30">
        <v>41347</v>
      </c>
    </row>
    <row r="18" spans="1:10" ht="18.75" hidden="1" customHeight="1">
      <c r="A18" s="24"/>
      <c r="B18" s="25" t="s">
        <v>22</v>
      </c>
      <c r="C18" s="26"/>
      <c r="D18" s="27"/>
      <c r="E18" s="27">
        <f t="shared" si="0"/>
        <v>0</v>
      </c>
      <c r="F18" s="29">
        <v>7000</v>
      </c>
      <c r="G18" s="27">
        <f t="shared" si="1"/>
        <v>102675</v>
      </c>
      <c r="H18" s="31"/>
      <c r="J18" s="100" t="e">
        <f>#REF!+C10+158.4</f>
        <v>#REF!</v>
      </c>
    </row>
    <row r="19" spans="1:10" ht="18.75" hidden="1" customHeight="1">
      <c r="A19" s="24">
        <v>41354</v>
      </c>
      <c r="B19" s="31" t="s">
        <v>30</v>
      </c>
      <c r="C19" s="26">
        <f>5620-281</f>
        <v>5339</v>
      </c>
      <c r="D19" s="27">
        <v>55</v>
      </c>
      <c r="E19" s="27">
        <f t="shared" si="0"/>
        <v>293645</v>
      </c>
      <c r="F19" s="29"/>
      <c r="G19" s="27">
        <f t="shared" si="1"/>
        <v>396320</v>
      </c>
      <c r="H19" s="31" t="s">
        <v>90</v>
      </c>
    </row>
    <row r="20" spans="1:10" ht="18.75" hidden="1" customHeight="1">
      <c r="A20" s="24"/>
      <c r="B20" s="25" t="s">
        <v>22</v>
      </c>
      <c r="C20" s="26"/>
      <c r="D20" s="27"/>
      <c r="E20" s="27">
        <f t="shared" si="0"/>
        <v>0</v>
      </c>
      <c r="F20" s="29">
        <v>11500</v>
      </c>
      <c r="G20" s="27">
        <f t="shared" si="1"/>
        <v>384820</v>
      </c>
      <c r="H20" s="30">
        <v>41354</v>
      </c>
      <c r="J20" s="100">
        <f>C19/20</f>
        <v>266.95</v>
      </c>
    </row>
    <row r="21" spans="1:10" ht="18.75" hidden="1" customHeight="1">
      <c r="A21" s="24"/>
      <c r="B21" s="25" t="s">
        <v>17</v>
      </c>
      <c r="C21" s="26"/>
      <c r="D21" s="27"/>
      <c r="E21" s="27">
        <f>C21*D21</f>
        <v>0</v>
      </c>
      <c r="F21" s="29">
        <v>184820</v>
      </c>
      <c r="G21" s="27">
        <f>IF(B21&lt;&gt;"",G20+E21-F21,0)</f>
        <v>200000</v>
      </c>
      <c r="H21" s="30">
        <v>41355</v>
      </c>
    </row>
    <row r="22" spans="1:10" ht="18.75" hidden="1" customHeight="1">
      <c r="A22" s="24"/>
      <c r="B22" s="25" t="s">
        <v>17</v>
      </c>
      <c r="C22" s="26"/>
      <c r="D22" s="27"/>
      <c r="E22" s="27">
        <f>C22*D22</f>
        <v>0</v>
      </c>
      <c r="F22" s="29">
        <v>200000</v>
      </c>
      <c r="G22" s="27">
        <f>IF(B22&lt;&gt;"",G21+E22-F22,0)</f>
        <v>0</v>
      </c>
      <c r="H22" s="30">
        <v>41360</v>
      </c>
    </row>
    <row r="23" spans="1:10" ht="18.75" hidden="1" customHeight="1">
      <c r="A23" s="235"/>
      <c r="B23" s="236"/>
      <c r="C23" s="236"/>
      <c r="D23" s="236"/>
      <c r="E23" s="236"/>
      <c r="F23" s="236"/>
      <c r="G23" s="236"/>
      <c r="H23" s="237"/>
    </row>
    <row r="24" spans="1:10" ht="18.75" hidden="1" customHeight="1">
      <c r="A24" s="24">
        <v>41522</v>
      </c>
      <c r="B24" s="31" t="s">
        <v>110</v>
      </c>
      <c r="C24" s="26">
        <v>9759.5</v>
      </c>
      <c r="D24" s="27">
        <v>70</v>
      </c>
      <c r="E24" s="27">
        <f>C24*D24</f>
        <v>683165</v>
      </c>
      <c r="F24" s="29"/>
      <c r="G24" s="27">
        <f>IF(B24&lt;&gt;"",G22+E24-F24,0)+G11</f>
        <v>836535</v>
      </c>
      <c r="H24" s="31"/>
    </row>
    <row r="25" spans="1:10" ht="18.75" hidden="1" customHeight="1">
      <c r="A25" s="24"/>
      <c r="B25" s="25" t="s">
        <v>17</v>
      </c>
      <c r="C25" s="26"/>
      <c r="D25" s="27"/>
      <c r="E25" s="27">
        <f>C25*D25</f>
        <v>0</v>
      </c>
      <c r="F25" s="29">
        <v>400000</v>
      </c>
      <c r="G25" s="27">
        <f>IF(B25&lt;&gt;"",G24+E25-F25,0)</f>
        <v>436535</v>
      </c>
      <c r="H25" s="30">
        <v>41403</v>
      </c>
    </row>
    <row r="26" spans="1:10" ht="18.75" hidden="1" customHeight="1">
      <c r="A26" s="24"/>
      <c r="B26" s="16" t="s">
        <v>119</v>
      </c>
      <c r="C26" s="26"/>
      <c r="D26" s="27"/>
      <c r="E26" s="27">
        <v>40000</v>
      </c>
      <c r="F26" s="29"/>
      <c r="G26" s="27">
        <f>IF(B26&lt;&gt;"",G25+E26-F26,0)</f>
        <v>476535</v>
      </c>
      <c r="H26" s="30"/>
    </row>
    <row r="27" spans="1:10" ht="18.75" hidden="1" customHeight="1">
      <c r="A27" s="24"/>
      <c r="B27" s="25" t="s">
        <v>17</v>
      </c>
      <c r="C27" s="26"/>
      <c r="D27" s="27"/>
      <c r="E27" s="27">
        <f>C27*D27</f>
        <v>0</v>
      </c>
      <c r="F27" s="29">
        <v>300000</v>
      </c>
      <c r="G27" s="27">
        <f>IF(B27&lt;&gt;"",G26+E27-F27,0)</f>
        <v>176535</v>
      </c>
      <c r="H27" s="30">
        <v>41423</v>
      </c>
    </row>
    <row r="28" spans="1:10" ht="18.75" hidden="1" customHeight="1">
      <c r="A28" s="24"/>
      <c r="B28" s="25" t="s">
        <v>17</v>
      </c>
      <c r="C28" s="26"/>
      <c r="D28" s="27"/>
      <c r="E28" s="27">
        <f>C28*D28</f>
        <v>0</v>
      </c>
      <c r="F28" s="29">
        <v>100000</v>
      </c>
      <c r="G28" s="27">
        <f>IF(B28&lt;&gt;"",G27+E28-F28,0)</f>
        <v>76535</v>
      </c>
      <c r="H28" s="30">
        <v>41524</v>
      </c>
    </row>
    <row r="29" spans="1:10" ht="18.75" hidden="1" customHeight="1">
      <c r="A29" s="24"/>
      <c r="B29" s="25" t="s">
        <v>17</v>
      </c>
      <c r="C29" s="26"/>
      <c r="D29" s="27"/>
      <c r="E29" s="27">
        <f>C29*D29</f>
        <v>0</v>
      </c>
      <c r="F29" s="29">
        <f>G28</f>
        <v>76535</v>
      </c>
      <c r="G29" s="27">
        <f>IF(B29&lt;&gt;"",G28+E29-F29,0)</f>
        <v>0</v>
      </c>
      <c r="H29" s="30">
        <v>41653</v>
      </c>
    </row>
    <row r="30" spans="1:10" ht="18.75" hidden="1" customHeight="1">
      <c r="A30" s="235"/>
      <c r="B30" s="236"/>
      <c r="C30" s="236"/>
      <c r="D30" s="236"/>
      <c r="E30" s="236"/>
      <c r="F30" s="236"/>
      <c r="G30" s="236"/>
      <c r="H30" s="237"/>
    </row>
    <row r="31" spans="1:10" ht="18.75" hidden="1" customHeight="1">
      <c r="A31" s="24">
        <v>41678</v>
      </c>
      <c r="B31" s="31" t="s">
        <v>124</v>
      </c>
      <c r="C31" s="26">
        <v>9750</v>
      </c>
      <c r="D31" s="27">
        <v>33</v>
      </c>
      <c r="E31" s="27">
        <f>C31*D31</f>
        <v>321750</v>
      </c>
      <c r="F31" s="29"/>
      <c r="G31" s="27">
        <f>IF(B31&lt;&gt;"",G29+E31-F31,0)</f>
        <v>321750</v>
      </c>
      <c r="H31" s="31"/>
    </row>
    <row r="32" spans="1:10" ht="18.75" hidden="1" customHeight="1">
      <c r="A32" s="24">
        <v>41679</v>
      </c>
      <c r="B32" s="31" t="s">
        <v>124</v>
      </c>
      <c r="C32" s="26">
        <v>15522</v>
      </c>
      <c r="D32" s="27">
        <v>33</v>
      </c>
      <c r="E32" s="27">
        <f t="shared" ref="E32:E57" si="2">C32*D32</f>
        <v>512226</v>
      </c>
      <c r="F32" s="29"/>
      <c r="G32" s="27">
        <f t="shared" ref="G32:G57" si="3">IF(B32&lt;&gt;"",G31+E32-F32,0)</f>
        <v>833976</v>
      </c>
      <c r="H32" s="31"/>
    </row>
    <row r="33" spans="1:8" ht="18.75" hidden="1" customHeight="1">
      <c r="A33" s="24"/>
      <c r="B33" s="25" t="s">
        <v>17</v>
      </c>
      <c r="C33" s="26"/>
      <c r="D33" s="27"/>
      <c r="E33" s="27">
        <f>C33*D33</f>
        <v>0</v>
      </c>
      <c r="F33" s="29">
        <v>9000</v>
      </c>
      <c r="G33" s="27">
        <f>IF(B33&lt;&gt;"",G32+E33-F33,0)</f>
        <v>824976</v>
      </c>
      <c r="H33" s="30">
        <v>41681</v>
      </c>
    </row>
    <row r="34" spans="1:8" ht="18.75" hidden="1" customHeight="1">
      <c r="A34" s="24"/>
      <c r="B34" s="25" t="s">
        <v>17</v>
      </c>
      <c r="C34" s="26"/>
      <c r="D34" s="27"/>
      <c r="E34" s="27">
        <f>C34*D34</f>
        <v>0</v>
      </c>
      <c r="F34" s="29">
        <v>300000</v>
      </c>
      <c r="G34" s="27">
        <f>IF(B34&lt;&gt;"",G33+E34-F34,0)</f>
        <v>524976</v>
      </c>
      <c r="H34" s="30">
        <v>41694</v>
      </c>
    </row>
    <row r="35" spans="1:8" ht="18.75" hidden="1" customHeight="1">
      <c r="A35" s="24"/>
      <c r="B35" s="25" t="s">
        <v>17</v>
      </c>
      <c r="C35" s="26"/>
      <c r="D35" s="27"/>
      <c r="E35" s="27">
        <f>C35*D35</f>
        <v>0</v>
      </c>
      <c r="F35" s="29">
        <v>300000</v>
      </c>
      <c r="G35" s="27">
        <f>IF(B35&lt;&gt;"",G34+E35-F35,0)</f>
        <v>224976</v>
      </c>
      <c r="H35" s="30">
        <v>41713</v>
      </c>
    </row>
    <row r="36" spans="1:8" ht="18.75" hidden="1" customHeight="1">
      <c r="A36" s="24"/>
      <c r="B36" s="25" t="s">
        <v>17</v>
      </c>
      <c r="C36" s="26"/>
      <c r="D36" s="27"/>
      <c r="E36" s="27">
        <f>C36*D36</f>
        <v>0</v>
      </c>
      <c r="F36" s="29">
        <f>G35</f>
        <v>224976</v>
      </c>
      <c r="G36" s="27">
        <f>IF(B36&lt;&gt;"",G35+E36-F36,0)</f>
        <v>0</v>
      </c>
      <c r="H36" s="30">
        <v>41774</v>
      </c>
    </row>
    <row r="37" spans="1:8" ht="18.75" hidden="1" customHeight="1">
      <c r="A37" s="24">
        <v>41836</v>
      </c>
      <c r="B37" s="31" t="s">
        <v>124</v>
      </c>
      <c r="C37" s="26">
        <v>3786</v>
      </c>
      <c r="D37" s="27">
        <v>41</v>
      </c>
      <c r="E37" s="27">
        <f t="shared" si="2"/>
        <v>155226</v>
      </c>
      <c r="F37" s="29"/>
      <c r="G37" s="27">
        <f t="shared" si="3"/>
        <v>155226</v>
      </c>
      <c r="H37" s="31"/>
    </row>
    <row r="38" spans="1:8" ht="18.75" hidden="1" customHeight="1">
      <c r="A38" s="24"/>
      <c r="B38" s="31" t="s">
        <v>279</v>
      </c>
      <c r="C38" s="26">
        <v>3518</v>
      </c>
      <c r="D38" s="27">
        <v>52</v>
      </c>
      <c r="E38" s="27">
        <f t="shared" si="2"/>
        <v>182936</v>
      </c>
      <c r="F38" s="29"/>
      <c r="G38" s="27">
        <f t="shared" si="3"/>
        <v>338162</v>
      </c>
      <c r="H38" s="31"/>
    </row>
    <row r="39" spans="1:8" ht="18.75" hidden="1" customHeight="1">
      <c r="A39" s="24"/>
      <c r="B39" s="25" t="s">
        <v>17</v>
      </c>
      <c r="C39" s="26"/>
      <c r="D39" s="27"/>
      <c r="E39" s="27">
        <f>C39*D39</f>
        <v>0</v>
      </c>
      <c r="F39" s="29">
        <v>200000</v>
      </c>
      <c r="G39" s="27">
        <f>IF(B39&lt;&gt;"",G38+E39-F39,0)</f>
        <v>138162</v>
      </c>
      <c r="H39" s="30">
        <v>41837</v>
      </c>
    </row>
    <row r="40" spans="1:8" ht="18.75" hidden="1" customHeight="1">
      <c r="A40" s="24"/>
      <c r="B40" s="25" t="s">
        <v>17</v>
      </c>
      <c r="C40" s="26"/>
      <c r="D40" s="27"/>
      <c r="E40" s="27">
        <f>C40*D40</f>
        <v>0</v>
      </c>
      <c r="F40" s="29">
        <f>G39</f>
        <v>138162</v>
      </c>
      <c r="G40" s="27">
        <f t="shared" si="3"/>
        <v>0</v>
      </c>
      <c r="H40" s="30">
        <v>41893</v>
      </c>
    </row>
    <row r="41" spans="1:8" ht="18.75" hidden="1" customHeight="1">
      <c r="A41" s="235"/>
      <c r="B41" s="236"/>
      <c r="C41" s="236"/>
      <c r="D41" s="236"/>
      <c r="E41" s="236"/>
      <c r="F41" s="236"/>
      <c r="G41" s="236"/>
      <c r="H41" s="237"/>
    </row>
    <row r="42" spans="1:8" ht="18.75" customHeight="1">
      <c r="A42" s="24">
        <v>42032</v>
      </c>
      <c r="B42" s="31" t="s">
        <v>279</v>
      </c>
      <c r="C42" s="26">
        <v>7845</v>
      </c>
      <c r="D42" s="27">
        <v>46</v>
      </c>
      <c r="E42" s="27">
        <f t="shared" si="2"/>
        <v>360870</v>
      </c>
      <c r="F42" s="29"/>
      <c r="G42" s="27">
        <f>IF(B42&lt;&gt;"",G40+E42-F42,0)</f>
        <v>360870</v>
      </c>
      <c r="H42" s="30"/>
    </row>
    <row r="43" spans="1:8" ht="18.75" customHeight="1">
      <c r="A43" s="24"/>
      <c r="B43" s="31" t="s">
        <v>17</v>
      </c>
      <c r="C43" s="26"/>
      <c r="D43" s="27"/>
      <c r="E43" s="27">
        <f t="shared" si="2"/>
        <v>0</v>
      </c>
      <c r="F43" s="29">
        <v>200000</v>
      </c>
      <c r="G43" s="27">
        <f t="shared" si="3"/>
        <v>160870</v>
      </c>
      <c r="H43" s="30">
        <v>42035</v>
      </c>
    </row>
    <row r="44" spans="1:8" ht="18.75" customHeight="1">
      <c r="A44" s="24">
        <v>42034</v>
      </c>
      <c r="B44" s="31" t="s">
        <v>279</v>
      </c>
      <c r="C44" s="26">
        <v>3270</v>
      </c>
      <c r="D44" s="27">
        <v>46</v>
      </c>
      <c r="E44" s="27">
        <f t="shared" si="2"/>
        <v>150420</v>
      </c>
      <c r="F44" s="29"/>
      <c r="G44" s="27">
        <f t="shared" si="3"/>
        <v>311290</v>
      </c>
      <c r="H44" s="30"/>
    </row>
    <row r="45" spans="1:8" ht="18.75" customHeight="1">
      <c r="A45" s="24"/>
      <c r="B45" s="31" t="s">
        <v>17</v>
      </c>
      <c r="C45" s="26"/>
      <c r="D45" s="27"/>
      <c r="E45" s="27">
        <f t="shared" si="2"/>
        <v>0</v>
      </c>
      <c r="F45" s="29">
        <v>200000</v>
      </c>
      <c r="G45" s="27">
        <f t="shared" si="3"/>
        <v>111290</v>
      </c>
      <c r="H45" s="30">
        <v>42049</v>
      </c>
    </row>
    <row r="46" spans="1:8" ht="18.75" customHeight="1">
      <c r="A46" s="24"/>
      <c r="B46" s="31" t="s">
        <v>17</v>
      </c>
      <c r="C46" s="26"/>
      <c r="D46" s="27"/>
      <c r="E46" s="27">
        <f t="shared" si="2"/>
        <v>0</v>
      </c>
      <c r="F46" s="29">
        <f>G45</f>
        <v>111290</v>
      </c>
      <c r="G46" s="27">
        <f t="shared" si="3"/>
        <v>0</v>
      </c>
      <c r="H46" s="30">
        <v>42060</v>
      </c>
    </row>
    <row r="47" spans="1:8" ht="18.75" customHeight="1">
      <c r="A47" s="24">
        <v>42059</v>
      </c>
      <c r="B47" s="31" t="s">
        <v>124</v>
      </c>
      <c r="C47" s="26">
        <v>7202</v>
      </c>
      <c r="D47" s="27">
        <v>40</v>
      </c>
      <c r="E47" s="27">
        <f t="shared" si="2"/>
        <v>288080</v>
      </c>
      <c r="F47" s="29"/>
      <c r="G47" s="27">
        <f t="shared" si="3"/>
        <v>288080</v>
      </c>
      <c r="H47" s="30"/>
    </row>
    <row r="48" spans="1:8" ht="18.75" customHeight="1">
      <c r="A48" s="24">
        <v>42087</v>
      </c>
      <c r="B48" s="31" t="s">
        <v>124</v>
      </c>
      <c r="C48" s="26">
        <v>13660</v>
      </c>
      <c r="D48" s="27">
        <v>45</v>
      </c>
      <c r="E48" s="27">
        <f t="shared" si="2"/>
        <v>614700</v>
      </c>
      <c r="F48" s="29"/>
      <c r="G48" s="27">
        <f t="shared" si="3"/>
        <v>902780</v>
      </c>
      <c r="H48" s="30"/>
    </row>
    <row r="49" spans="1:8" ht="18.75" customHeight="1">
      <c r="A49" s="24"/>
      <c r="B49" s="31" t="s">
        <v>17</v>
      </c>
      <c r="C49" s="26"/>
      <c r="D49" s="27"/>
      <c r="E49" s="27">
        <f t="shared" si="2"/>
        <v>0</v>
      </c>
      <c r="F49" s="29">
        <v>100000</v>
      </c>
      <c r="G49" s="27">
        <f t="shared" si="3"/>
        <v>802780</v>
      </c>
      <c r="H49" s="30">
        <v>42074</v>
      </c>
    </row>
    <row r="50" spans="1:8" ht="18.75" customHeight="1">
      <c r="A50" s="24"/>
      <c r="B50" s="31" t="s">
        <v>17</v>
      </c>
      <c r="C50" s="26"/>
      <c r="D50" s="27"/>
      <c r="E50" s="27">
        <f t="shared" si="2"/>
        <v>0</v>
      </c>
      <c r="F50" s="29">
        <v>200000</v>
      </c>
      <c r="G50" s="27">
        <f t="shared" si="3"/>
        <v>602780</v>
      </c>
      <c r="H50" s="30">
        <v>42084</v>
      </c>
    </row>
    <row r="51" spans="1:8" ht="18.75" customHeight="1">
      <c r="A51" s="24"/>
      <c r="B51" s="31" t="s">
        <v>17</v>
      </c>
      <c r="C51" s="26"/>
      <c r="D51" s="27"/>
      <c r="E51" s="27">
        <f t="shared" si="2"/>
        <v>0</v>
      </c>
      <c r="F51" s="29">
        <v>150000</v>
      </c>
      <c r="G51" s="27">
        <f t="shared" si="3"/>
        <v>452780</v>
      </c>
      <c r="H51" s="30">
        <v>42087</v>
      </c>
    </row>
    <row r="52" spans="1:8" ht="18.75" customHeight="1">
      <c r="A52" s="24"/>
      <c r="B52" s="31" t="s">
        <v>17</v>
      </c>
      <c r="C52" s="26"/>
      <c r="D52" s="27"/>
      <c r="E52" s="27">
        <f t="shared" si="2"/>
        <v>0</v>
      </c>
      <c r="F52" s="29">
        <v>200000</v>
      </c>
      <c r="G52" s="27">
        <f t="shared" si="3"/>
        <v>252780</v>
      </c>
      <c r="H52" s="30">
        <v>42159</v>
      </c>
    </row>
    <row r="53" spans="1:8" ht="18.75" customHeight="1">
      <c r="A53" s="24"/>
      <c r="B53" s="31" t="s">
        <v>22</v>
      </c>
      <c r="C53" s="26"/>
      <c r="D53" s="27"/>
      <c r="E53" s="27">
        <f t="shared" si="2"/>
        <v>0</v>
      </c>
      <c r="F53" s="29">
        <v>17780</v>
      </c>
      <c r="G53" s="27">
        <f t="shared" si="3"/>
        <v>235000</v>
      </c>
      <c r="H53" s="30">
        <v>42087</v>
      </c>
    </row>
    <row r="54" spans="1:8" ht="18.75" customHeight="1">
      <c r="A54" s="24"/>
      <c r="B54" s="31" t="s">
        <v>17</v>
      </c>
      <c r="C54" s="26"/>
      <c r="D54" s="27"/>
      <c r="E54" s="27">
        <f t="shared" si="2"/>
        <v>0</v>
      </c>
      <c r="F54" s="29">
        <f>G53</f>
        <v>235000</v>
      </c>
      <c r="G54" s="27">
        <f t="shared" si="3"/>
        <v>0</v>
      </c>
      <c r="H54" s="30">
        <v>42213</v>
      </c>
    </row>
    <row r="55" spans="1:8" ht="18.75" customHeight="1">
      <c r="A55" s="24">
        <v>42199</v>
      </c>
      <c r="B55" s="31" t="s">
        <v>124</v>
      </c>
      <c r="C55" s="26">
        <v>8424</v>
      </c>
      <c r="D55" s="27">
        <v>44</v>
      </c>
      <c r="E55" s="27">
        <f t="shared" si="2"/>
        <v>370656</v>
      </c>
      <c r="F55" s="29"/>
      <c r="G55" s="27">
        <f>IF(B55&lt;&gt;"",G54+E55-F55,0)</f>
        <v>370656</v>
      </c>
      <c r="H55" s="30"/>
    </row>
    <row r="56" spans="1:8" ht="18.75" customHeight="1">
      <c r="A56" s="24">
        <v>42209</v>
      </c>
      <c r="B56" s="31" t="s">
        <v>206</v>
      </c>
      <c r="C56" s="26">
        <v>10374</v>
      </c>
      <c r="D56" s="27">
        <v>60</v>
      </c>
      <c r="E56" s="27">
        <f t="shared" si="2"/>
        <v>622440</v>
      </c>
      <c r="F56" s="29"/>
      <c r="G56" s="27">
        <f t="shared" si="3"/>
        <v>993096</v>
      </c>
      <c r="H56" s="30"/>
    </row>
    <row r="57" spans="1:8" ht="18.75" customHeight="1">
      <c r="A57" s="24">
        <v>42218</v>
      </c>
      <c r="B57" s="31" t="s">
        <v>206</v>
      </c>
      <c r="C57" s="26">
        <v>7420</v>
      </c>
      <c r="D57" s="27">
        <v>60</v>
      </c>
      <c r="E57" s="27">
        <f t="shared" si="2"/>
        <v>445200</v>
      </c>
      <c r="F57" s="29"/>
      <c r="G57" s="27">
        <f t="shared" si="3"/>
        <v>1438296</v>
      </c>
      <c r="H57" s="30"/>
    </row>
    <row r="58" spans="1:8" ht="18.75" customHeight="1">
      <c r="A58" s="24">
        <v>42220</v>
      </c>
      <c r="B58" s="31" t="s">
        <v>206</v>
      </c>
      <c r="C58" s="26">
        <v>4536</v>
      </c>
      <c r="D58" s="27">
        <v>60</v>
      </c>
      <c r="E58" s="27">
        <f t="shared" ref="E58:E78" si="4">C58*D58</f>
        <v>272160</v>
      </c>
      <c r="F58" s="29"/>
      <c r="G58" s="27">
        <f t="shared" ref="G58:G78" si="5">IF(B58&lt;&gt;"",G57+E58-F58,0)</f>
        <v>1710456</v>
      </c>
      <c r="H58" s="30"/>
    </row>
    <row r="59" spans="1:8" ht="18.75" customHeight="1">
      <c r="A59" s="24"/>
      <c r="B59" s="31" t="s">
        <v>380</v>
      </c>
      <c r="C59" s="26">
        <v>3090</v>
      </c>
      <c r="D59" s="27">
        <v>55</v>
      </c>
      <c r="E59" s="27">
        <f t="shared" si="4"/>
        <v>169950</v>
      </c>
      <c r="F59" s="29"/>
      <c r="G59" s="27">
        <f t="shared" si="5"/>
        <v>1880406</v>
      </c>
      <c r="H59" s="30"/>
    </row>
    <row r="60" spans="1:8" ht="18.75" customHeight="1">
      <c r="A60" s="24">
        <v>42222</v>
      </c>
      <c r="B60" s="31" t="s">
        <v>380</v>
      </c>
      <c r="C60" s="26">
        <v>2700</v>
      </c>
      <c r="D60" s="27">
        <v>55</v>
      </c>
      <c r="E60" s="27">
        <f t="shared" si="4"/>
        <v>148500</v>
      </c>
      <c r="F60" s="29"/>
      <c r="G60" s="27">
        <f t="shared" si="5"/>
        <v>2028906</v>
      </c>
      <c r="H60" s="30"/>
    </row>
    <row r="61" spans="1:8" ht="18.75" customHeight="1">
      <c r="A61" s="24"/>
      <c r="B61" s="31" t="s">
        <v>381</v>
      </c>
      <c r="C61" s="26">
        <v>525</v>
      </c>
      <c r="D61" s="27">
        <v>45</v>
      </c>
      <c r="E61" s="27">
        <f t="shared" si="4"/>
        <v>23625</v>
      </c>
      <c r="F61" s="29"/>
      <c r="G61" s="27">
        <f t="shared" si="5"/>
        <v>2052531</v>
      </c>
      <c r="H61" s="30"/>
    </row>
    <row r="62" spans="1:8" ht="18.75" customHeight="1">
      <c r="A62" s="24"/>
      <c r="B62" s="31" t="s">
        <v>17</v>
      </c>
      <c r="C62" s="26"/>
      <c r="D62" s="27"/>
      <c r="E62" s="27">
        <f t="shared" si="4"/>
        <v>0</v>
      </c>
      <c r="F62" s="29">
        <v>400000</v>
      </c>
      <c r="G62" s="27">
        <f t="shared" si="5"/>
        <v>1652531</v>
      </c>
      <c r="H62" s="30">
        <v>42235</v>
      </c>
    </row>
    <row r="63" spans="1:8" ht="18.75" customHeight="1">
      <c r="A63" s="24">
        <v>42314</v>
      </c>
      <c r="B63" s="31" t="s">
        <v>206</v>
      </c>
      <c r="C63" s="26">
        <v>7410</v>
      </c>
      <c r="D63" s="27">
        <v>59.5</v>
      </c>
      <c r="E63" s="27">
        <f t="shared" si="4"/>
        <v>440895</v>
      </c>
      <c r="F63" s="29"/>
      <c r="G63" s="27">
        <f t="shared" si="5"/>
        <v>2093426</v>
      </c>
      <c r="H63" s="30"/>
    </row>
    <row r="64" spans="1:8" ht="18.75" customHeight="1">
      <c r="A64" s="24"/>
      <c r="B64" s="31"/>
      <c r="C64" s="26"/>
      <c r="D64" s="27"/>
      <c r="E64" s="27">
        <f t="shared" ref="E64:E77" si="6">C64*D64</f>
        <v>0</v>
      </c>
      <c r="F64" s="29"/>
      <c r="G64" s="27">
        <f t="shared" ref="G64:G77" si="7">IF(B64&lt;&gt;"",G63+E64-F64,0)</f>
        <v>0</v>
      </c>
      <c r="H64" s="30"/>
    </row>
    <row r="65" spans="1:8" ht="18.75" customHeight="1">
      <c r="A65" s="24"/>
      <c r="B65" s="31"/>
      <c r="C65" s="26"/>
      <c r="D65" s="27"/>
      <c r="E65" s="27">
        <f t="shared" si="6"/>
        <v>0</v>
      </c>
      <c r="F65" s="29"/>
      <c r="G65" s="27">
        <f t="shared" si="7"/>
        <v>0</v>
      </c>
      <c r="H65" s="30"/>
    </row>
    <row r="66" spans="1:8" ht="18.75" customHeight="1">
      <c r="A66" s="24"/>
      <c r="B66" s="31"/>
      <c r="C66" s="26"/>
      <c r="D66" s="27"/>
      <c r="E66" s="27">
        <f t="shared" si="6"/>
        <v>0</v>
      </c>
      <c r="F66" s="29"/>
      <c r="G66" s="27">
        <f t="shared" si="7"/>
        <v>0</v>
      </c>
      <c r="H66" s="30"/>
    </row>
    <row r="67" spans="1:8" ht="18.75" customHeight="1">
      <c r="A67" s="24"/>
      <c r="B67" s="31"/>
      <c r="C67" s="26"/>
      <c r="D67" s="27"/>
      <c r="E67" s="27">
        <f t="shared" si="6"/>
        <v>0</v>
      </c>
      <c r="F67" s="29"/>
      <c r="G67" s="27">
        <f t="shared" si="7"/>
        <v>0</v>
      </c>
      <c r="H67" s="30"/>
    </row>
    <row r="68" spans="1:8" ht="18.75" customHeight="1">
      <c r="A68" s="24"/>
      <c r="B68" s="31"/>
      <c r="C68" s="26"/>
      <c r="D68" s="27"/>
      <c r="E68" s="27">
        <f t="shared" si="6"/>
        <v>0</v>
      </c>
      <c r="F68" s="29"/>
      <c r="G68" s="27">
        <f t="shared" si="7"/>
        <v>0</v>
      </c>
      <c r="H68" s="30"/>
    </row>
    <row r="69" spans="1:8" ht="18.75" customHeight="1">
      <c r="A69" s="24"/>
      <c r="B69" s="31"/>
      <c r="C69" s="26"/>
      <c r="D69" s="27"/>
      <c r="E69" s="27">
        <f t="shared" si="6"/>
        <v>0</v>
      </c>
      <c r="F69" s="29"/>
      <c r="G69" s="27">
        <f t="shared" si="7"/>
        <v>0</v>
      </c>
      <c r="H69" s="30"/>
    </row>
    <row r="70" spans="1:8" ht="18.75" customHeight="1">
      <c r="A70" s="24"/>
      <c r="B70" s="31"/>
      <c r="C70" s="26"/>
      <c r="D70" s="27"/>
      <c r="E70" s="27">
        <f t="shared" si="6"/>
        <v>0</v>
      </c>
      <c r="F70" s="29"/>
      <c r="G70" s="27">
        <f t="shared" si="7"/>
        <v>0</v>
      </c>
      <c r="H70" s="30"/>
    </row>
    <row r="71" spans="1:8" ht="18.75" customHeight="1">
      <c r="A71" s="24"/>
      <c r="B71" s="31"/>
      <c r="C71" s="26"/>
      <c r="D71" s="27"/>
      <c r="E71" s="27">
        <f t="shared" si="6"/>
        <v>0</v>
      </c>
      <c r="F71" s="29"/>
      <c r="G71" s="27">
        <f t="shared" si="7"/>
        <v>0</v>
      </c>
      <c r="H71" s="30"/>
    </row>
    <row r="72" spans="1:8" ht="18.75" customHeight="1">
      <c r="A72" s="24"/>
      <c r="B72" s="31"/>
      <c r="C72" s="26"/>
      <c r="D72" s="27"/>
      <c r="E72" s="27">
        <f t="shared" si="6"/>
        <v>0</v>
      </c>
      <c r="F72" s="29"/>
      <c r="G72" s="27">
        <f t="shared" si="7"/>
        <v>0</v>
      </c>
      <c r="H72" s="30"/>
    </row>
    <row r="73" spans="1:8" ht="18.75" customHeight="1">
      <c r="A73" s="24"/>
      <c r="B73" s="31"/>
      <c r="C73" s="26"/>
      <c r="D73" s="27"/>
      <c r="E73" s="27">
        <f t="shared" si="6"/>
        <v>0</v>
      </c>
      <c r="F73" s="29"/>
      <c r="G73" s="27">
        <f t="shared" si="7"/>
        <v>0</v>
      </c>
      <c r="H73" s="30"/>
    </row>
    <row r="74" spans="1:8" ht="18.75" customHeight="1">
      <c r="A74" s="24"/>
      <c r="B74" s="31"/>
      <c r="C74" s="26"/>
      <c r="D74" s="27"/>
      <c r="E74" s="27">
        <f t="shared" si="6"/>
        <v>0</v>
      </c>
      <c r="F74" s="29"/>
      <c r="G74" s="27">
        <f t="shared" si="7"/>
        <v>0</v>
      </c>
      <c r="H74" s="30"/>
    </row>
    <row r="75" spans="1:8" ht="18.75" customHeight="1">
      <c r="A75" s="24"/>
      <c r="B75" s="31"/>
      <c r="C75" s="26"/>
      <c r="D75" s="27"/>
      <c r="E75" s="27">
        <f t="shared" si="6"/>
        <v>0</v>
      </c>
      <c r="F75" s="29"/>
      <c r="G75" s="27">
        <f t="shared" si="7"/>
        <v>0</v>
      </c>
      <c r="H75" s="30"/>
    </row>
    <row r="76" spans="1:8" ht="18.75" customHeight="1">
      <c r="A76" s="24"/>
      <c r="B76" s="31"/>
      <c r="C76" s="26"/>
      <c r="D76" s="27"/>
      <c r="E76" s="27">
        <f t="shared" si="6"/>
        <v>0</v>
      </c>
      <c r="F76" s="29"/>
      <c r="G76" s="27">
        <f t="shared" si="7"/>
        <v>0</v>
      </c>
      <c r="H76" s="30"/>
    </row>
    <row r="77" spans="1:8" ht="18.75" customHeight="1">
      <c r="A77" s="24"/>
      <c r="B77" s="31"/>
      <c r="C77" s="26"/>
      <c r="D77" s="27"/>
      <c r="E77" s="27">
        <f t="shared" si="6"/>
        <v>0</v>
      </c>
      <c r="F77" s="29"/>
      <c r="G77" s="27">
        <f t="shared" si="7"/>
        <v>0</v>
      </c>
      <c r="H77" s="30"/>
    </row>
    <row r="78" spans="1:8" ht="18.75" customHeight="1">
      <c r="A78" s="24"/>
      <c r="B78" s="31"/>
      <c r="C78" s="26"/>
      <c r="D78" s="27"/>
      <c r="E78" s="27">
        <f t="shared" si="4"/>
        <v>0</v>
      </c>
      <c r="F78" s="29"/>
      <c r="G78" s="27">
        <f t="shared" si="5"/>
        <v>0</v>
      </c>
      <c r="H78" s="30"/>
    </row>
    <row r="79" spans="1:8" ht="18.75" customHeight="1">
      <c r="A79" s="24"/>
      <c r="B79" s="31"/>
      <c r="C79" s="26"/>
      <c r="D79" s="27"/>
      <c r="E79" s="27">
        <f>C79*D79</f>
        <v>0</v>
      </c>
      <c r="F79" s="29"/>
      <c r="G79" s="27">
        <f>IF(B79&lt;&gt;"",G78+E79-F79,0)</f>
        <v>0</v>
      </c>
      <c r="H79" s="30"/>
    </row>
    <row r="80" spans="1:8" s="37" customFormat="1" ht="21.75" customHeight="1">
      <c r="A80" s="226" t="s">
        <v>14</v>
      </c>
      <c r="B80" s="226"/>
      <c r="C80" s="226"/>
      <c r="D80" s="226"/>
      <c r="E80" s="68">
        <f>SUM(E10:E79)</f>
        <v>6859489</v>
      </c>
      <c r="F80" s="68">
        <f>SUM(F10:F79)</f>
        <v>4766063</v>
      </c>
      <c r="G80" s="82">
        <f>E80-F80</f>
        <v>2093426</v>
      </c>
      <c r="H80" s="69"/>
    </row>
    <row r="81" spans="6:7" ht="21.75" customHeight="1">
      <c r="F81" s="11"/>
      <c r="G81" s="7"/>
    </row>
  </sheetData>
  <autoFilter ref="A9:H9"/>
  <mergeCells count="14">
    <mergeCell ref="A80:D80"/>
    <mergeCell ref="C7:D7"/>
    <mergeCell ref="A7:B7"/>
    <mergeCell ref="C8:D8"/>
    <mergeCell ref="A30:H30"/>
    <mergeCell ref="H10:H11"/>
    <mergeCell ref="A13:H13"/>
    <mergeCell ref="A23:H23"/>
    <mergeCell ref="A41:H41"/>
    <mergeCell ref="A5:H5"/>
    <mergeCell ref="A1:D1"/>
    <mergeCell ref="A2:E2"/>
    <mergeCell ref="A3:B3"/>
    <mergeCell ref="C3:E3"/>
  </mergeCells>
  <phoneticPr fontId="5" type="noConversion"/>
  <pageMargins left="0.54" right="0.26" top="0.32" bottom="0.74" header="0.23" footer="0.17"/>
  <pageSetup paperSize="9" scale="8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D16" sqref="D16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27" t="s">
        <v>38</v>
      </c>
      <c r="B1" s="227"/>
      <c r="C1" s="227"/>
      <c r="D1" s="227"/>
      <c r="F1" s="61"/>
      <c r="G1" s="62"/>
    </row>
    <row r="2" spans="1:8" s="60" customFormat="1" ht="18.75" customHeight="1">
      <c r="A2" s="227" t="s">
        <v>37</v>
      </c>
      <c r="B2" s="227"/>
      <c r="C2" s="227"/>
      <c r="D2" s="227"/>
      <c r="E2" s="227"/>
      <c r="F2" s="61"/>
      <c r="G2" s="62"/>
    </row>
    <row r="3" spans="1:8" s="60" customFormat="1" ht="18.75" customHeight="1">
      <c r="A3" s="227" t="s">
        <v>40</v>
      </c>
      <c r="B3" s="227"/>
      <c r="C3" s="227" t="s">
        <v>41</v>
      </c>
      <c r="D3" s="227"/>
      <c r="E3" s="227"/>
      <c r="F3" s="61"/>
      <c r="G3" s="62"/>
    </row>
    <row r="4" spans="1:8" ht="9.75" customHeight="1"/>
    <row r="5" spans="1:8" s="63" customFormat="1" ht="29.25" customHeight="1">
      <c r="A5" s="228" t="s">
        <v>48</v>
      </c>
      <c r="B5" s="228"/>
      <c r="C5" s="228"/>
      <c r="D5" s="228"/>
      <c r="E5" s="228"/>
      <c r="F5" s="228"/>
      <c r="G5" s="228"/>
      <c r="H5" s="228"/>
    </row>
    <row r="6" spans="1:8" ht="9.75" customHeight="1"/>
    <row r="7" spans="1:8" ht="21.75" customHeight="1">
      <c r="A7" s="231" t="s">
        <v>391</v>
      </c>
      <c r="B7" s="231"/>
      <c r="C7" s="257" t="s">
        <v>28</v>
      </c>
      <c r="D7" s="257"/>
    </row>
    <row r="8" spans="1:8" s="55" customFormat="1" ht="15.75" customHeight="1">
      <c r="C8" s="258"/>
      <c r="D8" s="259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customHeight="1">
      <c r="A10" s="24">
        <v>42174</v>
      </c>
      <c r="B10" s="31" t="s">
        <v>392</v>
      </c>
      <c r="C10" s="26">
        <v>2120</v>
      </c>
      <c r="D10" s="27">
        <v>37</v>
      </c>
      <c r="E10" s="27">
        <f>C10*D10</f>
        <v>78440</v>
      </c>
      <c r="F10" s="29"/>
      <c r="G10" s="27">
        <f>E10-F10</f>
        <v>78440</v>
      </c>
      <c r="H10" s="31"/>
    </row>
    <row r="11" spans="1:8" ht="18.75" customHeight="1">
      <c r="A11" s="24">
        <v>42206</v>
      </c>
      <c r="B11" s="31" t="s">
        <v>393</v>
      </c>
      <c r="C11" s="26">
        <v>278</v>
      </c>
      <c r="D11" s="27">
        <v>37</v>
      </c>
      <c r="E11" s="27">
        <f t="shared" ref="E11:E24" si="0">C11*D11</f>
        <v>10286</v>
      </c>
      <c r="F11" s="29"/>
      <c r="G11" s="27">
        <f>IF(B11&lt;&gt;"",G10+E11-F11,0)</f>
        <v>88726</v>
      </c>
      <c r="H11" s="30"/>
    </row>
    <row r="12" spans="1:8" ht="18.75" customHeight="1">
      <c r="A12" s="24">
        <v>42213</v>
      </c>
      <c r="B12" s="31" t="s">
        <v>394</v>
      </c>
      <c r="C12" s="26">
        <v>1250</v>
      </c>
      <c r="D12" s="27">
        <v>37</v>
      </c>
      <c r="E12" s="27">
        <f t="shared" si="0"/>
        <v>46250</v>
      </c>
      <c r="F12" s="29"/>
      <c r="G12" s="27">
        <f t="shared" ref="G12:G26" si="1">IF(B12&lt;&gt;"",G11+E12-F12,0)</f>
        <v>134976</v>
      </c>
      <c r="H12" s="30"/>
    </row>
    <row r="13" spans="1:8" ht="18.75" customHeight="1">
      <c r="A13" s="24"/>
      <c r="B13" s="31" t="s">
        <v>395</v>
      </c>
      <c r="C13" s="26">
        <v>816.5</v>
      </c>
      <c r="D13" s="27">
        <v>37</v>
      </c>
      <c r="E13" s="27">
        <f t="shared" si="0"/>
        <v>30210.5</v>
      </c>
      <c r="F13" s="29"/>
      <c r="G13" s="27">
        <f t="shared" si="1"/>
        <v>165186.5</v>
      </c>
      <c r="H13" s="30"/>
    </row>
    <row r="14" spans="1:8" ht="18.75" customHeight="1">
      <c r="A14" s="24"/>
      <c r="B14" s="31" t="s">
        <v>396</v>
      </c>
      <c r="C14" s="26">
        <v>4.8</v>
      </c>
      <c r="D14" s="27">
        <v>37</v>
      </c>
      <c r="E14" s="27">
        <f t="shared" si="0"/>
        <v>177.6</v>
      </c>
      <c r="F14" s="29"/>
      <c r="G14" s="27">
        <f t="shared" si="1"/>
        <v>165364.1</v>
      </c>
      <c r="H14" s="30"/>
    </row>
    <row r="15" spans="1:8" ht="18.75" customHeight="1">
      <c r="A15" s="24"/>
      <c r="B15" s="31" t="s">
        <v>393</v>
      </c>
      <c r="C15" s="26">
        <v>3.5</v>
      </c>
      <c r="D15" s="27">
        <v>37</v>
      </c>
      <c r="E15" s="27">
        <f t="shared" si="0"/>
        <v>129.5</v>
      </c>
      <c r="F15" s="29"/>
      <c r="G15" s="27">
        <f t="shared" si="1"/>
        <v>165493.6</v>
      </c>
      <c r="H15" s="30"/>
    </row>
    <row r="16" spans="1:8" ht="18.75" customHeight="1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>
      <c r="A27" s="226" t="s">
        <v>14</v>
      </c>
      <c r="B27" s="226"/>
      <c r="C27" s="226"/>
      <c r="D27" s="226"/>
      <c r="E27" s="68">
        <f>SUM(E10:E26)</f>
        <v>165493.6</v>
      </c>
      <c r="F27" s="68">
        <f>SUM(F10:F26)</f>
        <v>0</v>
      </c>
      <c r="G27" s="82">
        <f>E27-F27</f>
        <v>165493.6</v>
      </c>
      <c r="H27" s="199"/>
    </row>
    <row r="28" spans="1:8" ht="21.75" customHeight="1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A22" sqref="A22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27" t="s">
        <v>38</v>
      </c>
      <c r="B1" s="227"/>
      <c r="C1" s="227"/>
      <c r="D1" s="227"/>
      <c r="F1" s="61"/>
      <c r="G1" s="62"/>
    </row>
    <row r="2" spans="1:8" s="60" customFormat="1" ht="18.75" customHeight="1">
      <c r="A2" s="227" t="s">
        <v>37</v>
      </c>
      <c r="B2" s="227"/>
      <c r="C2" s="227"/>
      <c r="D2" s="227"/>
      <c r="E2" s="227"/>
      <c r="F2" s="61"/>
      <c r="G2" s="62"/>
    </row>
    <row r="3" spans="1:8" s="60" customFormat="1" ht="18.75" customHeight="1">
      <c r="A3" s="227" t="s">
        <v>40</v>
      </c>
      <c r="B3" s="227"/>
      <c r="C3" s="227" t="s">
        <v>41</v>
      </c>
      <c r="D3" s="227"/>
      <c r="E3" s="227"/>
      <c r="F3" s="61"/>
      <c r="G3" s="62"/>
    </row>
    <row r="4" spans="1:8" ht="9.75" customHeight="1"/>
    <row r="5" spans="1:8" s="63" customFormat="1" ht="29.25" customHeight="1">
      <c r="A5" s="228" t="s">
        <v>48</v>
      </c>
      <c r="B5" s="228"/>
      <c r="C5" s="228"/>
      <c r="D5" s="228"/>
      <c r="E5" s="228"/>
      <c r="F5" s="228"/>
      <c r="G5" s="228"/>
      <c r="H5" s="228"/>
    </row>
    <row r="6" spans="1:8" ht="9.75" customHeight="1"/>
    <row r="7" spans="1:8" ht="21.75" customHeight="1">
      <c r="A7" s="231" t="s">
        <v>390</v>
      </c>
      <c r="B7" s="231"/>
      <c r="C7" s="257" t="s">
        <v>28</v>
      </c>
      <c r="D7" s="257"/>
    </row>
    <row r="8" spans="1:8" s="55" customFormat="1" ht="15.75" customHeight="1">
      <c r="C8" s="258"/>
      <c r="D8" s="259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customHeight="1">
      <c r="A10" s="24">
        <v>42261</v>
      </c>
      <c r="B10" s="31" t="s">
        <v>264</v>
      </c>
      <c r="C10" s="26">
        <v>693</v>
      </c>
      <c r="D10" s="27">
        <v>7.8</v>
      </c>
      <c r="E10" s="27">
        <f>C10*D10</f>
        <v>5405.4</v>
      </c>
      <c r="F10" s="29"/>
      <c r="G10" s="27">
        <f>E10-F10</f>
        <v>5405.4</v>
      </c>
      <c r="H10" s="31"/>
    </row>
    <row r="11" spans="1:8" ht="18.75" customHeight="1">
      <c r="A11" s="24">
        <v>42272</v>
      </c>
      <c r="B11" s="31" t="s">
        <v>264</v>
      </c>
      <c r="C11" s="26">
        <v>6706</v>
      </c>
      <c r="D11" s="27">
        <v>7.8</v>
      </c>
      <c r="E11" s="27">
        <f t="shared" ref="E11:E24" si="0">C11*D11</f>
        <v>52306.799999999996</v>
      </c>
      <c r="F11" s="29"/>
      <c r="G11" s="27">
        <f>IF(B11&lt;&gt;"",G10+E11-F11,0)</f>
        <v>57712.2</v>
      </c>
      <c r="H11" s="30"/>
    </row>
    <row r="12" spans="1:8" ht="18.75" customHeight="1">
      <c r="A12" s="24"/>
      <c r="B12" s="31" t="s">
        <v>334</v>
      </c>
      <c r="C12" s="26">
        <v>6833</v>
      </c>
      <c r="D12" s="27">
        <v>9.5</v>
      </c>
      <c r="E12" s="27">
        <f t="shared" si="0"/>
        <v>64913.5</v>
      </c>
      <c r="F12" s="29"/>
      <c r="G12" s="27">
        <f t="shared" ref="G12:G26" si="1">IF(B12&lt;&gt;"",G11+E12-F12,0)</f>
        <v>122625.7</v>
      </c>
      <c r="H12" s="30"/>
    </row>
    <row r="13" spans="1:8" ht="18.75" customHeight="1">
      <c r="A13" s="24">
        <v>42277</v>
      </c>
      <c r="B13" s="31" t="s">
        <v>264</v>
      </c>
      <c r="C13" s="26">
        <v>1131</v>
      </c>
      <c r="D13" s="27">
        <v>7.8</v>
      </c>
      <c r="E13" s="27">
        <f t="shared" si="0"/>
        <v>8821.7999999999993</v>
      </c>
      <c r="F13" s="29"/>
      <c r="G13" s="27">
        <f t="shared" si="1"/>
        <v>131447.5</v>
      </c>
      <c r="H13" s="30"/>
    </row>
    <row r="14" spans="1:8" ht="18.75" customHeight="1">
      <c r="A14" s="24"/>
      <c r="B14" s="31" t="s">
        <v>17</v>
      </c>
      <c r="C14" s="26"/>
      <c r="D14" s="27"/>
      <c r="E14" s="27">
        <f t="shared" si="0"/>
        <v>0</v>
      </c>
      <c r="F14" s="29">
        <f>G13</f>
        <v>131447.5</v>
      </c>
      <c r="G14" s="27">
        <f t="shared" si="1"/>
        <v>0</v>
      </c>
      <c r="H14" s="30">
        <v>42284</v>
      </c>
    </row>
    <row r="15" spans="1:8" ht="18.75" customHeight="1">
      <c r="A15" s="24">
        <v>42284</v>
      </c>
      <c r="B15" s="31" t="s">
        <v>334</v>
      </c>
      <c r="C15" s="26">
        <v>5782</v>
      </c>
      <c r="D15" s="27">
        <v>9.5</v>
      </c>
      <c r="E15" s="27">
        <f t="shared" si="0"/>
        <v>54929</v>
      </c>
      <c r="F15" s="29"/>
      <c r="G15" s="27">
        <f t="shared" si="1"/>
        <v>54929</v>
      </c>
      <c r="H15" s="30"/>
    </row>
    <row r="16" spans="1:8" ht="18.75" customHeight="1">
      <c r="A16" s="24">
        <v>42285</v>
      </c>
      <c r="B16" s="31" t="s">
        <v>264</v>
      </c>
      <c r="C16" s="26">
        <v>2170</v>
      </c>
      <c r="D16" s="27">
        <v>7.8</v>
      </c>
      <c r="E16" s="27">
        <f t="shared" si="0"/>
        <v>16926</v>
      </c>
      <c r="F16" s="29"/>
      <c r="G16" s="27">
        <f t="shared" si="1"/>
        <v>71855</v>
      </c>
      <c r="H16" s="30"/>
    </row>
    <row r="17" spans="1:8" ht="18.75" customHeight="1">
      <c r="A17" s="24"/>
      <c r="B17" s="31" t="s">
        <v>334</v>
      </c>
      <c r="C17" s="26">
        <v>2386</v>
      </c>
      <c r="D17" s="27">
        <v>9.5</v>
      </c>
      <c r="E17" s="27">
        <f t="shared" si="0"/>
        <v>22667</v>
      </c>
      <c r="F17" s="29"/>
      <c r="G17" s="27">
        <f t="shared" si="1"/>
        <v>94522</v>
      </c>
      <c r="H17" s="31"/>
    </row>
    <row r="18" spans="1:8" ht="18.75" customHeight="1">
      <c r="A18" s="24">
        <v>42297</v>
      </c>
      <c r="B18" s="31" t="s">
        <v>17</v>
      </c>
      <c r="C18" s="26"/>
      <c r="D18" s="27"/>
      <c r="E18" s="27">
        <f t="shared" si="0"/>
        <v>0</v>
      </c>
      <c r="F18" s="29">
        <f>G17</f>
        <v>94522</v>
      </c>
      <c r="G18" s="27">
        <f t="shared" si="1"/>
        <v>0</v>
      </c>
      <c r="H18" s="31"/>
    </row>
    <row r="19" spans="1:8" ht="18.75" customHeight="1">
      <c r="A19" s="24">
        <v>42315</v>
      </c>
      <c r="B19" s="31" t="s">
        <v>334</v>
      </c>
      <c r="C19" s="26">
        <v>1391</v>
      </c>
      <c r="D19" s="27">
        <v>8</v>
      </c>
      <c r="E19" s="27">
        <f t="shared" si="0"/>
        <v>11128</v>
      </c>
      <c r="F19" s="29"/>
      <c r="G19" s="27">
        <f t="shared" si="1"/>
        <v>11128</v>
      </c>
      <c r="H19" s="30"/>
    </row>
    <row r="20" spans="1:8" ht="18.75" customHeight="1">
      <c r="A20" s="24">
        <v>42318</v>
      </c>
      <c r="B20" s="31" t="s">
        <v>334</v>
      </c>
      <c r="C20" s="26">
        <v>10162</v>
      </c>
      <c r="D20" s="27">
        <v>8.8000000000000007</v>
      </c>
      <c r="E20" s="27">
        <f t="shared" si="0"/>
        <v>89425.600000000006</v>
      </c>
      <c r="F20" s="29"/>
      <c r="G20" s="27">
        <f t="shared" si="1"/>
        <v>100553.60000000001</v>
      </c>
      <c r="H20" s="30"/>
    </row>
    <row r="21" spans="1:8" ht="18.75" customHeight="1">
      <c r="A21" s="24">
        <v>42329</v>
      </c>
      <c r="B21" s="31" t="s">
        <v>17</v>
      </c>
      <c r="C21" s="26"/>
      <c r="D21" s="27"/>
      <c r="E21" s="27">
        <f t="shared" ref="E21" si="2">C21*D21</f>
        <v>0</v>
      </c>
      <c r="F21" s="29">
        <f>G20</f>
        <v>100553.60000000001</v>
      </c>
      <c r="G21" s="27">
        <f t="shared" ref="G21" si="3">IF(B21&lt;&gt;"",G20+E21-F21,0)</f>
        <v>0</v>
      </c>
      <c r="H21" s="31"/>
    </row>
    <row r="22" spans="1:8" ht="18.75" customHeight="1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>
      <c r="A27" s="226" t="s">
        <v>14</v>
      </c>
      <c r="B27" s="226"/>
      <c r="C27" s="226"/>
      <c r="D27" s="226"/>
      <c r="E27" s="68">
        <f>SUM(E10:E26)</f>
        <v>326523.09999999998</v>
      </c>
      <c r="F27" s="68">
        <f>SUM(F10:F26)</f>
        <v>326523.09999999998</v>
      </c>
      <c r="G27" s="82">
        <f>E27-F27</f>
        <v>0</v>
      </c>
      <c r="H27" s="199"/>
    </row>
    <row r="28" spans="1:8" ht="21.75" customHeight="1">
      <c r="F28" s="11"/>
      <c r="G28" s="205"/>
    </row>
  </sheetData>
  <autoFilter ref="A9:H9"/>
  <mergeCells count="9">
    <mergeCell ref="A27:D27"/>
    <mergeCell ref="C8:D8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J221"/>
  <sheetViews>
    <sheetView topLeftCell="A7" workbookViewId="0">
      <pane ySplit="3" topLeftCell="A175" activePane="bottomLeft" state="frozen"/>
      <selection activeCell="D75" sqref="D75"/>
      <selection pane="bottomLeft" activeCell="A191" sqref="A191"/>
    </sheetView>
  </sheetViews>
  <sheetFormatPr defaultRowHeight="21.75" customHeight="1"/>
  <cols>
    <col min="1" max="1" width="9.85546875" style="8" customWidth="1"/>
    <col min="2" max="2" width="17.140625" style="8" customWidth="1"/>
    <col min="3" max="3" width="12.85546875" style="8" customWidth="1"/>
    <col min="4" max="4" width="12" style="78" customWidth="1"/>
    <col min="5" max="5" width="11" style="17" customWidth="1"/>
    <col min="6" max="8" width="14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>
      <c r="A1" s="253" t="s">
        <v>38</v>
      </c>
      <c r="B1" s="253"/>
      <c r="C1" s="253"/>
      <c r="D1" s="253"/>
      <c r="E1" s="253"/>
      <c r="I1" s="162"/>
      <c r="J1" s="162"/>
    </row>
    <row r="2" spans="1:10" s="161" customFormat="1" ht="18.75" customHeight="1">
      <c r="A2" s="253" t="s">
        <v>37</v>
      </c>
      <c r="B2" s="253"/>
      <c r="C2" s="253"/>
      <c r="D2" s="253"/>
      <c r="E2" s="253"/>
      <c r="F2" s="253"/>
      <c r="G2" s="253"/>
      <c r="H2" s="253"/>
      <c r="I2" s="162"/>
      <c r="J2" s="162"/>
    </row>
    <row r="3" spans="1:10" s="161" customFormat="1" ht="18.75" customHeight="1">
      <c r="A3" s="253" t="s">
        <v>40</v>
      </c>
      <c r="B3" s="253"/>
      <c r="C3" s="190"/>
      <c r="D3" s="253" t="s">
        <v>41</v>
      </c>
      <c r="E3" s="253"/>
      <c r="F3" s="253"/>
      <c r="G3" s="190"/>
      <c r="H3" s="186"/>
      <c r="I3" s="162"/>
      <c r="J3" s="162"/>
    </row>
    <row r="4" spans="1:10" ht="9.75" customHeight="1">
      <c r="D4" s="8"/>
      <c r="E4" s="8"/>
      <c r="F4" s="8"/>
      <c r="G4" s="8"/>
      <c r="H4" s="8"/>
      <c r="J4" s="17"/>
    </row>
    <row r="5" spans="1:10" s="163" customFormat="1" ht="29.25" customHeight="1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</row>
    <row r="6" spans="1:10" ht="9.75" customHeight="1">
      <c r="D6" s="8"/>
      <c r="E6" s="8"/>
      <c r="F6" s="8"/>
      <c r="G6" s="8"/>
      <c r="H6" s="8"/>
      <c r="J6" s="17"/>
    </row>
    <row r="7" spans="1:10" ht="21.75" customHeight="1">
      <c r="A7" s="250" t="s">
        <v>306</v>
      </c>
      <c r="B7" s="250"/>
      <c r="C7" s="189"/>
    </row>
    <row r="8" spans="1:10" ht="18.75" hidden="1" customHeight="1">
      <c r="I8" s="10"/>
    </row>
    <row r="9" spans="1:10" s="165" customFormat="1" ht="43.5" customHeight="1">
      <c r="A9" s="71" t="s">
        <v>0</v>
      </c>
      <c r="B9" s="71" t="s">
        <v>1</v>
      </c>
      <c r="C9" s="191" t="s">
        <v>70</v>
      </c>
      <c r="D9" s="73" t="s">
        <v>24</v>
      </c>
      <c r="E9" s="73" t="s">
        <v>35</v>
      </c>
      <c r="F9" s="73" t="s">
        <v>75</v>
      </c>
      <c r="G9" s="73" t="s">
        <v>344</v>
      </c>
      <c r="H9" s="73" t="s">
        <v>15</v>
      </c>
      <c r="I9" s="164" t="s">
        <v>2</v>
      </c>
      <c r="J9" s="191" t="s">
        <v>3</v>
      </c>
    </row>
    <row r="10" spans="1:10" ht="20.25" customHeight="1">
      <c r="A10" s="129">
        <v>42079</v>
      </c>
      <c r="B10" s="58" t="s">
        <v>307</v>
      </c>
      <c r="C10" s="58"/>
      <c r="D10" s="174">
        <v>982.5</v>
      </c>
      <c r="E10" s="175">
        <v>200</v>
      </c>
      <c r="F10" s="175">
        <f>D10*E10</f>
        <v>196500</v>
      </c>
      <c r="G10" s="175"/>
      <c r="H10" s="175"/>
      <c r="I10" s="175">
        <f>F10</f>
        <v>196500</v>
      </c>
      <c r="J10" s="58"/>
    </row>
    <row r="11" spans="1:10" ht="20.25" customHeight="1">
      <c r="A11" s="18"/>
      <c r="B11" s="16" t="s">
        <v>308</v>
      </c>
      <c r="C11" s="18"/>
      <c r="D11" s="20">
        <v>135</v>
      </c>
      <c r="E11" s="19">
        <v>200</v>
      </c>
      <c r="F11" s="19">
        <f t="shared" ref="F11:F70" si="0">D11*E11</f>
        <v>27000</v>
      </c>
      <c r="G11" s="19"/>
      <c r="H11" s="19"/>
      <c r="I11" s="19">
        <f>IF(B11&lt;&gt;"",I10+F11-H11-G11,0)</f>
        <v>223500</v>
      </c>
      <c r="J11" s="18"/>
    </row>
    <row r="12" spans="1:10" ht="20.25" customHeight="1">
      <c r="A12" s="18"/>
      <c r="B12" s="16" t="s">
        <v>22</v>
      </c>
      <c r="C12" s="18"/>
      <c r="D12" s="20"/>
      <c r="E12" s="19"/>
      <c r="F12" s="19">
        <f t="shared" si="0"/>
        <v>0</v>
      </c>
      <c r="G12" s="19"/>
      <c r="H12" s="19">
        <v>2000</v>
      </c>
      <c r="I12" s="19">
        <f t="shared" ref="I12:I19" si="1">IF(B12&lt;&gt;"",I11+F12-H12-G12,0)</f>
        <v>221500</v>
      </c>
      <c r="J12" s="18"/>
    </row>
    <row r="13" spans="1:10" ht="20.25" customHeight="1">
      <c r="A13" s="18">
        <v>42089</v>
      </c>
      <c r="B13" s="16" t="s">
        <v>309</v>
      </c>
      <c r="C13" s="18"/>
      <c r="D13" s="20">
        <v>55</v>
      </c>
      <c r="E13" s="19">
        <v>200</v>
      </c>
      <c r="F13" s="19"/>
      <c r="G13" s="19"/>
      <c r="H13" s="19">
        <f>D13*E13</f>
        <v>11000</v>
      </c>
      <c r="I13" s="19">
        <f t="shared" si="1"/>
        <v>210500</v>
      </c>
      <c r="J13" s="18"/>
    </row>
    <row r="14" spans="1:10" ht="20.25" customHeight="1">
      <c r="A14" s="18">
        <v>42089</v>
      </c>
      <c r="B14" s="16" t="s">
        <v>264</v>
      </c>
      <c r="C14" s="18"/>
      <c r="D14" s="20">
        <v>100</v>
      </c>
      <c r="E14" s="19">
        <v>45</v>
      </c>
      <c r="F14" s="19">
        <f t="shared" si="0"/>
        <v>4500</v>
      </c>
      <c r="G14" s="19"/>
      <c r="H14" s="19"/>
      <c r="I14" s="19">
        <f t="shared" si="1"/>
        <v>215000</v>
      </c>
      <c r="J14" s="18"/>
    </row>
    <row r="15" spans="1:10" ht="20.25" customHeight="1">
      <c r="A15" s="18"/>
      <c r="B15" s="16" t="s">
        <v>311</v>
      </c>
      <c r="C15" s="16"/>
      <c r="D15" s="20">
        <v>45</v>
      </c>
      <c r="E15" s="19">
        <v>56</v>
      </c>
      <c r="F15" s="19">
        <f t="shared" si="0"/>
        <v>2520</v>
      </c>
      <c r="G15" s="19"/>
      <c r="H15" s="19"/>
      <c r="I15" s="19">
        <f t="shared" si="1"/>
        <v>217520</v>
      </c>
      <c r="J15" s="16"/>
    </row>
    <row r="16" spans="1:10" ht="20.25" customHeight="1">
      <c r="A16" s="18"/>
      <c r="B16" s="16" t="s">
        <v>310</v>
      </c>
      <c r="C16" s="18"/>
      <c r="D16" s="20">
        <v>470</v>
      </c>
      <c r="E16" s="19">
        <v>58</v>
      </c>
      <c r="F16" s="19">
        <f t="shared" si="0"/>
        <v>27260</v>
      </c>
      <c r="G16" s="19"/>
      <c r="H16" s="19"/>
      <c r="I16" s="19">
        <f t="shared" si="1"/>
        <v>244780</v>
      </c>
      <c r="J16" s="18"/>
    </row>
    <row r="17" spans="1:10" ht="20.25" customHeight="1">
      <c r="A17" s="18"/>
      <c r="B17" s="16" t="s">
        <v>312</v>
      </c>
      <c r="C17" s="18"/>
      <c r="D17" s="20">
        <v>1500</v>
      </c>
      <c r="E17" s="19">
        <v>50</v>
      </c>
      <c r="F17" s="19">
        <f t="shared" si="0"/>
        <v>75000</v>
      </c>
      <c r="G17" s="19"/>
      <c r="H17" s="19"/>
      <c r="I17" s="19">
        <f t="shared" si="1"/>
        <v>319780</v>
      </c>
      <c r="J17" s="18"/>
    </row>
    <row r="18" spans="1:10" ht="20.25" customHeight="1">
      <c r="A18" s="18">
        <v>42091</v>
      </c>
      <c r="B18" s="16" t="s">
        <v>17</v>
      </c>
      <c r="C18" s="16"/>
      <c r="D18" s="20"/>
      <c r="E18" s="19"/>
      <c r="F18" s="19">
        <f t="shared" si="0"/>
        <v>0</v>
      </c>
      <c r="G18" s="19"/>
      <c r="H18" s="19">
        <v>150000</v>
      </c>
      <c r="I18" s="19">
        <f t="shared" si="1"/>
        <v>169780</v>
      </c>
      <c r="J18" s="16"/>
    </row>
    <row r="19" spans="1:10" ht="20.25" customHeight="1">
      <c r="A19" s="18">
        <v>42093</v>
      </c>
      <c r="B19" s="16" t="s">
        <v>200</v>
      </c>
      <c r="C19" s="18"/>
      <c r="D19" s="20">
        <v>10</v>
      </c>
      <c r="E19" s="19">
        <v>45</v>
      </c>
      <c r="F19" s="19">
        <f t="shared" si="0"/>
        <v>450</v>
      </c>
      <c r="G19" s="19"/>
      <c r="H19" s="19"/>
      <c r="I19" s="19">
        <f t="shared" si="1"/>
        <v>170230</v>
      </c>
      <c r="J19" s="18"/>
    </row>
    <row r="20" spans="1:10" s="4" customFormat="1" ht="21" customHeight="1">
      <c r="A20" s="254" t="s">
        <v>353</v>
      </c>
      <c r="B20" s="255"/>
      <c r="C20" s="255"/>
      <c r="D20" s="255"/>
      <c r="E20" s="255"/>
      <c r="F20" s="255"/>
      <c r="G20" s="255"/>
      <c r="H20" s="255"/>
      <c r="I20" s="99">
        <f>I19</f>
        <v>170230</v>
      </c>
      <c r="J20" s="99"/>
    </row>
    <row r="21" spans="1:10" ht="20.25" customHeight="1">
      <c r="A21" s="18">
        <v>42107</v>
      </c>
      <c r="B21" s="16" t="s">
        <v>311</v>
      </c>
      <c r="C21" s="16"/>
      <c r="D21" s="20">
        <v>119.5</v>
      </c>
      <c r="E21" s="19">
        <v>58</v>
      </c>
      <c r="F21" s="19">
        <f t="shared" si="0"/>
        <v>6931</v>
      </c>
      <c r="G21" s="19"/>
      <c r="H21" s="19"/>
      <c r="I21" s="19">
        <f>IF(B21&lt;&gt;"",I19+F21-H21-G21,0)</f>
        <v>177161</v>
      </c>
      <c r="J21" s="16"/>
    </row>
    <row r="22" spans="1:10" ht="20.25" customHeight="1">
      <c r="A22" s="18"/>
      <c r="B22" s="16" t="s">
        <v>310</v>
      </c>
      <c r="C22" s="16"/>
      <c r="D22" s="20">
        <v>445</v>
      </c>
      <c r="E22" s="19">
        <v>56</v>
      </c>
      <c r="F22" s="19">
        <f t="shared" si="0"/>
        <v>24920</v>
      </c>
      <c r="G22" s="19"/>
      <c r="H22" s="19"/>
      <c r="I22" s="19">
        <f>IF(B22&lt;&gt;"",I21+F22-H22-G22,0)</f>
        <v>202081</v>
      </c>
      <c r="J22" s="16"/>
    </row>
    <row r="23" spans="1:10" ht="20.25" customHeight="1">
      <c r="A23" s="18"/>
      <c r="B23" s="16" t="s">
        <v>200</v>
      </c>
      <c r="C23" s="16"/>
      <c r="D23" s="20">
        <v>470</v>
      </c>
      <c r="E23" s="19">
        <v>51</v>
      </c>
      <c r="F23" s="19">
        <f t="shared" si="0"/>
        <v>23970</v>
      </c>
      <c r="G23" s="19"/>
      <c r="H23" s="19"/>
      <c r="I23" s="19">
        <f t="shared" ref="I23:I40" si="2">IF(B23&lt;&gt;"",I22+F23-H23-G23,0)</f>
        <v>226051</v>
      </c>
      <c r="J23" s="16"/>
    </row>
    <row r="24" spans="1:10" ht="20.25" customHeight="1">
      <c r="A24" s="18">
        <v>42115</v>
      </c>
      <c r="B24" s="16" t="s">
        <v>310</v>
      </c>
      <c r="C24" s="18"/>
      <c r="D24" s="20">
        <v>425</v>
      </c>
      <c r="E24" s="19">
        <v>58</v>
      </c>
      <c r="F24" s="19">
        <f t="shared" si="0"/>
        <v>24650</v>
      </c>
      <c r="G24" s="19"/>
      <c r="H24" s="19"/>
      <c r="I24" s="19">
        <f t="shared" si="2"/>
        <v>250701</v>
      </c>
      <c r="J24" s="18"/>
    </row>
    <row r="25" spans="1:10" ht="20.25" customHeight="1">
      <c r="A25" s="18"/>
      <c r="B25" s="16" t="s">
        <v>311</v>
      </c>
      <c r="C25" s="16"/>
      <c r="D25" s="20">
        <v>990</v>
      </c>
      <c r="E25" s="19">
        <v>56</v>
      </c>
      <c r="F25" s="19">
        <f t="shared" si="0"/>
        <v>55440</v>
      </c>
      <c r="G25" s="19"/>
      <c r="H25" s="19"/>
      <c r="I25" s="19">
        <f t="shared" si="2"/>
        <v>306141</v>
      </c>
      <c r="J25" s="16"/>
    </row>
    <row r="26" spans="1:10" ht="20.25" customHeight="1">
      <c r="A26" s="18"/>
      <c r="B26" s="16" t="s">
        <v>312</v>
      </c>
      <c r="C26" s="18"/>
      <c r="D26" s="20">
        <v>1090</v>
      </c>
      <c r="E26" s="19">
        <v>50</v>
      </c>
      <c r="F26" s="19">
        <f t="shared" si="0"/>
        <v>54500</v>
      </c>
      <c r="G26" s="19"/>
      <c r="H26" s="19"/>
      <c r="I26" s="19">
        <f t="shared" si="2"/>
        <v>360641</v>
      </c>
      <c r="J26" s="18"/>
    </row>
    <row r="27" spans="1:10" ht="20.25" customHeight="1">
      <c r="A27" s="18"/>
      <c r="B27" s="16" t="s">
        <v>313</v>
      </c>
      <c r="C27" s="16"/>
      <c r="D27" s="20">
        <v>215</v>
      </c>
      <c r="E27" s="19">
        <v>24</v>
      </c>
      <c r="F27" s="19">
        <f t="shared" si="0"/>
        <v>5160</v>
      </c>
      <c r="G27" s="19"/>
      <c r="H27" s="19"/>
      <c r="I27" s="19">
        <f t="shared" si="2"/>
        <v>365801</v>
      </c>
      <c r="J27" s="16"/>
    </row>
    <row r="28" spans="1:10" ht="20.25" customHeight="1">
      <c r="A28" s="18">
        <v>42119</v>
      </c>
      <c r="B28" s="16" t="s">
        <v>312</v>
      </c>
      <c r="C28" s="16"/>
      <c r="D28" s="20">
        <v>1120</v>
      </c>
      <c r="E28" s="19">
        <v>50</v>
      </c>
      <c r="F28" s="19">
        <f t="shared" si="0"/>
        <v>56000</v>
      </c>
      <c r="G28" s="19"/>
      <c r="H28" s="19"/>
      <c r="I28" s="19">
        <f t="shared" si="2"/>
        <v>421801</v>
      </c>
      <c r="J28" s="16"/>
    </row>
    <row r="29" spans="1:10" ht="20.25" customHeight="1">
      <c r="A29" s="18"/>
      <c r="B29" s="16" t="s">
        <v>311</v>
      </c>
      <c r="C29" s="18"/>
      <c r="D29" s="20">
        <v>345</v>
      </c>
      <c r="E29" s="19">
        <v>56</v>
      </c>
      <c r="F29" s="19">
        <f t="shared" si="0"/>
        <v>19320</v>
      </c>
      <c r="G29" s="19"/>
      <c r="H29" s="19"/>
      <c r="I29" s="19">
        <f t="shared" si="2"/>
        <v>441121</v>
      </c>
      <c r="J29" s="18"/>
    </row>
    <row r="30" spans="1:10" ht="20.25" customHeight="1">
      <c r="A30" s="18"/>
      <c r="B30" s="16" t="s">
        <v>310</v>
      </c>
      <c r="C30" s="16"/>
      <c r="D30" s="20">
        <v>710</v>
      </c>
      <c r="E30" s="19">
        <v>58</v>
      </c>
      <c r="F30" s="19">
        <f t="shared" si="0"/>
        <v>41180</v>
      </c>
      <c r="G30" s="19"/>
      <c r="H30" s="19"/>
      <c r="I30" s="19">
        <f t="shared" si="2"/>
        <v>482301</v>
      </c>
      <c r="J30" s="16"/>
    </row>
    <row r="31" spans="1:10" ht="20.25" customHeight="1">
      <c r="A31" s="18"/>
      <c r="B31" s="16" t="s">
        <v>310</v>
      </c>
      <c r="C31" s="18"/>
      <c r="D31" s="20">
        <v>90</v>
      </c>
      <c r="E31" s="19">
        <v>55</v>
      </c>
      <c r="F31" s="19">
        <f t="shared" si="0"/>
        <v>4950</v>
      </c>
      <c r="G31" s="19"/>
      <c r="H31" s="19"/>
      <c r="I31" s="19">
        <f t="shared" si="2"/>
        <v>487251</v>
      </c>
      <c r="J31" s="18"/>
    </row>
    <row r="32" spans="1:10" ht="20.25" customHeight="1">
      <c r="A32" s="18">
        <v>42123</v>
      </c>
      <c r="B32" s="16" t="s">
        <v>312</v>
      </c>
      <c r="C32" s="18"/>
      <c r="D32" s="20">
        <v>1185</v>
      </c>
      <c r="E32" s="19">
        <v>50</v>
      </c>
      <c r="F32" s="19">
        <f t="shared" si="0"/>
        <v>59250</v>
      </c>
      <c r="G32" s="19"/>
      <c r="H32" s="19"/>
      <c r="I32" s="19">
        <f t="shared" si="2"/>
        <v>546501</v>
      </c>
      <c r="J32" s="18"/>
    </row>
    <row r="33" spans="1:10" ht="20.25" customHeight="1">
      <c r="A33" s="18"/>
      <c r="B33" s="16" t="s">
        <v>311</v>
      </c>
      <c r="C33" s="18"/>
      <c r="D33" s="20">
        <v>930</v>
      </c>
      <c r="E33" s="19">
        <v>56</v>
      </c>
      <c r="F33" s="19">
        <f t="shared" si="0"/>
        <v>52080</v>
      </c>
      <c r="G33" s="19"/>
      <c r="H33" s="19"/>
      <c r="I33" s="19">
        <f t="shared" si="2"/>
        <v>598581</v>
      </c>
      <c r="J33" s="18"/>
    </row>
    <row r="34" spans="1:10" ht="20.25" customHeight="1">
      <c r="A34" s="18"/>
      <c r="B34" s="16" t="s">
        <v>310</v>
      </c>
      <c r="C34" s="18"/>
      <c r="D34" s="20">
        <v>235</v>
      </c>
      <c r="E34" s="19">
        <v>58</v>
      </c>
      <c r="F34" s="19">
        <f t="shared" si="0"/>
        <v>13630</v>
      </c>
      <c r="G34" s="19"/>
      <c r="H34" s="19"/>
      <c r="I34" s="19">
        <f t="shared" si="2"/>
        <v>612211</v>
      </c>
      <c r="J34" s="18"/>
    </row>
    <row r="35" spans="1:10" ht="20.25" customHeight="1">
      <c r="A35" s="18"/>
      <c r="B35" s="16" t="s">
        <v>315</v>
      </c>
      <c r="C35" s="18" t="s">
        <v>78</v>
      </c>
      <c r="D35" s="20"/>
      <c r="E35" s="19"/>
      <c r="F35" s="19">
        <f>D35*E35</f>
        <v>0</v>
      </c>
      <c r="G35" s="19">
        <v>280414</v>
      </c>
      <c r="H35" s="19"/>
      <c r="I35" s="19">
        <f t="shared" si="2"/>
        <v>331797</v>
      </c>
      <c r="J35" s="18"/>
    </row>
    <row r="36" spans="1:10" ht="20.25" customHeight="1">
      <c r="A36" s="18"/>
      <c r="B36" s="16" t="s">
        <v>315</v>
      </c>
      <c r="C36" s="16" t="s">
        <v>288</v>
      </c>
      <c r="D36" s="20"/>
      <c r="E36" s="19"/>
      <c r="F36" s="19">
        <f>D36*E36</f>
        <v>0</v>
      </c>
      <c r="G36" s="19">
        <v>96340</v>
      </c>
      <c r="H36" s="19"/>
      <c r="I36" s="19">
        <f t="shared" si="2"/>
        <v>235457</v>
      </c>
      <c r="J36" s="16"/>
    </row>
    <row r="37" spans="1:10" ht="20.25" customHeight="1">
      <c r="A37" s="18">
        <v>42098</v>
      </c>
      <c r="B37" s="16" t="s">
        <v>17</v>
      </c>
      <c r="C37" s="16"/>
      <c r="D37" s="20"/>
      <c r="E37" s="19"/>
      <c r="F37" s="19">
        <f>D37*E37</f>
        <v>0</v>
      </c>
      <c r="G37" s="19"/>
      <c r="H37" s="19">
        <v>100000</v>
      </c>
      <c r="I37" s="19">
        <f t="shared" si="2"/>
        <v>135457</v>
      </c>
      <c r="J37" s="16"/>
    </row>
    <row r="38" spans="1:10" ht="20.25" customHeight="1">
      <c r="A38" s="18">
        <v>42107</v>
      </c>
      <c r="B38" s="16" t="s">
        <v>17</v>
      </c>
      <c r="C38" s="18"/>
      <c r="D38" s="20"/>
      <c r="E38" s="19"/>
      <c r="F38" s="19">
        <f>D38*E38</f>
        <v>0</v>
      </c>
      <c r="G38" s="19"/>
      <c r="H38" s="19">
        <v>50000</v>
      </c>
      <c r="I38" s="19">
        <f t="shared" si="2"/>
        <v>85457</v>
      </c>
      <c r="J38" s="18"/>
    </row>
    <row r="39" spans="1:10" ht="20.25" customHeight="1">
      <c r="A39" s="18">
        <v>42118</v>
      </c>
      <c r="B39" s="16" t="s">
        <v>17</v>
      </c>
      <c r="C39" s="16"/>
      <c r="D39" s="20"/>
      <c r="E39" s="19"/>
      <c r="F39" s="19">
        <f>D39*E39</f>
        <v>0</v>
      </c>
      <c r="G39" s="19"/>
      <c r="H39" s="19">
        <v>45000</v>
      </c>
      <c r="I39" s="19">
        <f t="shared" si="2"/>
        <v>40457</v>
      </c>
      <c r="J39" s="16"/>
    </row>
    <row r="40" spans="1:10" ht="20.25" customHeight="1">
      <c r="A40" s="18"/>
      <c r="B40" s="16" t="s">
        <v>167</v>
      </c>
      <c r="C40" s="18" t="s">
        <v>191</v>
      </c>
      <c r="D40" s="20">
        <v>3460</v>
      </c>
      <c r="E40" s="19">
        <v>16</v>
      </c>
      <c r="F40" s="19"/>
      <c r="G40" s="19">
        <f>D40*E40</f>
        <v>55360</v>
      </c>
      <c r="H40" s="19"/>
      <c r="I40" s="19">
        <f t="shared" si="2"/>
        <v>-14903</v>
      </c>
      <c r="J40" s="18"/>
    </row>
    <row r="41" spans="1:10" s="4" customFormat="1" ht="21" customHeight="1">
      <c r="A41" s="254" t="s">
        <v>354</v>
      </c>
      <c r="B41" s="255"/>
      <c r="C41" s="255"/>
      <c r="D41" s="255"/>
      <c r="E41" s="255"/>
      <c r="F41" s="255"/>
      <c r="G41" s="255"/>
      <c r="H41" s="255"/>
      <c r="I41" s="99">
        <f>I40</f>
        <v>-14903</v>
      </c>
      <c r="J41" s="99"/>
    </row>
    <row r="42" spans="1:10" ht="20.25" customHeight="1">
      <c r="A42" s="18">
        <v>42129</v>
      </c>
      <c r="B42" s="16" t="s">
        <v>310</v>
      </c>
      <c r="C42" s="18"/>
      <c r="D42" s="20">
        <v>55</v>
      </c>
      <c r="E42" s="19">
        <v>58</v>
      </c>
      <c r="F42" s="19">
        <f t="shared" si="0"/>
        <v>3190</v>
      </c>
      <c r="G42" s="19"/>
      <c r="H42" s="19"/>
      <c r="I42" s="19">
        <f>IF(B42&lt;&gt;"",I40+F42-H42-G42,0)</f>
        <v>-11713</v>
      </c>
      <c r="J42" s="18"/>
    </row>
    <row r="43" spans="1:10" ht="20.25" customHeight="1">
      <c r="A43" s="18"/>
      <c r="B43" s="16" t="s">
        <v>316</v>
      </c>
      <c r="C43" s="16"/>
      <c r="D43" s="20">
        <v>15</v>
      </c>
      <c r="E43" s="19">
        <v>55</v>
      </c>
      <c r="F43" s="19">
        <f t="shared" si="0"/>
        <v>825</v>
      </c>
      <c r="G43" s="19"/>
      <c r="H43" s="19"/>
      <c r="I43" s="19">
        <f>IF(B43&lt;&gt;"",I42+F43-H43-G43,0)</f>
        <v>-10888</v>
      </c>
      <c r="J43" s="16"/>
    </row>
    <row r="44" spans="1:10" ht="20.25" customHeight="1">
      <c r="A44" s="18"/>
      <c r="B44" s="16" t="s">
        <v>311</v>
      </c>
      <c r="C44" s="16"/>
      <c r="D44" s="20">
        <v>225</v>
      </c>
      <c r="E44" s="19">
        <v>56</v>
      </c>
      <c r="F44" s="19">
        <f t="shared" si="0"/>
        <v>12600</v>
      </c>
      <c r="G44" s="19"/>
      <c r="H44" s="19"/>
      <c r="I44" s="19">
        <f t="shared" ref="I44:I62" si="3">IF(B44&lt;&gt;"",I43+F44-H44-G44,0)</f>
        <v>1712</v>
      </c>
      <c r="J44" s="16"/>
    </row>
    <row r="45" spans="1:10" ht="20.25" customHeight="1">
      <c r="A45" s="18"/>
      <c r="B45" s="16" t="s">
        <v>312</v>
      </c>
      <c r="C45" s="16"/>
      <c r="D45" s="20">
        <v>2450</v>
      </c>
      <c r="E45" s="19">
        <v>50</v>
      </c>
      <c r="F45" s="19">
        <f t="shared" si="0"/>
        <v>122500</v>
      </c>
      <c r="G45" s="19"/>
      <c r="H45" s="19"/>
      <c r="I45" s="19">
        <f t="shared" si="3"/>
        <v>124212</v>
      </c>
      <c r="J45" s="16"/>
    </row>
    <row r="46" spans="1:10" ht="20.25" customHeight="1">
      <c r="A46" s="18">
        <v>42136</v>
      </c>
      <c r="B46" s="16" t="s">
        <v>312</v>
      </c>
      <c r="C46" s="16"/>
      <c r="D46" s="20">
        <v>2650</v>
      </c>
      <c r="E46" s="19">
        <v>50</v>
      </c>
      <c r="F46" s="19">
        <f t="shared" si="0"/>
        <v>132500</v>
      </c>
      <c r="G46" s="19"/>
      <c r="H46" s="19"/>
      <c r="I46" s="19">
        <f t="shared" si="3"/>
        <v>256712</v>
      </c>
      <c r="J46" s="16"/>
    </row>
    <row r="47" spans="1:10" ht="20.25" customHeight="1">
      <c r="A47" s="18">
        <v>42135</v>
      </c>
      <c r="B47" s="16" t="s">
        <v>311</v>
      </c>
      <c r="C47" s="18" t="s">
        <v>159</v>
      </c>
      <c r="D47" s="20">
        <v>365</v>
      </c>
      <c r="E47" s="19">
        <v>56</v>
      </c>
      <c r="F47" s="19">
        <f t="shared" si="0"/>
        <v>20440</v>
      </c>
      <c r="G47" s="19"/>
      <c r="H47" s="19"/>
      <c r="I47" s="19">
        <f t="shared" si="3"/>
        <v>277152</v>
      </c>
      <c r="J47" s="18"/>
    </row>
    <row r="48" spans="1:10" ht="20.25" customHeight="1">
      <c r="A48" s="18"/>
      <c r="B48" s="16" t="s">
        <v>312</v>
      </c>
      <c r="C48" s="18" t="s">
        <v>159</v>
      </c>
      <c r="D48" s="20">
        <v>135</v>
      </c>
      <c r="E48" s="19">
        <v>50</v>
      </c>
      <c r="F48" s="19">
        <f t="shared" si="0"/>
        <v>6750</v>
      </c>
      <c r="G48" s="19"/>
      <c r="H48" s="19"/>
      <c r="I48" s="19">
        <f t="shared" si="3"/>
        <v>283902</v>
      </c>
      <c r="J48" s="18"/>
    </row>
    <row r="49" spans="1:10" ht="20.25" customHeight="1">
      <c r="A49" s="18">
        <v>42136</v>
      </c>
      <c r="B49" s="16" t="s">
        <v>311</v>
      </c>
      <c r="C49" s="18" t="s">
        <v>159</v>
      </c>
      <c r="D49" s="20">
        <v>730</v>
      </c>
      <c r="E49" s="19">
        <v>56</v>
      </c>
      <c r="F49" s="19">
        <f t="shared" si="0"/>
        <v>40880</v>
      </c>
      <c r="G49" s="19"/>
      <c r="H49" s="19"/>
      <c r="I49" s="19">
        <f t="shared" si="3"/>
        <v>324782</v>
      </c>
      <c r="J49" s="18"/>
    </row>
    <row r="50" spans="1:10" ht="20.25" customHeight="1">
      <c r="A50" s="18">
        <v>42145</v>
      </c>
      <c r="B50" s="16" t="s">
        <v>312</v>
      </c>
      <c r="C50" s="16" t="s">
        <v>319</v>
      </c>
      <c r="D50" s="20">
        <v>2735</v>
      </c>
      <c r="E50" s="19">
        <v>50</v>
      </c>
      <c r="F50" s="19">
        <f t="shared" si="0"/>
        <v>136750</v>
      </c>
      <c r="G50" s="19"/>
      <c r="H50" s="19"/>
      <c r="I50" s="19">
        <f t="shared" si="3"/>
        <v>461532</v>
      </c>
      <c r="J50" s="16"/>
    </row>
    <row r="51" spans="1:10" ht="20.25" customHeight="1">
      <c r="A51" s="18">
        <v>42151</v>
      </c>
      <c r="B51" s="16" t="s">
        <v>312</v>
      </c>
      <c r="C51" s="16"/>
      <c r="D51" s="20">
        <v>1700</v>
      </c>
      <c r="E51" s="19">
        <v>50</v>
      </c>
      <c r="F51" s="19">
        <f>D51*E51</f>
        <v>85000</v>
      </c>
      <c r="G51" s="19"/>
      <c r="H51" s="19"/>
      <c r="I51" s="19">
        <f t="shared" si="3"/>
        <v>546532</v>
      </c>
      <c r="J51" s="16"/>
    </row>
    <row r="52" spans="1:10" ht="20.25" customHeight="1">
      <c r="A52" s="18"/>
      <c r="B52" s="16" t="s">
        <v>311</v>
      </c>
      <c r="C52" s="16"/>
      <c r="D52" s="20">
        <v>230</v>
      </c>
      <c r="E52" s="19">
        <v>56</v>
      </c>
      <c r="F52" s="19">
        <f>D52*E52</f>
        <v>12880</v>
      </c>
      <c r="G52" s="19"/>
      <c r="H52" s="19"/>
      <c r="I52" s="19">
        <f t="shared" si="3"/>
        <v>559412</v>
      </c>
      <c r="J52" s="16"/>
    </row>
    <row r="53" spans="1:10" ht="20.25" customHeight="1">
      <c r="A53" s="18"/>
      <c r="B53" s="16" t="s">
        <v>310</v>
      </c>
      <c r="C53" s="16"/>
      <c r="D53" s="20">
        <v>505</v>
      </c>
      <c r="E53" s="19">
        <v>58</v>
      </c>
      <c r="F53" s="19">
        <f>D53*E53</f>
        <v>29290</v>
      </c>
      <c r="G53" s="19"/>
      <c r="H53" s="19"/>
      <c r="I53" s="19">
        <f t="shared" si="3"/>
        <v>588702</v>
      </c>
      <c r="J53" s="16"/>
    </row>
    <row r="54" spans="1:10" ht="20.25" customHeight="1">
      <c r="A54" s="18"/>
      <c r="B54" s="16" t="s">
        <v>316</v>
      </c>
      <c r="C54" s="16"/>
      <c r="D54" s="20">
        <v>150</v>
      </c>
      <c r="E54" s="19">
        <v>55</v>
      </c>
      <c r="F54" s="19">
        <f>D54*E54</f>
        <v>8250</v>
      </c>
      <c r="G54" s="19"/>
      <c r="H54" s="19"/>
      <c r="I54" s="19">
        <f t="shared" si="3"/>
        <v>596952</v>
      </c>
      <c r="J54" s="16"/>
    </row>
    <row r="55" spans="1:10" ht="20.25" customHeight="1">
      <c r="A55" s="18">
        <v>42136</v>
      </c>
      <c r="B55" s="16" t="s">
        <v>317</v>
      </c>
      <c r="C55" s="16"/>
      <c r="D55" s="20">
        <f>270*2</f>
        <v>540</v>
      </c>
      <c r="E55" s="19">
        <v>14.2</v>
      </c>
      <c r="F55" s="19"/>
      <c r="G55" s="19"/>
      <c r="H55" s="19">
        <f>D55*E55</f>
        <v>7668</v>
      </c>
      <c r="I55" s="19">
        <f t="shared" si="3"/>
        <v>589284</v>
      </c>
      <c r="J55" s="16"/>
    </row>
    <row r="56" spans="1:10" ht="20.25" customHeight="1">
      <c r="A56" s="18"/>
      <c r="B56" s="16" t="s">
        <v>318</v>
      </c>
      <c r="C56" s="18"/>
      <c r="D56" s="20">
        <v>1000</v>
      </c>
      <c r="E56" s="19">
        <v>16.8</v>
      </c>
      <c r="F56" s="19"/>
      <c r="G56" s="19"/>
      <c r="H56" s="19">
        <f>D56*E56</f>
        <v>16800</v>
      </c>
      <c r="I56" s="19">
        <f t="shared" si="3"/>
        <v>572484</v>
      </c>
      <c r="J56" s="18"/>
    </row>
    <row r="57" spans="1:10" ht="20.25" customHeight="1">
      <c r="A57" s="18">
        <v>42128</v>
      </c>
      <c r="B57" s="16" t="s">
        <v>17</v>
      </c>
      <c r="C57" s="16"/>
      <c r="D57" s="20"/>
      <c r="E57" s="19"/>
      <c r="F57" s="19">
        <f>D57*E57</f>
        <v>0</v>
      </c>
      <c r="G57" s="19"/>
      <c r="H57" s="19">
        <v>50000</v>
      </c>
      <c r="I57" s="19">
        <f t="shared" si="3"/>
        <v>522484</v>
      </c>
      <c r="J57" s="16"/>
    </row>
    <row r="58" spans="1:10" ht="20.25" customHeight="1">
      <c r="A58" s="18">
        <v>42136</v>
      </c>
      <c r="B58" s="16" t="s">
        <v>17</v>
      </c>
      <c r="C58" s="16"/>
      <c r="D58" s="20"/>
      <c r="E58" s="19"/>
      <c r="F58" s="19">
        <f>D58*E58</f>
        <v>0</v>
      </c>
      <c r="G58" s="19"/>
      <c r="H58" s="19">
        <v>50000</v>
      </c>
      <c r="I58" s="19">
        <f t="shared" si="3"/>
        <v>472484</v>
      </c>
      <c r="J58" s="16"/>
    </row>
    <row r="59" spans="1:10" ht="20.25" customHeight="1">
      <c r="A59" s="18">
        <v>42146</v>
      </c>
      <c r="B59" s="16" t="s">
        <v>17</v>
      </c>
      <c r="C59" s="16"/>
      <c r="D59" s="20"/>
      <c r="E59" s="19"/>
      <c r="F59" s="19">
        <f>D59*E59</f>
        <v>0</v>
      </c>
      <c r="G59" s="19"/>
      <c r="H59" s="19">
        <v>90000</v>
      </c>
      <c r="I59" s="19">
        <f t="shared" si="3"/>
        <v>382484</v>
      </c>
      <c r="J59" s="16"/>
    </row>
    <row r="60" spans="1:10" ht="20.25" customHeight="1">
      <c r="A60" s="18">
        <v>42154</v>
      </c>
      <c r="B60" s="16" t="s">
        <v>17</v>
      </c>
      <c r="C60" s="16"/>
      <c r="D60" s="20"/>
      <c r="E60" s="19"/>
      <c r="F60" s="19">
        <f>D60*E60</f>
        <v>0</v>
      </c>
      <c r="G60" s="19"/>
      <c r="H60" s="19">
        <v>90000</v>
      </c>
      <c r="I60" s="19">
        <f t="shared" si="3"/>
        <v>292484</v>
      </c>
      <c r="J60" s="16"/>
    </row>
    <row r="61" spans="1:10" ht="20.25" customHeight="1">
      <c r="A61" s="18"/>
      <c r="B61" s="16" t="s">
        <v>320</v>
      </c>
      <c r="C61" s="18" t="s">
        <v>78</v>
      </c>
      <c r="D61" s="20"/>
      <c r="E61" s="19"/>
      <c r="F61" s="19">
        <f t="shared" si="0"/>
        <v>0</v>
      </c>
      <c r="G61" s="19">
        <v>252776</v>
      </c>
      <c r="H61" s="19"/>
      <c r="I61" s="19">
        <f t="shared" si="3"/>
        <v>39708</v>
      </c>
      <c r="J61" s="18"/>
    </row>
    <row r="62" spans="1:10" ht="20.25" customHeight="1">
      <c r="A62" s="18"/>
      <c r="B62" s="16" t="s">
        <v>321</v>
      </c>
      <c r="C62" s="16" t="s">
        <v>288</v>
      </c>
      <c r="D62" s="20"/>
      <c r="E62" s="19"/>
      <c r="F62" s="19">
        <f t="shared" si="0"/>
        <v>0</v>
      </c>
      <c r="G62" s="19">
        <v>62593</v>
      </c>
      <c r="H62" s="19"/>
      <c r="I62" s="19">
        <f t="shared" si="3"/>
        <v>-22885</v>
      </c>
      <c r="J62" s="16"/>
    </row>
    <row r="63" spans="1:10" s="4" customFormat="1" ht="21" customHeight="1">
      <c r="A63" s="254" t="s">
        <v>355</v>
      </c>
      <c r="B63" s="255"/>
      <c r="C63" s="255"/>
      <c r="D63" s="255"/>
      <c r="E63" s="255"/>
      <c r="F63" s="255"/>
      <c r="G63" s="255"/>
      <c r="H63" s="255"/>
      <c r="I63" s="99">
        <f>I62</f>
        <v>-22885</v>
      </c>
      <c r="J63" s="99"/>
    </row>
    <row r="64" spans="1:10" ht="20.25" customHeight="1">
      <c r="A64" s="18">
        <v>42159</v>
      </c>
      <c r="B64" s="16" t="s">
        <v>312</v>
      </c>
      <c r="C64" s="16" t="s">
        <v>319</v>
      </c>
      <c r="D64" s="20">
        <v>1000</v>
      </c>
      <c r="E64" s="19">
        <v>49</v>
      </c>
      <c r="F64" s="19">
        <f t="shared" si="0"/>
        <v>49000</v>
      </c>
      <c r="G64" s="19"/>
      <c r="H64" s="19"/>
      <c r="I64" s="19">
        <f>IF(B64&lt;&gt;"",I62+F64-H64-G64,0)</f>
        <v>26115</v>
      </c>
      <c r="J64" s="16"/>
    </row>
    <row r="65" spans="1:10" ht="20.25" customHeight="1">
      <c r="A65" s="18">
        <v>42164</v>
      </c>
      <c r="B65" s="16" t="s">
        <v>312</v>
      </c>
      <c r="C65" s="16" t="s">
        <v>319</v>
      </c>
      <c r="D65" s="20">
        <v>1940</v>
      </c>
      <c r="E65" s="19">
        <v>49</v>
      </c>
      <c r="F65" s="19">
        <f t="shared" si="0"/>
        <v>95060</v>
      </c>
      <c r="G65" s="19"/>
      <c r="H65" s="19"/>
      <c r="I65" s="19">
        <f>IF(B65&lt;&gt;"",I64+F65-H65-G65,0)</f>
        <v>121175</v>
      </c>
      <c r="J65" s="16"/>
    </row>
    <row r="66" spans="1:10" ht="20.25" customHeight="1">
      <c r="A66" s="18">
        <v>42168</v>
      </c>
      <c r="B66" s="16" t="s">
        <v>312</v>
      </c>
      <c r="C66" s="16" t="s">
        <v>44</v>
      </c>
      <c r="D66" s="20">
        <v>610</v>
      </c>
      <c r="E66" s="19">
        <v>49</v>
      </c>
      <c r="F66" s="19">
        <f t="shared" si="0"/>
        <v>29890</v>
      </c>
      <c r="G66" s="19"/>
      <c r="H66" s="19"/>
      <c r="I66" s="19">
        <f t="shared" ref="I66:I93" si="4">IF(B66&lt;&gt;"",I65+F66-H66-G66,0)</f>
        <v>151065</v>
      </c>
      <c r="J66" s="16"/>
    </row>
    <row r="67" spans="1:10" ht="20.25" customHeight="1">
      <c r="A67" s="18"/>
      <c r="B67" s="16" t="s">
        <v>310</v>
      </c>
      <c r="C67" s="16" t="s">
        <v>44</v>
      </c>
      <c r="D67" s="20">
        <v>1425</v>
      </c>
      <c r="E67" s="19">
        <v>56</v>
      </c>
      <c r="F67" s="19">
        <f t="shared" si="0"/>
        <v>79800</v>
      </c>
      <c r="G67" s="19"/>
      <c r="H67" s="19"/>
      <c r="I67" s="19">
        <f t="shared" si="4"/>
        <v>230865</v>
      </c>
      <c r="J67" s="16"/>
    </row>
    <row r="68" spans="1:10" ht="20.25" customHeight="1">
      <c r="A68" s="18"/>
      <c r="B68" s="16" t="s">
        <v>328</v>
      </c>
      <c r="C68" s="16" t="s">
        <v>44</v>
      </c>
      <c r="D68" s="20">
        <v>215</v>
      </c>
      <c r="E68" s="19">
        <v>55</v>
      </c>
      <c r="F68" s="19">
        <f t="shared" si="0"/>
        <v>11825</v>
      </c>
      <c r="G68" s="19"/>
      <c r="H68" s="19"/>
      <c r="I68" s="19">
        <f t="shared" si="4"/>
        <v>242690</v>
      </c>
      <c r="J68" s="16"/>
    </row>
    <row r="69" spans="1:10" ht="20.25" customHeight="1">
      <c r="A69" s="18">
        <v>42172</v>
      </c>
      <c r="B69" s="16" t="s">
        <v>310</v>
      </c>
      <c r="C69" s="16" t="s">
        <v>44</v>
      </c>
      <c r="D69" s="20">
        <v>125</v>
      </c>
      <c r="E69" s="19">
        <v>56</v>
      </c>
      <c r="F69" s="19">
        <f t="shared" si="0"/>
        <v>7000</v>
      </c>
      <c r="G69" s="19"/>
      <c r="H69" s="19"/>
      <c r="I69" s="19">
        <f t="shared" si="4"/>
        <v>249690</v>
      </c>
      <c r="J69" s="16"/>
    </row>
    <row r="70" spans="1:10" ht="20.25" customHeight="1">
      <c r="A70" s="18"/>
      <c r="B70" s="16" t="s">
        <v>312</v>
      </c>
      <c r="C70" s="16" t="s">
        <v>44</v>
      </c>
      <c r="D70" s="20">
        <v>555</v>
      </c>
      <c r="E70" s="19">
        <v>48</v>
      </c>
      <c r="F70" s="19">
        <f t="shared" si="0"/>
        <v>26640</v>
      </c>
      <c r="G70" s="19"/>
      <c r="H70" s="19"/>
      <c r="I70" s="19">
        <f t="shared" si="4"/>
        <v>276330</v>
      </c>
      <c r="J70" s="16"/>
    </row>
    <row r="71" spans="1:10" ht="20.25" customHeight="1">
      <c r="A71" s="18">
        <v>42173</v>
      </c>
      <c r="B71" s="16" t="s">
        <v>312</v>
      </c>
      <c r="C71" s="16" t="s">
        <v>319</v>
      </c>
      <c r="D71" s="20">
        <v>825</v>
      </c>
      <c r="E71" s="19">
        <v>48</v>
      </c>
      <c r="F71" s="19">
        <f t="shared" ref="F71:F111" si="5">D71*E71</f>
        <v>39600</v>
      </c>
      <c r="G71" s="19"/>
      <c r="H71" s="19"/>
      <c r="I71" s="19">
        <f t="shared" si="4"/>
        <v>315930</v>
      </c>
      <c r="J71" s="16"/>
    </row>
    <row r="72" spans="1:10" ht="20.25" customHeight="1">
      <c r="A72" s="18">
        <v>42174</v>
      </c>
      <c r="B72" s="16" t="s">
        <v>200</v>
      </c>
      <c r="C72" s="16" t="s">
        <v>44</v>
      </c>
      <c r="D72" s="20">
        <v>20</v>
      </c>
      <c r="E72" s="19">
        <v>43</v>
      </c>
      <c r="F72" s="19">
        <f t="shared" si="5"/>
        <v>860</v>
      </c>
      <c r="G72" s="19"/>
      <c r="H72" s="19"/>
      <c r="I72" s="19">
        <f t="shared" si="4"/>
        <v>316790</v>
      </c>
      <c r="J72" s="16"/>
    </row>
    <row r="73" spans="1:10" ht="20.25" customHeight="1">
      <c r="A73" s="18">
        <v>42177</v>
      </c>
      <c r="B73" s="16" t="s">
        <v>312</v>
      </c>
      <c r="C73" s="16" t="s">
        <v>319</v>
      </c>
      <c r="D73" s="20">
        <v>785</v>
      </c>
      <c r="E73" s="19">
        <v>48</v>
      </c>
      <c r="F73" s="19">
        <f t="shared" si="5"/>
        <v>37680</v>
      </c>
      <c r="G73" s="19"/>
      <c r="H73" s="19"/>
      <c r="I73" s="19">
        <f t="shared" si="4"/>
        <v>354470</v>
      </c>
      <c r="J73" s="16"/>
    </row>
    <row r="74" spans="1:10" ht="20.25" customHeight="1">
      <c r="A74" s="18"/>
      <c r="B74" s="16" t="s">
        <v>310</v>
      </c>
      <c r="C74" s="16" t="s">
        <v>319</v>
      </c>
      <c r="D74" s="20">
        <v>270</v>
      </c>
      <c r="E74" s="19">
        <v>56</v>
      </c>
      <c r="F74" s="19">
        <f t="shared" si="5"/>
        <v>15120</v>
      </c>
      <c r="G74" s="19"/>
      <c r="H74" s="19"/>
      <c r="I74" s="19">
        <f t="shared" si="4"/>
        <v>369590</v>
      </c>
      <c r="J74" s="16"/>
    </row>
    <row r="75" spans="1:10" ht="20.25" customHeight="1">
      <c r="A75" s="18">
        <v>42181</v>
      </c>
      <c r="B75" s="16" t="s">
        <v>310</v>
      </c>
      <c r="C75" s="16" t="s">
        <v>44</v>
      </c>
      <c r="D75" s="20">
        <v>1040</v>
      </c>
      <c r="E75" s="19">
        <v>56</v>
      </c>
      <c r="F75" s="19">
        <f t="shared" si="5"/>
        <v>58240</v>
      </c>
      <c r="G75" s="19"/>
      <c r="H75" s="19"/>
      <c r="I75" s="19">
        <f t="shared" si="4"/>
        <v>427830</v>
      </c>
      <c r="J75" s="16"/>
    </row>
    <row r="76" spans="1:10" ht="20.25" customHeight="1">
      <c r="A76" s="18"/>
      <c r="B76" s="16" t="s">
        <v>312</v>
      </c>
      <c r="C76" s="16" t="s">
        <v>44</v>
      </c>
      <c r="D76" s="20">
        <v>1040</v>
      </c>
      <c r="E76" s="19">
        <v>48</v>
      </c>
      <c r="F76" s="19">
        <f t="shared" si="5"/>
        <v>49920</v>
      </c>
      <c r="G76" s="19"/>
      <c r="H76" s="19"/>
      <c r="I76" s="19">
        <f t="shared" si="4"/>
        <v>477750</v>
      </c>
      <c r="J76" s="16"/>
    </row>
    <row r="77" spans="1:10" ht="20.25" customHeight="1">
      <c r="A77" s="18"/>
      <c r="B77" s="16" t="s">
        <v>330</v>
      </c>
      <c r="C77" s="16" t="s">
        <v>44</v>
      </c>
      <c r="D77" s="20">
        <v>20</v>
      </c>
      <c r="E77" s="19">
        <v>48</v>
      </c>
      <c r="F77" s="19">
        <f t="shared" si="5"/>
        <v>960</v>
      </c>
      <c r="G77" s="19"/>
      <c r="H77" s="19"/>
      <c r="I77" s="19">
        <f t="shared" si="4"/>
        <v>478710</v>
      </c>
      <c r="J77" s="16"/>
    </row>
    <row r="78" spans="1:10" ht="20.25" customHeight="1">
      <c r="A78" s="18"/>
      <c r="B78" s="16" t="s">
        <v>314</v>
      </c>
      <c r="C78" s="16" t="s">
        <v>327</v>
      </c>
      <c r="D78" s="20">
        <v>2516</v>
      </c>
      <c r="E78" s="19">
        <v>7.5</v>
      </c>
      <c r="F78" s="19"/>
      <c r="G78" s="19">
        <f>D78*E78</f>
        <v>18870</v>
      </c>
      <c r="H78" s="19"/>
      <c r="I78" s="19">
        <f t="shared" si="4"/>
        <v>459840</v>
      </c>
      <c r="J78" s="16"/>
    </row>
    <row r="79" spans="1:10" ht="20.25" customHeight="1">
      <c r="A79" s="18"/>
      <c r="B79" s="16" t="s">
        <v>314</v>
      </c>
      <c r="C79" s="16" t="s">
        <v>327</v>
      </c>
      <c r="D79" s="20">
        <v>2516</v>
      </c>
      <c r="E79" s="19">
        <v>7</v>
      </c>
      <c r="F79" s="19"/>
      <c r="G79" s="19">
        <f>D79*E79</f>
        <v>17612</v>
      </c>
      <c r="H79" s="19"/>
      <c r="I79" s="19">
        <f t="shared" si="4"/>
        <v>442228</v>
      </c>
      <c r="J79" s="16"/>
    </row>
    <row r="80" spans="1:10" ht="20.25" customHeight="1">
      <c r="A80" s="18"/>
      <c r="B80" s="16" t="s">
        <v>314</v>
      </c>
      <c r="C80" s="16" t="s">
        <v>322</v>
      </c>
      <c r="D80" s="20"/>
      <c r="E80" s="19"/>
      <c r="F80" s="19">
        <f>D80*E80</f>
        <v>0</v>
      </c>
      <c r="G80" s="19">
        <v>20472</v>
      </c>
      <c r="H80" s="19"/>
      <c r="I80" s="19">
        <f t="shared" si="4"/>
        <v>421756</v>
      </c>
      <c r="J80" s="16"/>
    </row>
    <row r="81" spans="1:10" ht="20.25" customHeight="1">
      <c r="A81" s="18"/>
      <c r="B81" s="16" t="s">
        <v>314</v>
      </c>
      <c r="C81" s="16" t="s">
        <v>324</v>
      </c>
      <c r="D81" s="20"/>
      <c r="E81" s="19"/>
      <c r="F81" s="19">
        <f>D81*E81</f>
        <v>0</v>
      </c>
      <c r="G81" s="19">
        <v>54684</v>
      </c>
      <c r="H81" s="19"/>
      <c r="I81" s="19">
        <f t="shared" si="4"/>
        <v>367072</v>
      </c>
      <c r="J81" s="16"/>
    </row>
    <row r="82" spans="1:10" ht="20.25" customHeight="1">
      <c r="A82" s="18"/>
      <c r="B82" s="16" t="s">
        <v>314</v>
      </c>
      <c r="C82" s="16" t="s">
        <v>323</v>
      </c>
      <c r="D82" s="20"/>
      <c r="E82" s="19"/>
      <c r="F82" s="19">
        <f>D82*E82</f>
        <v>0</v>
      </c>
      <c r="G82" s="19">
        <f>48604+5149</f>
        <v>53753</v>
      </c>
      <c r="H82" s="19"/>
      <c r="I82" s="19">
        <f t="shared" si="4"/>
        <v>313319</v>
      </c>
      <c r="J82" s="16"/>
    </row>
    <row r="83" spans="1:10" ht="20.25" customHeight="1">
      <c r="A83" s="18">
        <v>42169</v>
      </c>
      <c r="B83" s="16" t="s">
        <v>329</v>
      </c>
      <c r="C83" s="16" t="s">
        <v>323</v>
      </c>
      <c r="D83" s="20">
        <v>1650</v>
      </c>
      <c r="E83" s="19">
        <v>16</v>
      </c>
      <c r="F83" s="19"/>
      <c r="G83" s="19">
        <f t="shared" ref="G83:G85" si="6">D83*E83</f>
        <v>26400</v>
      </c>
      <c r="H83" s="19"/>
      <c r="I83" s="19">
        <f t="shared" si="4"/>
        <v>286919</v>
      </c>
      <c r="J83" s="16"/>
    </row>
    <row r="84" spans="1:10" ht="20.25" customHeight="1">
      <c r="A84" s="18"/>
      <c r="B84" s="16" t="s">
        <v>325</v>
      </c>
      <c r="C84" s="16" t="s">
        <v>288</v>
      </c>
      <c r="D84" s="20"/>
      <c r="E84" s="19"/>
      <c r="F84" s="19">
        <f>D84*E84</f>
        <v>0</v>
      </c>
      <c r="G84" s="19">
        <v>113303</v>
      </c>
      <c r="H84" s="19"/>
      <c r="I84" s="19">
        <f t="shared" si="4"/>
        <v>173616</v>
      </c>
      <c r="J84" s="16"/>
    </row>
    <row r="85" spans="1:10" ht="20.25" customHeight="1">
      <c r="A85" s="18"/>
      <c r="B85" s="16" t="s">
        <v>333</v>
      </c>
      <c r="C85" s="16" t="s">
        <v>288</v>
      </c>
      <c r="D85" s="20">
        <v>1105</v>
      </c>
      <c r="E85" s="19">
        <v>9</v>
      </c>
      <c r="F85" s="19"/>
      <c r="G85" s="19">
        <f t="shared" si="6"/>
        <v>9945</v>
      </c>
      <c r="H85" s="19"/>
      <c r="I85" s="19">
        <f t="shared" si="4"/>
        <v>163671</v>
      </c>
      <c r="J85" s="16"/>
    </row>
    <row r="86" spans="1:10" ht="20.25" customHeight="1">
      <c r="A86" s="18"/>
      <c r="B86" s="16" t="s">
        <v>326</v>
      </c>
      <c r="C86" s="16" t="s">
        <v>283</v>
      </c>
      <c r="D86" s="20"/>
      <c r="E86" s="19"/>
      <c r="F86" s="19">
        <f>D86*E86</f>
        <v>0</v>
      </c>
      <c r="G86" s="19">
        <v>209930</v>
      </c>
      <c r="H86" s="19"/>
      <c r="I86" s="19">
        <f t="shared" si="4"/>
        <v>-46259</v>
      </c>
      <c r="J86" s="16"/>
    </row>
    <row r="87" spans="1:10" ht="20.25" customHeight="1">
      <c r="A87" s="18">
        <v>42185</v>
      </c>
      <c r="B87" s="16" t="s">
        <v>340</v>
      </c>
      <c r="C87" s="16" t="s">
        <v>283</v>
      </c>
      <c r="D87" s="20">
        <v>14800</v>
      </c>
      <c r="E87" s="19">
        <v>7</v>
      </c>
      <c r="F87" s="19"/>
      <c r="G87" s="19">
        <f>D87*E87</f>
        <v>103600</v>
      </c>
      <c r="H87" s="19"/>
      <c r="I87" s="19">
        <f t="shared" si="4"/>
        <v>-149859</v>
      </c>
      <c r="J87" s="16"/>
    </row>
    <row r="88" spans="1:10" ht="20.25" customHeight="1">
      <c r="A88" s="18"/>
      <c r="B88" s="16" t="s">
        <v>332</v>
      </c>
      <c r="C88" s="16" t="s">
        <v>44</v>
      </c>
      <c r="D88" s="20">
        <v>10844</v>
      </c>
      <c r="E88" s="19">
        <v>8.5</v>
      </c>
      <c r="F88" s="19"/>
      <c r="G88" s="19">
        <f>D88*E88</f>
        <v>92174</v>
      </c>
      <c r="H88" s="19"/>
      <c r="I88" s="19">
        <f t="shared" si="4"/>
        <v>-242033</v>
      </c>
      <c r="J88" s="16"/>
    </row>
    <row r="89" spans="1:10" ht="20.25" customHeight="1">
      <c r="A89" s="18">
        <v>42181</v>
      </c>
      <c r="B89" s="16" t="s">
        <v>317</v>
      </c>
      <c r="C89" s="16" t="s">
        <v>44</v>
      </c>
      <c r="D89" s="20">
        <f>5*270</f>
        <v>1350</v>
      </c>
      <c r="E89" s="19">
        <v>14.3</v>
      </c>
      <c r="F89" s="19"/>
      <c r="G89" s="19"/>
      <c r="H89" s="19">
        <f>D89*E89</f>
        <v>19305</v>
      </c>
      <c r="I89" s="19">
        <f t="shared" si="4"/>
        <v>-261338</v>
      </c>
      <c r="J89" s="16"/>
    </row>
    <row r="90" spans="1:10" ht="20.25" customHeight="1">
      <c r="A90" s="18">
        <v>42172</v>
      </c>
      <c r="B90" s="16" t="s">
        <v>331</v>
      </c>
      <c r="C90" s="16" t="s">
        <v>44</v>
      </c>
      <c r="D90" s="20"/>
      <c r="E90" s="19"/>
      <c r="F90" s="19">
        <f>D90*E90</f>
        <v>0</v>
      </c>
      <c r="G90" s="19"/>
      <c r="H90" s="19">
        <v>2500</v>
      </c>
      <c r="I90" s="19">
        <f t="shared" si="4"/>
        <v>-263838</v>
      </c>
      <c r="J90" s="16"/>
    </row>
    <row r="91" spans="1:10" ht="20.25" customHeight="1">
      <c r="A91" s="18">
        <v>42174</v>
      </c>
      <c r="B91" s="16" t="s">
        <v>17</v>
      </c>
      <c r="C91" s="16"/>
      <c r="D91" s="20"/>
      <c r="E91" s="19"/>
      <c r="F91" s="19">
        <f>D91*E91</f>
        <v>0</v>
      </c>
      <c r="G91" s="19"/>
      <c r="H91" s="19">
        <v>30000</v>
      </c>
      <c r="I91" s="19">
        <f t="shared" si="4"/>
        <v>-293838</v>
      </c>
      <c r="J91" s="16"/>
    </row>
    <row r="92" spans="1:10" ht="20.25" customHeight="1">
      <c r="A92" s="18">
        <v>42182</v>
      </c>
      <c r="B92" s="16" t="s">
        <v>17</v>
      </c>
      <c r="C92" s="16"/>
      <c r="D92" s="20"/>
      <c r="E92" s="19"/>
      <c r="F92" s="19">
        <f t="shared" ref="F92" si="7">D92*E92</f>
        <v>0</v>
      </c>
      <c r="G92" s="19"/>
      <c r="H92" s="19">
        <v>60000</v>
      </c>
      <c r="I92" s="19">
        <f t="shared" si="4"/>
        <v>-353838</v>
      </c>
      <c r="J92" s="16"/>
    </row>
    <row r="93" spans="1:10" ht="20.25" customHeight="1">
      <c r="A93" s="18">
        <v>42166</v>
      </c>
      <c r="B93" s="16" t="s">
        <v>17</v>
      </c>
      <c r="C93" s="16"/>
      <c r="D93" s="20"/>
      <c r="E93" s="19"/>
      <c r="F93" s="19">
        <f>D93*E93</f>
        <v>0</v>
      </c>
      <c r="G93" s="19"/>
      <c r="H93" s="19">
        <v>80000</v>
      </c>
      <c r="I93" s="19">
        <f t="shared" si="4"/>
        <v>-433838</v>
      </c>
      <c r="J93" s="16"/>
    </row>
    <row r="94" spans="1:10" s="4" customFormat="1" ht="21" customHeight="1">
      <c r="A94" s="254" t="s">
        <v>356</v>
      </c>
      <c r="B94" s="255"/>
      <c r="C94" s="255"/>
      <c r="D94" s="255"/>
      <c r="E94" s="255"/>
      <c r="F94" s="255"/>
      <c r="G94" s="255"/>
      <c r="H94" s="255"/>
      <c r="I94" s="99">
        <f>I93</f>
        <v>-433838</v>
      </c>
      <c r="J94" s="99"/>
    </row>
    <row r="95" spans="1:10" ht="20.25" customHeight="1">
      <c r="A95" s="18">
        <v>42187</v>
      </c>
      <c r="B95" s="16" t="s">
        <v>312</v>
      </c>
      <c r="C95" s="16" t="s">
        <v>44</v>
      </c>
      <c r="D95" s="20">
        <v>2090</v>
      </c>
      <c r="E95" s="223">
        <v>48</v>
      </c>
      <c r="F95" s="19">
        <f t="shared" si="5"/>
        <v>100320</v>
      </c>
      <c r="G95" s="19"/>
      <c r="H95" s="19"/>
      <c r="I95" s="19">
        <f>IF(B95&lt;&gt;"",I93+F95-H95-G95,0)</f>
        <v>-333518</v>
      </c>
      <c r="J95" s="16"/>
    </row>
    <row r="96" spans="1:10" ht="20.25" customHeight="1">
      <c r="A96" s="18"/>
      <c r="B96" s="16" t="s">
        <v>310</v>
      </c>
      <c r="C96" s="16" t="s">
        <v>44</v>
      </c>
      <c r="D96" s="20">
        <v>315</v>
      </c>
      <c r="E96" s="19">
        <v>56</v>
      </c>
      <c r="F96" s="19">
        <f t="shared" si="5"/>
        <v>17640</v>
      </c>
      <c r="G96" s="19"/>
      <c r="H96" s="19"/>
      <c r="I96" s="19">
        <f>IF(B96&lt;&gt;"",I95+F96-H96-G96,0)</f>
        <v>-315878</v>
      </c>
      <c r="J96" s="16"/>
    </row>
    <row r="97" spans="1:10" ht="20.25" customHeight="1">
      <c r="A97" s="18">
        <v>42190</v>
      </c>
      <c r="B97" s="16" t="s">
        <v>312</v>
      </c>
      <c r="C97" s="16" t="s">
        <v>319</v>
      </c>
      <c r="D97" s="20">
        <v>850</v>
      </c>
      <c r="E97" s="223">
        <v>48</v>
      </c>
      <c r="F97" s="19">
        <f t="shared" si="5"/>
        <v>40800</v>
      </c>
      <c r="G97" s="19"/>
      <c r="H97" s="19"/>
      <c r="I97" s="19">
        <f t="shared" ref="I97:I120" si="8">IF(B97&lt;&gt;"",I96+F97-H97-G97,0)</f>
        <v>-275078</v>
      </c>
      <c r="J97" s="16"/>
    </row>
    <row r="98" spans="1:10" ht="20.25" customHeight="1">
      <c r="A98" s="18">
        <v>42190</v>
      </c>
      <c r="B98" s="16" t="s">
        <v>310</v>
      </c>
      <c r="C98" s="16" t="s">
        <v>319</v>
      </c>
      <c r="D98" s="20">
        <v>645</v>
      </c>
      <c r="E98" s="19">
        <v>56</v>
      </c>
      <c r="F98" s="19">
        <f t="shared" si="5"/>
        <v>36120</v>
      </c>
      <c r="G98" s="19"/>
      <c r="H98" s="19"/>
      <c r="I98" s="19">
        <f t="shared" si="8"/>
        <v>-238958</v>
      </c>
      <c r="J98" s="16"/>
    </row>
    <row r="99" spans="1:10" ht="20.25" customHeight="1">
      <c r="A99" s="18">
        <v>42195</v>
      </c>
      <c r="B99" s="16" t="s">
        <v>312</v>
      </c>
      <c r="C99" s="16" t="s">
        <v>44</v>
      </c>
      <c r="D99" s="20">
        <v>825</v>
      </c>
      <c r="E99" s="223">
        <v>48</v>
      </c>
      <c r="F99" s="19">
        <f t="shared" si="5"/>
        <v>39600</v>
      </c>
      <c r="G99" s="19"/>
      <c r="H99" s="19"/>
      <c r="I99" s="19">
        <f t="shared" si="8"/>
        <v>-199358</v>
      </c>
      <c r="J99" s="16"/>
    </row>
    <row r="100" spans="1:10" ht="20.25" customHeight="1">
      <c r="A100" s="18"/>
      <c r="B100" s="16" t="s">
        <v>310</v>
      </c>
      <c r="C100" s="16" t="s">
        <v>44</v>
      </c>
      <c r="D100" s="20">
        <v>1820</v>
      </c>
      <c r="E100" s="19">
        <v>56</v>
      </c>
      <c r="F100" s="19">
        <f t="shared" si="5"/>
        <v>101920</v>
      </c>
      <c r="G100" s="19"/>
      <c r="H100" s="19"/>
      <c r="I100" s="19">
        <f t="shared" si="8"/>
        <v>-97438</v>
      </c>
      <c r="J100" s="16"/>
    </row>
    <row r="101" spans="1:10" ht="20.25" customHeight="1">
      <c r="A101" s="18"/>
      <c r="B101" s="16" t="s">
        <v>335</v>
      </c>
      <c r="C101" s="16" t="s">
        <v>44</v>
      </c>
      <c r="D101" s="20">
        <v>33</v>
      </c>
      <c r="E101" s="19">
        <v>36.5</v>
      </c>
      <c r="F101" s="19">
        <v>1200</v>
      </c>
      <c r="G101" s="19"/>
      <c r="H101" s="19"/>
      <c r="I101" s="19">
        <f t="shared" si="8"/>
        <v>-96238</v>
      </c>
      <c r="J101" s="16"/>
    </row>
    <row r="102" spans="1:10" ht="20.25" customHeight="1">
      <c r="A102" s="18">
        <v>42196</v>
      </c>
      <c r="B102" s="16" t="s">
        <v>312</v>
      </c>
      <c r="C102" s="16" t="s">
        <v>319</v>
      </c>
      <c r="D102" s="20">
        <v>2240</v>
      </c>
      <c r="E102" s="223">
        <v>48</v>
      </c>
      <c r="F102" s="19">
        <f t="shared" si="5"/>
        <v>107520</v>
      </c>
      <c r="G102" s="19"/>
      <c r="H102" s="19"/>
      <c r="I102" s="19">
        <f t="shared" si="8"/>
        <v>11282</v>
      </c>
      <c r="J102" s="16"/>
    </row>
    <row r="103" spans="1:10" ht="20.25" customHeight="1">
      <c r="A103" s="18">
        <v>42202</v>
      </c>
      <c r="B103" s="16" t="s">
        <v>312</v>
      </c>
      <c r="C103" s="16" t="s">
        <v>44</v>
      </c>
      <c r="D103" s="20">
        <v>805</v>
      </c>
      <c r="E103" s="223">
        <v>48</v>
      </c>
      <c r="F103" s="19">
        <f t="shared" si="5"/>
        <v>38640</v>
      </c>
      <c r="G103" s="19"/>
      <c r="H103" s="19"/>
      <c r="I103" s="19">
        <f t="shared" si="8"/>
        <v>49922</v>
      </c>
      <c r="J103" s="16"/>
    </row>
    <row r="104" spans="1:10" ht="20.25" customHeight="1">
      <c r="A104" s="18"/>
      <c r="B104" s="16" t="s">
        <v>310</v>
      </c>
      <c r="C104" s="16" t="s">
        <v>44</v>
      </c>
      <c r="D104" s="20">
        <v>2055</v>
      </c>
      <c r="E104" s="19">
        <v>56</v>
      </c>
      <c r="F104" s="19">
        <f t="shared" si="5"/>
        <v>115080</v>
      </c>
      <c r="G104" s="19"/>
      <c r="H104" s="19"/>
      <c r="I104" s="19">
        <f t="shared" si="8"/>
        <v>165002</v>
      </c>
      <c r="J104" s="16"/>
    </row>
    <row r="105" spans="1:10" ht="20.25" customHeight="1">
      <c r="A105" s="18"/>
      <c r="B105" s="16" t="s">
        <v>328</v>
      </c>
      <c r="C105" s="16" t="s">
        <v>44</v>
      </c>
      <c r="D105" s="20">
        <v>110</v>
      </c>
      <c r="E105" s="19">
        <v>55</v>
      </c>
      <c r="F105" s="19">
        <f t="shared" si="5"/>
        <v>6050</v>
      </c>
      <c r="G105" s="19"/>
      <c r="H105" s="19"/>
      <c r="I105" s="19">
        <f t="shared" si="8"/>
        <v>171052</v>
      </c>
      <c r="J105" s="16"/>
    </row>
    <row r="106" spans="1:10" ht="20.25" customHeight="1">
      <c r="A106" s="18">
        <v>42206</v>
      </c>
      <c r="B106" s="16" t="s">
        <v>312</v>
      </c>
      <c r="C106" s="16" t="s">
        <v>44</v>
      </c>
      <c r="D106" s="20">
        <v>1445</v>
      </c>
      <c r="E106" s="223">
        <v>48</v>
      </c>
      <c r="F106" s="19">
        <f t="shared" si="5"/>
        <v>69360</v>
      </c>
      <c r="G106" s="19"/>
      <c r="H106" s="19"/>
      <c r="I106" s="19">
        <f t="shared" si="8"/>
        <v>240412</v>
      </c>
      <c r="J106" s="16"/>
    </row>
    <row r="107" spans="1:10" ht="20.25" customHeight="1">
      <c r="A107" s="18"/>
      <c r="B107" s="16" t="s">
        <v>330</v>
      </c>
      <c r="C107" s="16" t="s">
        <v>44</v>
      </c>
      <c r="D107" s="20">
        <v>1065</v>
      </c>
      <c r="E107" s="19">
        <v>48</v>
      </c>
      <c r="F107" s="19">
        <f t="shared" si="5"/>
        <v>51120</v>
      </c>
      <c r="G107" s="19"/>
      <c r="H107" s="19"/>
      <c r="I107" s="19">
        <f t="shared" si="8"/>
        <v>291532</v>
      </c>
      <c r="J107" s="16"/>
    </row>
    <row r="108" spans="1:10" ht="20.25" customHeight="1">
      <c r="A108" s="18">
        <v>42212</v>
      </c>
      <c r="B108" s="16" t="s">
        <v>330</v>
      </c>
      <c r="C108" s="16" t="s">
        <v>44</v>
      </c>
      <c r="D108" s="20">
        <v>530</v>
      </c>
      <c r="E108" s="19">
        <v>48</v>
      </c>
      <c r="F108" s="19">
        <f t="shared" si="5"/>
        <v>25440</v>
      </c>
      <c r="G108" s="19"/>
      <c r="H108" s="19"/>
      <c r="I108" s="19">
        <f t="shared" si="8"/>
        <v>316972</v>
      </c>
      <c r="J108" s="16"/>
    </row>
    <row r="109" spans="1:10" ht="20.25" customHeight="1">
      <c r="A109" s="18"/>
      <c r="B109" s="16" t="s">
        <v>342</v>
      </c>
      <c r="C109" s="16" t="s">
        <v>44</v>
      </c>
      <c r="D109" s="20">
        <v>104.5</v>
      </c>
      <c r="E109" s="19">
        <v>48</v>
      </c>
      <c r="F109" s="19">
        <f t="shared" ref="F109" si="9">D109*E109</f>
        <v>5016</v>
      </c>
      <c r="G109" s="19"/>
      <c r="H109" s="19"/>
      <c r="I109" s="19">
        <f t="shared" si="8"/>
        <v>321988</v>
      </c>
      <c r="J109" s="16"/>
    </row>
    <row r="110" spans="1:10" ht="20.25" customHeight="1">
      <c r="A110" s="18"/>
      <c r="B110" s="16" t="s">
        <v>312</v>
      </c>
      <c r="C110" s="16" t="s">
        <v>44</v>
      </c>
      <c r="D110" s="20">
        <v>1846</v>
      </c>
      <c r="E110" s="223">
        <v>48</v>
      </c>
      <c r="F110" s="19">
        <f t="shared" si="5"/>
        <v>88608</v>
      </c>
      <c r="G110" s="19"/>
      <c r="H110" s="19"/>
      <c r="I110" s="19">
        <f t="shared" si="8"/>
        <v>410596</v>
      </c>
      <c r="J110" s="16"/>
    </row>
    <row r="111" spans="1:10" ht="20.25" customHeight="1">
      <c r="A111" s="18"/>
      <c r="B111" s="16" t="s">
        <v>336</v>
      </c>
      <c r="C111" s="16" t="s">
        <v>288</v>
      </c>
      <c r="D111" s="20"/>
      <c r="E111" s="19"/>
      <c r="F111" s="19">
        <f t="shared" si="5"/>
        <v>0</v>
      </c>
      <c r="G111" s="19">
        <v>45549</v>
      </c>
      <c r="H111" s="19"/>
      <c r="I111" s="19">
        <f t="shared" si="8"/>
        <v>365047</v>
      </c>
      <c r="J111" s="16"/>
    </row>
    <row r="112" spans="1:10" ht="20.25" customHeight="1">
      <c r="A112" s="18">
        <v>42188</v>
      </c>
      <c r="B112" s="16" t="s">
        <v>339</v>
      </c>
      <c r="C112" s="16" t="s">
        <v>283</v>
      </c>
      <c r="D112" s="20">
        <v>8043</v>
      </c>
      <c r="E112" s="19">
        <v>8.5</v>
      </c>
      <c r="F112" s="19"/>
      <c r="G112" s="19">
        <f t="shared" ref="G112:G116" si="10">D112*E112</f>
        <v>68365.5</v>
      </c>
      <c r="H112" s="19"/>
      <c r="I112" s="19">
        <f t="shared" si="8"/>
        <v>296681.5</v>
      </c>
      <c r="J112" s="16"/>
    </row>
    <row r="113" spans="1:10" ht="20.25" customHeight="1">
      <c r="A113" s="18">
        <v>42194</v>
      </c>
      <c r="B113" s="16" t="s">
        <v>339</v>
      </c>
      <c r="C113" s="16" t="s">
        <v>283</v>
      </c>
      <c r="D113" s="20">
        <v>657</v>
      </c>
      <c r="E113" s="19">
        <v>9</v>
      </c>
      <c r="F113" s="19"/>
      <c r="G113" s="19">
        <f t="shared" si="10"/>
        <v>5913</v>
      </c>
      <c r="H113" s="19"/>
      <c r="I113" s="19">
        <f t="shared" si="8"/>
        <v>290768.5</v>
      </c>
      <c r="J113" s="16"/>
    </row>
    <row r="114" spans="1:10" ht="20.25" customHeight="1">
      <c r="A114" s="18">
        <v>42197</v>
      </c>
      <c r="B114" s="16" t="s">
        <v>340</v>
      </c>
      <c r="C114" s="16" t="s">
        <v>283</v>
      </c>
      <c r="D114" s="20">
        <v>550</v>
      </c>
      <c r="E114" s="19">
        <v>7</v>
      </c>
      <c r="F114" s="19"/>
      <c r="G114" s="19">
        <f t="shared" si="10"/>
        <v>3850</v>
      </c>
      <c r="H114" s="19"/>
      <c r="I114" s="19">
        <f t="shared" si="8"/>
        <v>286918.5</v>
      </c>
      <c r="J114" s="16"/>
    </row>
    <row r="115" spans="1:10" ht="20.25" customHeight="1">
      <c r="A115" s="18"/>
      <c r="B115" s="16" t="s">
        <v>339</v>
      </c>
      <c r="C115" s="16" t="s">
        <v>283</v>
      </c>
      <c r="D115" s="20">
        <v>1375</v>
      </c>
      <c r="E115" s="19">
        <v>9</v>
      </c>
      <c r="F115" s="19"/>
      <c r="G115" s="19">
        <f t="shared" si="10"/>
        <v>12375</v>
      </c>
      <c r="H115" s="19"/>
      <c r="I115" s="19">
        <f t="shared" si="8"/>
        <v>274543.5</v>
      </c>
      <c r="J115" s="16"/>
    </row>
    <row r="116" spans="1:10" ht="20.25" customHeight="1">
      <c r="A116" s="18">
        <v>42214</v>
      </c>
      <c r="B116" s="16" t="s">
        <v>340</v>
      </c>
      <c r="C116" s="16" t="s">
        <v>283</v>
      </c>
      <c r="D116" s="20">
        <v>25000</v>
      </c>
      <c r="E116" s="19">
        <v>7</v>
      </c>
      <c r="F116" s="19"/>
      <c r="G116" s="19">
        <f t="shared" si="10"/>
        <v>175000</v>
      </c>
      <c r="H116" s="19"/>
      <c r="I116" s="19">
        <f t="shared" si="8"/>
        <v>99543.5</v>
      </c>
      <c r="J116" s="16"/>
    </row>
    <row r="117" spans="1:10" ht="20.25" customHeight="1">
      <c r="A117" s="18"/>
      <c r="B117" s="16" t="s">
        <v>337</v>
      </c>
      <c r="C117" s="16" t="s">
        <v>323</v>
      </c>
      <c r="D117" s="20"/>
      <c r="E117" s="19"/>
      <c r="F117" s="19"/>
      <c r="G117" s="19">
        <v>105538</v>
      </c>
      <c r="H117" s="19"/>
      <c r="I117" s="19">
        <f t="shared" si="8"/>
        <v>-5994.5</v>
      </c>
      <c r="J117" s="16"/>
    </row>
    <row r="118" spans="1:10" ht="20.25" customHeight="1">
      <c r="A118" s="18">
        <v>42191</v>
      </c>
      <c r="B118" s="16" t="s">
        <v>17</v>
      </c>
      <c r="C118" s="16" t="s">
        <v>44</v>
      </c>
      <c r="D118" s="20"/>
      <c r="E118" s="19"/>
      <c r="F118" s="19">
        <f>D118*E118</f>
        <v>0</v>
      </c>
      <c r="G118" s="19"/>
      <c r="H118" s="19">
        <v>50000</v>
      </c>
      <c r="I118" s="19">
        <f t="shared" si="8"/>
        <v>-55994.5</v>
      </c>
      <c r="J118" s="16"/>
    </row>
    <row r="119" spans="1:10" ht="20.25" customHeight="1">
      <c r="A119" s="18">
        <v>42206</v>
      </c>
      <c r="B119" s="16" t="s">
        <v>17</v>
      </c>
      <c r="C119" s="16" t="s">
        <v>44</v>
      </c>
      <c r="D119" s="20"/>
      <c r="E119" s="19"/>
      <c r="F119" s="19"/>
      <c r="G119" s="19"/>
      <c r="H119" s="19">
        <v>70000</v>
      </c>
      <c r="I119" s="19">
        <f t="shared" si="8"/>
        <v>-125994.5</v>
      </c>
      <c r="J119" s="16"/>
    </row>
    <row r="120" spans="1:10" ht="20.25" customHeight="1">
      <c r="A120" s="18">
        <v>42213</v>
      </c>
      <c r="B120" s="16" t="s">
        <v>17</v>
      </c>
      <c r="C120" s="16" t="s">
        <v>44</v>
      </c>
      <c r="D120" s="20"/>
      <c r="E120" s="19"/>
      <c r="F120" s="19"/>
      <c r="G120" s="19"/>
      <c r="H120" s="19">
        <v>100000</v>
      </c>
      <c r="I120" s="19">
        <f t="shared" si="8"/>
        <v>-225994.5</v>
      </c>
      <c r="J120" s="16"/>
    </row>
    <row r="121" spans="1:10" s="4" customFormat="1" ht="21" customHeight="1">
      <c r="A121" s="254" t="s">
        <v>357</v>
      </c>
      <c r="B121" s="255"/>
      <c r="C121" s="255"/>
      <c r="D121" s="255"/>
      <c r="E121" s="255"/>
      <c r="F121" s="255"/>
      <c r="G121" s="255"/>
      <c r="H121" s="255"/>
      <c r="I121" s="99">
        <f>I120</f>
        <v>-225994.5</v>
      </c>
      <c r="J121" s="99"/>
    </row>
    <row r="122" spans="1:10" ht="20.25" customHeight="1">
      <c r="A122" s="18">
        <v>42217</v>
      </c>
      <c r="B122" s="16" t="s">
        <v>330</v>
      </c>
      <c r="C122" s="16" t="s">
        <v>44</v>
      </c>
      <c r="D122" s="20">
        <v>1405</v>
      </c>
      <c r="E122" s="223">
        <v>48</v>
      </c>
      <c r="F122" s="19">
        <f>D122*E122</f>
        <v>67440</v>
      </c>
      <c r="G122" s="19"/>
      <c r="H122" s="19"/>
      <c r="I122" s="19">
        <f>IF(B122&lt;&gt;"",I120+F122-H122-G122,0)</f>
        <v>-158554.5</v>
      </c>
      <c r="J122" s="16"/>
    </row>
    <row r="123" spans="1:10" ht="20.25" customHeight="1">
      <c r="A123" s="18"/>
      <c r="B123" s="16" t="s">
        <v>343</v>
      </c>
      <c r="C123" s="16" t="s">
        <v>44</v>
      </c>
      <c r="D123" s="20">
        <v>1850</v>
      </c>
      <c r="E123" s="19"/>
      <c r="F123" s="19">
        <f>D123*E123</f>
        <v>0</v>
      </c>
      <c r="G123" s="19"/>
      <c r="H123" s="19"/>
      <c r="I123" s="19">
        <f t="shared" ref="I123:I139" si="11">IF(B123&lt;&gt;"",I122+F123-H123-G123,0)</f>
        <v>-158554.5</v>
      </c>
      <c r="J123" s="16"/>
    </row>
    <row r="124" spans="1:10" ht="20.25" customHeight="1">
      <c r="A124" s="18">
        <v>42224</v>
      </c>
      <c r="B124" s="16" t="s">
        <v>312</v>
      </c>
      <c r="C124" s="16" t="s">
        <v>159</v>
      </c>
      <c r="D124" s="20">
        <v>560</v>
      </c>
      <c r="E124" s="224">
        <v>52</v>
      </c>
      <c r="F124" s="19">
        <f t="shared" ref="F124:F128" si="12">D124*E124</f>
        <v>29120</v>
      </c>
      <c r="G124" s="19"/>
      <c r="H124" s="19"/>
      <c r="I124" s="19">
        <f t="shared" si="11"/>
        <v>-129434.5</v>
      </c>
      <c r="J124" s="16"/>
    </row>
    <row r="125" spans="1:10" ht="20.25" customHeight="1">
      <c r="A125" s="18"/>
      <c r="B125" s="16" t="s">
        <v>330</v>
      </c>
      <c r="C125" s="16" t="s">
        <v>159</v>
      </c>
      <c r="D125" s="20">
        <v>365</v>
      </c>
      <c r="E125" s="223">
        <v>48</v>
      </c>
      <c r="F125" s="19">
        <f t="shared" si="12"/>
        <v>17520</v>
      </c>
      <c r="G125" s="19"/>
      <c r="H125" s="19"/>
      <c r="I125" s="19">
        <f t="shared" si="11"/>
        <v>-111914.5</v>
      </c>
      <c r="J125" s="16"/>
    </row>
    <row r="126" spans="1:10" ht="20.25" customHeight="1">
      <c r="A126" s="18">
        <v>42228</v>
      </c>
      <c r="B126" s="16" t="s">
        <v>330</v>
      </c>
      <c r="C126" s="16" t="s">
        <v>159</v>
      </c>
      <c r="D126" s="20">
        <v>809</v>
      </c>
      <c r="E126" s="19">
        <v>48</v>
      </c>
      <c r="F126" s="19">
        <f t="shared" si="12"/>
        <v>38832</v>
      </c>
      <c r="G126" s="19"/>
      <c r="H126" s="19"/>
      <c r="I126" s="19">
        <f t="shared" si="11"/>
        <v>-73082.5</v>
      </c>
      <c r="J126" s="16"/>
    </row>
    <row r="127" spans="1:10" ht="20.25" customHeight="1">
      <c r="A127" s="18">
        <v>42223</v>
      </c>
      <c r="B127" s="16" t="s">
        <v>330</v>
      </c>
      <c r="C127" s="16" t="s">
        <v>349</v>
      </c>
      <c r="D127" s="20">
        <v>2100</v>
      </c>
      <c r="E127" s="224">
        <v>52</v>
      </c>
      <c r="F127" s="19">
        <f t="shared" si="12"/>
        <v>109200</v>
      </c>
      <c r="G127" s="19"/>
      <c r="H127" s="19"/>
      <c r="I127" s="19">
        <f t="shared" si="11"/>
        <v>36117.5</v>
      </c>
      <c r="J127" s="16"/>
    </row>
    <row r="128" spans="1:10" ht="20.25" customHeight="1">
      <c r="A128" s="18">
        <v>42230</v>
      </c>
      <c r="B128" s="16" t="s">
        <v>312</v>
      </c>
      <c r="C128" s="16" t="s">
        <v>44</v>
      </c>
      <c r="D128" s="20">
        <v>1435</v>
      </c>
      <c r="E128" s="223">
        <v>48</v>
      </c>
      <c r="F128" s="19">
        <f t="shared" si="12"/>
        <v>68880</v>
      </c>
      <c r="G128" s="19"/>
      <c r="H128" s="19"/>
      <c r="I128" s="19">
        <f t="shared" si="11"/>
        <v>104997.5</v>
      </c>
      <c r="J128" s="16"/>
    </row>
    <row r="129" spans="1:10" ht="20.25" customHeight="1">
      <c r="A129" s="18">
        <v>42243</v>
      </c>
      <c r="B129" s="16" t="s">
        <v>312</v>
      </c>
      <c r="C129" s="16" t="s">
        <v>44</v>
      </c>
      <c r="D129" s="20">
        <v>2100</v>
      </c>
      <c r="E129" s="223">
        <v>48</v>
      </c>
      <c r="F129" s="19">
        <f t="shared" ref="F129:F183" si="13">D129*E129</f>
        <v>100800</v>
      </c>
      <c r="G129" s="19"/>
      <c r="H129" s="19"/>
      <c r="I129" s="19">
        <f t="shared" si="11"/>
        <v>205797.5</v>
      </c>
      <c r="J129" s="16"/>
    </row>
    <row r="130" spans="1:10" ht="20.25" customHeight="1">
      <c r="A130" s="18"/>
      <c r="B130" s="16" t="s">
        <v>312</v>
      </c>
      <c r="C130" s="16" t="s">
        <v>44</v>
      </c>
      <c r="D130" s="20">
        <v>686.2</v>
      </c>
      <c r="E130" s="19">
        <v>50</v>
      </c>
      <c r="F130" s="19">
        <f t="shared" si="13"/>
        <v>34310</v>
      </c>
      <c r="G130" s="19"/>
      <c r="H130" s="19"/>
      <c r="I130" s="19">
        <f t="shared" si="11"/>
        <v>240107.5</v>
      </c>
      <c r="J130" s="16"/>
    </row>
    <row r="131" spans="1:10" ht="20.25" customHeight="1">
      <c r="A131" s="18">
        <v>42221</v>
      </c>
      <c r="B131" s="16" t="s">
        <v>162</v>
      </c>
      <c r="C131" s="16" t="s">
        <v>323</v>
      </c>
      <c r="D131" s="20">
        <v>3400</v>
      </c>
      <c r="E131" s="19">
        <v>8.5</v>
      </c>
      <c r="F131" s="19"/>
      <c r="G131" s="19">
        <f>D131*E131</f>
        <v>28900</v>
      </c>
      <c r="H131" s="19"/>
      <c r="I131" s="19">
        <f t="shared" si="11"/>
        <v>211207.5</v>
      </c>
      <c r="J131" s="16"/>
    </row>
    <row r="132" spans="1:10" ht="20.25" customHeight="1">
      <c r="A132" s="18">
        <v>42226</v>
      </c>
      <c r="B132" s="16" t="s">
        <v>162</v>
      </c>
      <c r="C132" s="16" t="s">
        <v>323</v>
      </c>
      <c r="D132" s="20">
        <v>2440</v>
      </c>
      <c r="E132" s="19">
        <v>6</v>
      </c>
      <c r="F132" s="19"/>
      <c r="G132" s="19">
        <f>D132*E132</f>
        <v>14640</v>
      </c>
      <c r="H132" s="19"/>
      <c r="I132" s="19">
        <f t="shared" si="11"/>
        <v>196567.5</v>
      </c>
      <c r="J132" s="16"/>
    </row>
    <row r="133" spans="1:10" ht="20.25" customHeight="1">
      <c r="A133" s="18"/>
      <c r="B133" s="16" t="s">
        <v>162</v>
      </c>
      <c r="C133" s="16" t="s">
        <v>351</v>
      </c>
      <c r="D133" s="20">
        <v>2100</v>
      </c>
      <c r="E133" s="19">
        <v>27</v>
      </c>
      <c r="F133" s="19"/>
      <c r="G133" s="19">
        <f>D133*E133</f>
        <v>56700</v>
      </c>
      <c r="H133" s="19"/>
      <c r="I133" s="19">
        <f t="shared" si="11"/>
        <v>139867.5</v>
      </c>
      <c r="J133" s="16"/>
    </row>
    <row r="134" spans="1:10" ht="20.25" customHeight="1">
      <c r="A134" s="18"/>
      <c r="B134" s="16" t="s">
        <v>162</v>
      </c>
      <c r="C134" s="16" t="s">
        <v>324</v>
      </c>
      <c r="D134" s="20">
        <v>8850</v>
      </c>
      <c r="E134" s="19">
        <v>7.2</v>
      </c>
      <c r="F134" s="19"/>
      <c r="G134" s="19">
        <f>D134*E134</f>
        <v>63720</v>
      </c>
      <c r="H134" s="19"/>
      <c r="I134" s="19">
        <f t="shared" si="11"/>
        <v>76147.5</v>
      </c>
      <c r="J134" s="16"/>
    </row>
    <row r="135" spans="1:10" ht="20.25" customHeight="1">
      <c r="A135" s="18"/>
      <c r="B135" s="16" t="s">
        <v>162</v>
      </c>
      <c r="C135" s="16" t="s">
        <v>350</v>
      </c>
      <c r="D135" s="20">
        <v>1744</v>
      </c>
      <c r="E135" s="19">
        <v>7.2</v>
      </c>
      <c r="F135" s="19"/>
      <c r="G135" s="19">
        <f>D135*E135</f>
        <v>12556.800000000001</v>
      </c>
      <c r="H135" s="19"/>
      <c r="I135" s="19">
        <f t="shared" si="11"/>
        <v>63590.7</v>
      </c>
      <c r="J135" s="16"/>
    </row>
    <row r="136" spans="1:10" ht="20.25" customHeight="1">
      <c r="A136" s="18">
        <v>42217</v>
      </c>
      <c r="B136" s="16" t="s">
        <v>317</v>
      </c>
      <c r="C136" s="16" t="s">
        <v>44</v>
      </c>
      <c r="D136" s="20">
        <f>8*270</f>
        <v>2160</v>
      </c>
      <c r="E136" s="19">
        <v>14.5</v>
      </c>
      <c r="F136" s="19"/>
      <c r="G136" s="19"/>
      <c r="H136" s="19">
        <f>D136*E136</f>
        <v>31320</v>
      </c>
      <c r="I136" s="19">
        <f t="shared" si="11"/>
        <v>32270.699999999997</v>
      </c>
      <c r="J136" s="16"/>
    </row>
    <row r="137" spans="1:10" ht="20.25" customHeight="1">
      <c r="A137" s="18">
        <v>42222</v>
      </c>
      <c r="B137" s="16" t="s">
        <v>17</v>
      </c>
      <c r="C137" s="16" t="s">
        <v>44</v>
      </c>
      <c r="D137" s="20"/>
      <c r="E137" s="19"/>
      <c r="F137" s="19"/>
      <c r="G137" s="19"/>
      <c r="H137" s="19">
        <v>50000</v>
      </c>
      <c r="I137" s="19">
        <f t="shared" si="11"/>
        <v>-17729.300000000003</v>
      </c>
      <c r="J137" s="16"/>
    </row>
    <row r="138" spans="1:10" ht="20.25" customHeight="1">
      <c r="A138" s="18">
        <v>42231</v>
      </c>
      <c r="B138" s="16" t="s">
        <v>17</v>
      </c>
      <c r="C138" s="16" t="s">
        <v>44</v>
      </c>
      <c r="D138" s="20"/>
      <c r="E138" s="19"/>
      <c r="F138" s="19">
        <f>D138*E138</f>
        <v>0</v>
      </c>
      <c r="G138" s="19"/>
      <c r="H138" s="19">
        <v>15000</v>
      </c>
      <c r="I138" s="19">
        <f t="shared" si="11"/>
        <v>-32729.300000000003</v>
      </c>
      <c r="J138" s="16"/>
    </row>
    <row r="139" spans="1:10" ht="20.25" customHeight="1">
      <c r="A139" s="18">
        <v>42234</v>
      </c>
      <c r="B139" s="16" t="s">
        <v>17</v>
      </c>
      <c r="C139" s="16" t="s">
        <v>44</v>
      </c>
      <c r="D139" s="20"/>
      <c r="E139" s="19"/>
      <c r="F139" s="19">
        <f>D139*E139</f>
        <v>0</v>
      </c>
      <c r="G139" s="19"/>
      <c r="H139" s="19">
        <v>60000</v>
      </c>
      <c r="I139" s="19">
        <f t="shared" si="11"/>
        <v>-92729.3</v>
      </c>
      <c r="J139" s="16"/>
    </row>
    <row r="140" spans="1:10" s="4" customFormat="1" ht="21" customHeight="1">
      <c r="A140" s="254" t="s">
        <v>358</v>
      </c>
      <c r="B140" s="255"/>
      <c r="C140" s="255"/>
      <c r="D140" s="255"/>
      <c r="E140" s="255"/>
      <c r="F140" s="255"/>
      <c r="G140" s="255"/>
      <c r="H140" s="255"/>
      <c r="I140" s="99">
        <f>I139</f>
        <v>-92729.3</v>
      </c>
      <c r="J140" s="99"/>
    </row>
    <row r="141" spans="1:10" ht="20.25" customHeight="1">
      <c r="A141" s="18">
        <v>42258</v>
      </c>
      <c r="B141" s="16" t="s">
        <v>312</v>
      </c>
      <c r="C141" s="16" t="s">
        <v>44</v>
      </c>
      <c r="D141" s="20">
        <v>850</v>
      </c>
      <c r="E141" s="223">
        <v>48</v>
      </c>
      <c r="F141" s="19">
        <f t="shared" si="13"/>
        <v>40800</v>
      </c>
      <c r="G141" s="19"/>
      <c r="H141" s="19"/>
      <c r="I141" s="19">
        <f>IF(B141&lt;&gt;"",I139+F141-H141-G141,0)</f>
        <v>-51929.3</v>
      </c>
      <c r="J141" s="16"/>
    </row>
    <row r="142" spans="1:10" ht="20.25" customHeight="1">
      <c r="A142" s="18">
        <v>42263</v>
      </c>
      <c r="B142" s="16" t="s">
        <v>312</v>
      </c>
      <c r="C142" s="16" t="s">
        <v>44</v>
      </c>
      <c r="D142" s="20">
        <v>2655</v>
      </c>
      <c r="E142" s="19">
        <v>52</v>
      </c>
      <c r="F142" s="19">
        <f t="shared" si="13"/>
        <v>138060</v>
      </c>
      <c r="G142" s="19"/>
      <c r="H142" s="19"/>
      <c r="I142" s="19">
        <f>IF(B142&lt;&gt;"",I141+F142-H142-G142,0)</f>
        <v>86130.7</v>
      </c>
      <c r="J142" s="16"/>
    </row>
    <row r="143" spans="1:10" ht="20.25" customHeight="1">
      <c r="A143" s="18">
        <v>42268</v>
      </c>
      <c r="B143" s="16" t="s">
        <v>359</v>
      </c>
      <c r="C143" s="16" t="s">
        <v>44</v>
      </c>
      <c r="D143" s="20">
        <v>2205</v>
      </c>
      <c r="E143" s="19">
        <v>55</v>
      </c>
      <c r="F143" s="19">
        <f t="shared" si="13"/>
        <v>121275</v>
      </c>
      <c r="G143" s="19"/>
      <c r="H143" s="19"/>
      <c r="I143" s="19">
        <f t="shared" ref="I143:I158" si="14">IF(B143&lt;&gt;"",I142+F143-H143-G143,0)</f>
        <v>207405.7</v>
      </c>
      <c r="J143" s="16"/>
    </row>
    <row r="144" spans="1:10" ht="20.25" customHeight="1">
      <c r="A144" s="18"/>
      <c r="B144" s="16" t="s">
        <v>360</v>
      </c>
      <c r="C144" s="16" t="s">
        <v>44</v>
      </c>
      <c r="D144" s="20">
        <v>15</v>
      </c>
      <c r="E144" s="19">
        <v>50</v>
      </c>
      <c r="F144" s="19">
        <f t="shared" si="13"/>
        <v>750</v>
      </c>
      <c r="G144" s="19"/>
      <c r="H144" s="19"/>
      <c r="I144" s="19">
        <f t="shared" si="14"/>
        <v>208155.7</v>
      </c>
      <c r="J144" s="16"/>
    </row>
    <row r="145" spans="1:10" ht="20.25" customHeight="1">
      <c r="A145" s="18"/>
      <c r="B145" s="16" t="s">
        <v>312</v>
      </c>
      <c r="C145" s="16" t="s">
        <v>44</v>
      </c>
      <c r="D145" s="20">
        <v>345</v>
      </c>
      <c r="E145" s="19">
        <v>50</v>
      </c>
      <c r="F145" s="19">
        <f t="shared" si="13"/>
        <v>17250</v>
      </c>
      <c r="G145" s="19"/>
      <c r="H145" s="19"/>
      <c r="I145" s="19">
        <f t="shared" si="14"/>
        <v>225405.7</v>
      </c>
      <c r="J145" s="16"/>
    </row>
    <row r="146" spans="1:10" ht="20.25" customHeight="1">
      <c r="A146" s="18">
        <v>42271</v>
      </c>
      <c r="B146" s="16" t="s">
        <v>312</v>
      </c>
      <c r="C146" s="16" t="s">
        <v>44</v>
      </c>
      <c r="D146" s="20">
        <v>975</v>
      </c>
      <c r="E146" s="19">
        <v>50</v>
      </c>
      <c r="F146" s="19">
        <f t="shared" si="13"/>
        <v>48750</v>
      </c>
      <c r="G146" s="19"/>
      <c r="H146" s="19"/>
      <c r="I146" s="19">
        <f t="shared" si="14"/>
        <v>274155.7</v>
      </c>
      <c r="J146" s="16"/>
    </row>
    <row r="147" spans="1:10" ht="20.25" customHeight="1">
      <c r="A147" s="18">
        <v>42275</v>
      </c>
      <c r="B147" s="16" t="s">
        <v>312</v>
      </c>
      <c r="C147" s="16" t="s">
        <v>44</v>
      </c>
      <c r="D147" s="20">
        <v>1169</v>
      </c>
      <c r="E147" s="19">
        <v>50</v>
      </c>
      <c r="F147" s="19">
        <f t="shared" si="13"/>
        <v>58450</v>
      </c>
      <c r="G147" s="19"/>
      <c r="H147" s="19"/>
      <c r="I147" s="19">
        <f t="shared" si="14"/>
        <v>332605.7</v>
      </c>
      <c r="J147" s="16"/>
    </row>
    <row r="148" spans="1:10" ht="20.25" customHeight="1">
      <c r="A148" s="18">
        <v>42217</v>
      </c>
      <c r="B148" s="16" t="s">
        <v>318</v>
      </c>
      <c r="C148" s="16" t="s">
        <v>44</v>
      </c>
      <c r="D148" s="20">
        <v>500</v>
      </c>
      <c r="E148" s="19">
        <v>16.8</v>
      </c>
      <c r="F148" s="19"/>
      <c r="G148" s="19"/>
      <c r="H148" s="19">
        <f>D148*E148</f>
        <v>8400</v>
      </c>
      <c r="I148" s="19">
        <f t="shared" si="14"/>
        <v>324205.7</v>
      </c>
      <c r="J148" s="16"/>
    </row>
    <row r="149" spans="1:10" ht="20.25" customHeight="1">
      <c r="A149" s="18">
        <v>42261</v>
      </c>
      <c r="B149" s="16" t="s">
        <v>213</v>
      </c>
      <c r="C149" s="16" t="s">
        <v>350</v>
      </c>
      <c r="D149" s="20">
        <v>693</v>
      </c>
      <c r="E149" s="19">
        <v>7.8</v>
      </c>
      <c r="F149" s="19"/>
      <c r="G149" s="19">
        <f t="shared" ref="G149:G153" si="15">D149*E149</f>
        <v>5405.4</v>
      </c>
      <c r="H149" s="19"/>
      <c r="I149" s="19">
        <f t="shared" si="14"/>
        <v>318800.3</v>
      </c>
      <c r="J149" s="16"/>
    </row>
    <row r="150" spans="1:10" ht="20.25" customHeight="1">
      <c r="A150" s="18">
        <v>42272</v>
      </c>
      <c r="B150" s="16" t="s">
        <v>213</v>
      </c>
      <c r="C150" s="16" t="s">
        <v>350</v>
      </c>
      <c r="D150" s="20">
        <v>6706</v>
      </c>
      <c r="E150" s="19">
        <v>7.8</v>
      </c>
      <c r="F150" s="19"/>
      <c r="G150" s="19">
        <f t="shared" si="15"/>
        <v>52306.799999999996</v>
      </c>
      <c r="H150" s="19"/>
      <c r="I150" s="19">
        <f t="shared" si="14"/>
        <v>266493.5</v>
      </c>
      <c r="J150" s="16"/>
    </row>
    <row r="151" spans="1:10" ht="20.25" customHeight="1">
      <c r="A151" s="18">
        <v>42272</v>
      </c>
      <c r="B151" s="16" t="s">
        <v>361</v>
      </c>
      <c r="C151" s="16" t="s">
        <v>350</v>
      </c>
      <c r="D151" s="20">
        <v>6833</v>
      </c>
      <c r="E151" s="19">
        <v>9.5</v>
      </c>
      <c r="F151" s="19"/>
      <c r="G151" s="19">
        <f t="shared" si="15"/>
        <v>64913.5</v>
      </c>
      <c r="H151" s="19"/>
      <c r="I151" s="19">
        <f t="shared" si="14"/>
        <v>201580</v>
      </c>
      <c r="J151" s="16"/>
    </row>
    <row r="152" spans="1:10" ht="20.25" customHeight="1">
      <c r="A152" s="18">
        <v>42277</v>
      </c>
      <c r="B152" s="16" t="s">
        <v>213</v>
      </c>
      <c r="C152" s="16" t="s">
        <v>350</v>
      </c>
      <c r="D152" s="20">
        <v>1131</v>
      </c>
      <c r="E152" s="19">
        <v>7.8</v>
      </c>
      <c r="F152" s="19"/>
      <c r="G152" s="19">
        <f t="shared" si="15"/>
        <v>8821.7999999999993</v>
      </c>
      <c r="H152" s="19"/>
      <c r="I152" s="19">
        <f t="shared" si="14"/>
        <v>192758.2</v>
      </c>
      <c r="J152" s="16"/>
    </row>
    <row r="153" spans="1:10" ht="20.25" customHeight="1">
      <c r="A153" s="18">
        <v>42254</v>
      </c>
      <c r="B153" s="16" t="s">
        <v>162</v>
      </c>
      <c r="C153" s="16" t="s">
        <v>323</v>
      </c>
      <c r="D153" s="20">
        <v>2927</v>
      </c>
      <c r="E153" s="19">
        <v>7.2</v>
      </c>
      <c r="F153" s="19"/>
      <c r="G153" s="19">
        <f t="shared" si="15"/>
        <v>21074.400000000001</v>
      </c>
      <c r="H153" s="19"/>
      <c r="I153" s="19">
        <f t="shared" si="14"/>
        <v>171683.80000000002</v>
      </c>
      <c r="J153" s="16"/>
    </row>
    <row r="154" spans="1:10" ht="20.25" customHeight="1">
      <c r="A154" s="18"/>
      <c r="B154" s="16" t="s">
        <v>162</v>
      </c>
      <c r="C154" s="16" t="s">
        <v>351</v>
      </c>
      <c r="D154" s="20">
        <v>8000</v>
      </c>
      <c r="E154" s="19">
        <v>27</v>
      </c>
      <c r="F154" s="19"/>
      <c r="G154" s="19">
        <f>D154*E154</f>
        <v>216000</v>
      </c>
      <c r="H154" s="19"/>
      <c r="I154" s="19">
        <f t="shared" si="14"/>
        <v>-44316.199999999983</v>
      </c>
      <c r="J154" s="16"/>
    </row>
    <row r="155" spans="1:10" ht="20.25" customHeight="1">
      <c r="A155" s="18"/>
      <c r="B155" s="16" t="s">
        <v>162</v>
      </c>
      <c r="C155" s="16" t="s">
        <v>352</v>
      </c>
      <c r="D155" s="20">
        <v>9290</v>
      </c>
      <c r="E155" s="19">
        <v>9.5</v>
      </c>
      <c r="F155" s="19"/>
      <c r="G155" s="19">
        <f t="shared" ref="G155" si="16">D155*E155</f>
        <v>88255</v>
      </c>
      <c r="H155" s="19"/>
      <c r="I155" s="19">
        <f t="shared" si="14"/>
        <v>-132571.19999999998</v>
      </c>
      <c r="J155" s="16"/>
    </row>
    <row r="156" spans="1:10" ht="20.25" customHeight="1">
      <c r="A156" s="18"/>
      <c r="B156" s="16" t="s">
        <v>162</v>
      </c>
      <c r="C156" s="16" t="s">
        <v>79</v>
      </c>
      <c r="D156" s="20">
        <v>7879</v>
      </c>
      <c r="E156" s="19">
        <v>7.5</v>
      </c>
      <c r="F156" s="19"/>
      <c r="G156" s="19">
        <f t="shared" ref="G156" si="17">D156*E156</f>
        <v>59092.5</v>
      </c>
      <c r="H156" s="19"/>
      <c r="I156" s="19">
        <f t="shared" si="14"/>
        <v>-191663.69999999998</v>
      </c>
      <c r="J156" s="16"/>
    </row>
    <row r="157" spans="1:10" ht="20.25" customHeight="1">
      <c r="A157" s="18">
        <v>42258</v>
      </c>
      <c r="B157" s="16" t="s">
        <v>17</v>
      </c>
      <c r="C157" s="16" t="s">
        <v>44</v>
      </c>
      <c r="D157" s="20"/>
      <c r="E157" s="19"/>
      <c r="F157" s="19">
        <f t="shared" ref="F157" si="18">D157*E157</f>
        <v>0</v>
      </c>
      <c r="G157" s="19"/>
      <c r="H157" s="19">
        <v>20000</v>
      </c>
      <c r="I157" s="19">
        <f t="shared" si="14"/>
        <v>-211663.69999999998</v>
      </c>
      <c r="J157" s="16"/>
    </row>
    <row r="158" spans="1:10" ht="20.25" customHeight="1">
      <c r="A158" s="18">
        <v>42266</v>
      </c>
      <c r="B158" s="16" t="s">
        <v>17</v>
      </c>
      <c r="C158" s="16" t="s">
        <v>44</v>
      </c>
      <c r="D158" s="20"/>
      <c r="E158" s="19"/>
      <c r="F158" s="19">
        <f t="shared" si="13"/>
        <v>0</v>
      </c>
      <c r="G158" s="19"/>
      <c r="H158" s="19">
        <v>50000</v>
      </c>
      <c r="I158" s="19">
        <f t="shared" si="14"/>
        <v>-261663.69999999998</v>
      </c>
      <c r="J158" s="16"/>
    </row>
    <row r="159" spans="1:10" s="4" customFormat="1" ht="21" customHeight="1">
      <c r="A159" s="254" t="s">
        <v>362</v>
      </c>
      <c r="B159" s="255"/>
      <c r="C159" s="255"/>
      <c r="D159" s="255"/>
      <c r="E159" s="255"/>
      <c r="F159" s="255"/>
      <c r="G159" s="255"/>
      <c r="H159" s="255"/>
      <c r="I159" s="99">
        <f>I158</f>
        <v>-261663.69999999998</v>
      </c>
      <c r="J159" s="99"/>
    </row>
    <row r="160" spans="1:10" ht="20.25" customHeight="1">
      <c r="A160" s="18">
        <v>42284</v>
      </c>
      <c r="B160" s="16" t="s">
        <v>310</v>
      </c>
      <c r="C160" s="16" t="s">
        <v>44</v>
      </c>
      <c r="D160" s="20">
        <v>930</v>
      </c>
      <c r="E160" s="19">
        <v>55</v>
      </c>
      <c r="F160" s="19">
        <f t="shared" si="13"/>
        <v>51150</v>
      </c>
      <c r="G160" s="19"/>
      <c r="H160" s="19"/>
      <c r="I160" s="19">
        <f>IF(B160&lt;&gt;"",I158+F160-H160-G160,0)</f>
        <v>-210513.69999999998</v>
      </c>
      <c r="J160" s="16"/>
    </row>
    <row r="161" spans="1:10" ht="20.25" customHeight="1">
      <c r="A161" s="18"/>
      <c r="B161" s="16" t="s">
        <v>312</v>
      </c>
      <c r="C161" s="16" t="s">
        <v>44</v>
      </c>
      <c r="D161" s="20">
        <v>1235</v>
      </c>
      <c r="E161" s="19">
        <v>50</v>
      </c>
      <c r="F161" s="19">
        <f t="shared" si="13"/>
        <v>61750</v>
      </c>
      <c r="G161" s="19"/>
      <c r="H161" s="19"/>
      <c r="I161" s="19">
        <f t="shared" ref="I161:I219" si="19">IF(B161&lt;&gt;"",I160+F161-H161-G161,0)</f>
        <v>-148763.69999999998</v>
      </c>
      <c r="J161" s="16"/>
    </row>
    <row r="162" spans="1:10" ht="20.25" customHeight="1">
      <c r="A162" s="18">
        <v>42288</v>
      </c>
      <c r="B162" s="16" t="s">
        <v>167</v>
      </c>
      <c r="C162" s="16" t="s">
        <v>403</v>
      </c>
      <c r="D162" s="20">
        <v>4535</v>
      </c>
      <c r="E162" s="19">
        <v>17</v>
      </c>
      <c r="F162" s="19">
        <f t="shared" si="13"/>
        <v>77095</v>
      </c>
      <c r="G162" s="19"/>
      <c r="H162" s="19"/>
      <c r="I162" s="19">
        <f t="shared" si="19"/>
        <v>-71668.699999999983</v>
      </c>
      <c r="J162" s="16"/>
    </row>
    <row r="163" spans="1:10" ht="20.25" customHeight="1">
      <c r="A163" s="18">
        <v>42293</v>
      </c>
      <c r="B163" s="16" t="s">
        <v>310</v>
      </c>
      <c r="C163" s="16" t="s">
        <v>44</v>
      </c>
      <c r="D163" s="20">
        <v>1750</v>
      </c>
      <c r="E163" s="19">
        <v>55</v>
      </c>
      <c r="F163" s="19">
        <f t="shared" si="13"/>
        <v>96250</v>
      </c>
      <c r="G163" s="19"/>
      <c r="H163" s="19"/>
      <c r="I163" s="19">
        <f t="shared" si="19"/>
        <v>24581.300000000017</v>
      </c>
      <c r="J163" s="16"/>
    </row>
    <row r="164" spans="1:10" ht="20.25" customHeight="1">
      <c r="A164" s="18"/>
      <c r="B164" s="16" t="s">
        <v>312</v>
      </c>
      <c r="C164" s="16" t="s">
        <v>44</v>
      </c>
      <c r="D164" s="20">
        <v>1050</v>
      </c>
      <c r="E164" s="19">
        <v>48</v>
      </c>
      <c r="F164" s="19">
        <f t="shared" si="13"/>
        <v>50400</v>
      </c>
      <c r="G164" s="19"/>
      <c r="H164" s="19"/>
      <c r="I164" s="19">
        <f t="shared" si="19"/>
        <v>74981.300000000017</v>
      </c>
      <c r="J164" s="16"/>
    </row>
    <row r="165" spans="1:10" ht="20.25" customHeight="1">
      <c r="A165" s="18">
        <v>42302</v>
      </c>
      <c r="B165" s="16" t="s">
        <v>312</v>
      </c>
      <c r="C165" s="16" t="s">
        <v>44</v>
      </c>
      <c r="D165" s="20">
        <v>1895</v>
      </c>
      <c r="E165" s="19">
        <v>48</v>
      </c>
      <c r="F165" s="19">
        <f t="shared" ref="F165:F168" si="20">D165*E165</f>
        <v>90960</v>
      </c>
      <c r="G165" s="19"/>
      <c r="H165" s="19"/>
      <c r="I165" s="19">
        <f t="shared" ref="I165:I170" si="21">IF(B165&lt;&gt;"",I164+F165-H165-G165,0)</f>
        <v>165941.30000000002</v>
      </c>
      <c r="J165" s="16"/>
    </row>
    <row r="166" spans="1:10" ht="20.25" customHeight="1">
      <c r="A166" s="18"/>
      <c r="B166" s="16" t="s">
        <v>310</v>
      </c>
      <c r="C166" s="16" t="s">
        <v>44</v>
      </c>
      <c r="D166" s="20">
        <v>2120</v>
      </c>
      <c r="E166" s="19">
        <v>55</v>
      </c>
      <c r="F166" s="19">
        <f t="shared" si="20"/>
        <v>116600</v>
      </c>
      <c r="G166" s="19"/>
      <c r="H166" s="19"/>
      <c r="I166" s="19">
        <f t="shared" si="21"/>
        <v>282541.30000000005</v>
      </c>
      <c r="J166" s="16"/>
    </row>
    <row r="167" spans="1:10" ht="20.25" customHeight="1">
      <c r="A167" s="18">
        <v>42308</v>
      </c>
      <c r="B167" s="16" t="s">
        <v>310</v>
      </c>
      <c r="C167" s="16" t="s">
        <v>44</v>
      </c>
      <c r="D167" s="20">
        <v>1845</v>
      </c>
      <c r="E167" s="19">
        <v>55</v>
      </c>
      <c r="F167" s="19">
        <f t="shared" si="20"/>
        <v>101475</v>
      </c>
      <c r="G167" s="19"/>
      <c r="H167" s="19"/>
      <c r="I167" s="19">
        <f t="shared" si="21"/>
        <v>384016.30000000005</v>
      </c>
      <c r="J167" s="16"/>
    </row>
    <row r="168" spans="1:10" ht="20.25" customHeight="1">
      <c r="A168" s="18"/>
      <c r="B168" s="16" t="s">
        <v>312</v>
      </c>
      <c r="C168" s="16" t="s">
        <v>44</v>
      </c>
      <c r="D168" s="20">
        <v>1250</v>
      </c>
      <c r="E168" s="19">
        <v>48</v>
      </c>
      <c r="F168" s="19">
        <f t="shared" si="20"/>
        <v>60000</v>
      </c>
      <c r="G168" s="19"/>
      <c r="H168" s="19"/>
      <c r="I168" s="19">
        <f t="shared" si="21"/>
        <v>444016.30000000005</v>
      </c>
      <c r="J168" s="16"/>
    </row>
    <row r="169" spans="1:10" ht="20.25" customHeight="1">
      <c r="A169" s="18">
        <v>42284</v>
      </c>
      <c r="B169" s="16" t="s">
        <v>318</v>
      </c>
      <c r="C169" s="16" t="s">
        <v>44</v>
      </c>
      <c r="D169" s="20">
        <f>5*50</f>
        <v>250</v>
      </c>
      <c r="E169" s="19">
        <v>16.8</v>
      </c>
      <c r="F169" s="19"/>
      <c r="G169" s="19"/>
      <c r="H169" s="19">
        <f>D169*E169</f>
        <v>4200</v>
      </c>
      <c r="I169" s="19">
        <f t="shared" si="21"/>
        <v>439816.30000000005</v>
      </c>
      <c r="J169" s="16"/>
    </row>
    <row r="170" spans="1:10" ht="20.25" customHeight="1">
      <c r="A170" s="18">
        <v>42293</v>
      </c>
      <c r="B170" s="16" t="s">
        <v>318</v>
      </c>
      <c r="C170" s="16" t="s">
        <v>44</v>
      </c>
      <c r="D170" s="20">
        <f>10*50</f>
        <v>500</v>
      </c>
      <c r="E170" s="19">
        <v>16.8</v>
      </c>
      <c r="F170" s="19"/>
      <c r="G170" s="19"/>
      <c r="H170" s="19">
        <f t="shared" ref="H170:H173" si="22">D170*E170</f>
        <v>8400</v>
      </c>
      <c r="I170" s="19">
        <f t="shared" si="21"/>
        <v>431416.30000000005</v>
      </c>
      <c r="J170" s="16"/>
    </row>
    <row r="171" spans="1:10" ht="20.25" customHeight="1">
      <c r="A171" s="18">
        <v>42302</v>
      </c>
      <c r="B171" s="16" t="s">
        <v>318</v>
      </c>
      <c r="C171" s="16" t="s">
        <v>44</v>
      </c>
      <c r="D171" s="20">
        <f>2*50</f>
        <v>100</v>
      </c>
      <c r="E171" s="19">
        <v>16.8</v>
      </c>
      <c r="F171" s="19"/>
      <c r="G171" s="19"/>
      <c r="H171" s="19">
        <f t="shared" si="22"/>
        <v>1680</v>
      </c>
      <c r="I171" s="19">
        <f t="shared" ref="I171:I185" si="23">IF(B171&lt;&gt;"",I170+F171-H171-G171,0)</f>
        <v>429736.30000000005</v>
      </c>
      <c r="J171" s="16"/>
    </row>
    <row r="172" spans="1:10" ht="20.25" customHeight="1">
      <c r="A172" s="18">
        <v>42308</v>
      </c>
      <c r="B172" s="16" t="s">
        <v>318</v>
      </c>
      <c r="C172" s="16" t="s">
        <v>44</v>
      </c>
      <c r="D172" s="20">
        <f>10*50</f>
        <v>500</v>
      </c>
      <c r="E172" s="19">
        <v>16.8</v>
      </c>
      <c r="F172" s="19"/>
      <c r="G172" s="19"/>
      <c r="H172" s="19">
        <f t="shared" si="22"/>
        <v>8400</v>
      </c>
      <c r="I172" s="19">
        <f t="shared" si="23"/>
        <v>421336.30000000005</v>
      </c>
      <c r="J172" s="16"/>
    </row>
    <row r="173" spans="1:10" ht="20.25" customHeight="1">
      <c r="A173" s="18">
        <v>42302</v>
      </c>
      <c r="B173" s="16" t="s">
        <v>317</v>
      </c>
      <c r="C173" s="16" t="s">
        <v>44</v>
      </c>
      <c r="D173" s="20">
        <f>2*270</f>
        <v>540</v>
      </c>
      <c r="E173" s="19">
        <v>14.7</v>
      </c>
      <c r="F173" s="19"/>
      <c r="G173" s="19"/>
      <c r="H173" s="19">
        <f t="shared" si="22"/>
        <v>7938</v>
      </c>
      <c r="I173" s="19">
        <f t="shared" si="23"/>
        <v>413398.30000000005</v>
      </c>
      <c r="J173" s="16"/>
    </row>
    <row r="174" spans="1:10" ht="20.25" customHeight="1">
      <c r="A174" s="18"/>
      <c r="B174" s="16" t="s">
        <v>162</v>
      </c>
      <c r="C174" s="16" t="s">
        <v>350</v>
      </c>
      <c r="D174" s="20"/>
      <c r="E174" s="19"/>
      <c r="F174" s="19"/>
      <c r="G174" s="19">
        <v>94522</v>
      </c>
      <c r="H174" s="19"/>
      <c r="I174" s="19">
        <f t="shared" si="23"/>
        <v>318876.30000000005</v>
      </c>
      <c r="J174" s="16"/>
    </row>
    <row r="175" spans="1:10" ht="20.25" customHeight="1">
      <c r="A175" s="18"/>
      <c r="B175" s="16" t="s">
        <v>162</v>
      </c>
      <c r="C175" s="16" t="s">
        <v>404</v>
      </c>
      <c r="D175" s="20">
        <v>16906</v>
      </c>
      <c r="E175" s="19">
        <v>7.5</v>
      </c>
      <c r="F175" s="19"/>
      <c r="G175" s="19">
        <f t="shared" ref="G175:G176" si="24">D175*E175</f>
        <v>126795</v>
      </c>
      <c r="H175" s="19"/>
      <c r="I175" s="19">
        <f t="shared" si="23"/>
        <v>192081.30000000005</v>
      </c>
      <c r="J175" s="16"/>
    </row>
    <row r="176" spans="1:10" ht="20.25" customHeight="1">
      <c r="A176" s="18"/>
      <c r="B176" s="16" t="s">
        <v>162</v>
      </c>
      <c r="C176" s="16" t="s">
        <v>352</v>
      </c>
      <c r="D176" s="20">
        <v>12273</v>
      </c>
      <c r="E176" s="19">
        <v>8.6999999999999993</v>
      </c>
      <c r="F176" s="19"/>
      <c r="G176" s="19">
        <f t="shared" si="24"/>
        <v>106775.09999999999</v>
      </c>
      <c r="H176" s="19"/>
      <c r="I176" s="19">
        <f t="shared" si="23"/>
        <v>85306.200000000055</v>
      </c>
      <c r="J176" s="16"/>
    </row>
    <row r="177" spans="1:10" ht="20.25" customHeight="1">
      <c r="A177" s="18">
        <v>42279</v>
      </c>
      <c r="B177" s="16" t="s">
        <v>17</v>
      </c>
      <c r="C177" s="16" t="s">
        <v>44</v>
      </c>
      <c r="D177" s="20"/>
      <c r="E177" s="19"/>
      <c r="F177" s="19">
        <f t="shared" ref="F177:F178" si="25">D177*E177</f>
        <v>0</v>
      </c>
      <c r="G177" s="19"/>
      <c r="H177" s="19">
        <v>40000</v>
      </c>
      <c r="I177" s="19">
        <f t="shared" si="23"/>
        <v>45306.200000000055</v>
      </c>
      <c r="J177" s="16"/>
    </row>
    <row r="178" spans="1:10" ht="20.25" customHeight="1">
      <c r="A178" s="18">
        <v>42287</v>
      </c>
      <c r="B178" s="16" t="s">
        <v>17</v>
      </c>
      <c r="C178" s="16" t="s">
        <v>44</v>
      </c>
      <c r="D178" s="20"/>
      <c r="E178" s="19"/>
      <c r="F178" s="19">
        <f t="shared" si="25"/>
        <v>0</v>
      </c>
      <c r="G178" s="19"/>
      <c r="H178" s="19">
        <v>10000</v>
      </c>
      <c r="I178" s="19">
        <f t="shared" si="23"/>
        <v>35306.200000000055</v>
      </c>
      <c r="J178" s="16"/>
    </row>
    <row r="179" spans="1:10" ht="20.25" customHeight="1">
      <c r="A179" s="18">
        <v>42294</v>
      </c>
      <c r="B179" s="16" t="s">
        <v>17</v>
      </c>
      <c r="C179" s="16" t="s">
        <v>44</v>
      </c>
      <c r="D179" s="20"/>
      <c r="E179" s="19"/>
      <c r="F179" s="19">
        <f t="shared" si="13"/>
        <v>0</v>
      </c>
      <c r="G179" s="19"/>
      <c r="H179" s="19">
        <v>15000</v>
      </c>
      <c r="I179" s="19">
        <f t="shared" si="23"/>
        <v>20306.200000000055</v>
      </c>
      <c r="J179" s="16"/>
    </row>
    <row r="180" spans="1:10" ht="20.25" customHeight="1">
      <c r="A180" s="18">
        <v>42304</v>
      </c>
      <c r="B180" s="16" t="s">
        <v>17</v>
      </c>
      <c r="C180" s="16" t="s">
        <v>44</v>
      </c>
      <c r="D180" s="20"/>
      <c r="E180" s="19"/>
      <c r="F180" s="19">
        <f t="shared" si="13"/>
        <v>0</v>
      </c>
      <c r="G180" s="19"/>
      <c r="H180" s="19">
        <v>50000</v>
      </c>
      <c r="I180" s="19">
        <f t="shared" si="23"/>
        <v>-29693.799999999945</v>
      </c>
      <c r="J180" s="16"/>
    </row>
    <row r="181" spans="1:10" s="4" customFormat="1" ht="21" customHeight="1">
      <c r="A181" s="254" t="s">
        <v>415</v>
      </c>
      <c r="B181" s="255"/>
      <c r="C181" s="255"/>
      <c r="D181" s="255"/>
      <c r="E181" s="255"/>
      <c r="F181" s="255"/>
      <c r="G181" s="255"/>
      <c r="H181" s="255"/>
      <c r="I181" s="99">
        <f>I180</f>
        <v>-29693.799999999945</v>
      </c>
      <c r="J181" s="99"/>
    </row>
    <row r="182" spans="1:10" ht="20.25" customHeight="1">
      <c r="A182" s="18">
        <v>42316</v>
      </c>
      <c r="B182" s="16" t="s">
        <v>310</v>
      </c>
      <c r="C182" s="16" t="s">
        <v>44</v>
      </c>
      <c r="D182" s="20">
        <v>1385</v>
      </c>
      <c r="E182" s="19">
        <v>55</v>
      </c>
      <c r="F182" s="19">
        <f t="shared" si="13"/>
        <v>76175</v>
      </c>
      <c r="G182" s="19"/>
      <c r="H182" s="19"/>
      <c r="I182" s="19">
        <f>IF(B182&lt;&gt;"",I180+F182-H182-G182,0)</f>
        <v>46481.200000000055</v>
      </c>
      <c r="J182" s="16"/>
    </row>
    <row r="183" spans="1:10" ht="20.25" customHeight="1">
      <c r="A183" s="18"/>
      <c r="B183" s="16" t="s">
        <v>312</v>
      </c>
      <c r="C183" s="16" t="s">
        <v>44</v>
      </c>
      <c r="D183" s="20">
        <v>1275</v>
      </c>
      <c r="E183" s="19">
        <v>48</v>
      </c>
      <c r="F183" s="19">
        <f t="shared" si="13"/>
        <v>61200</v>
      </c>
      <c r="G183" s="19"/>
      <c r="H183" s="19"/>
      <c r="I183" s="19">
        <f t="shared" si="23"/>
        <v>107681.20000000006</v>
      </c>
      <c r="J183" s="16"/>
    </row>
    <row r="184" spans="1:10" ht="20.25" customHeight="1">
      <c r="A184" s="18"/>
      <c r="B184" s="16"/>
      <c r="C184" s="16"/>
      <c r="D184" s="20"/>
      <c r="E184" s="19"/>
      <c r="F184" s="19">
        <f t="shared" ref="F184:F218" si="26">D184*E184</f>
        <v>0</v>
      </c>
      <c r="G184" s="19"/>
      <c r="H184" s="19"/>
      <c r="I184" s="19">
        <f t="shared" si="23"/>
        <v>0</v>
      </c>
      <c r="J184" s="16"/>
    </row>
    <row r="185" spans="1:10" ht="20.25" customHeight="1">
      <c r="A185" s="18"/>
      <c r="B185" s="16"/>
      <c r="C185" s="16"/>
      <c r="D185" s="20"/>
      <c r="E185" s="19"/>
      <c r="F185" s="19">
        <f t="shared" si="26"/>
        <v>0</v>
      </c>
      <c r="G185" s="19"/>
      <c r="H185" s="19"/>
      <c r="I185" s="19">
        <f t="shared" si="23"/>
        <v>0</v>
      </c>
      <c r="J185" s="16"/>
    </row>
    <row r="186" spans="1:10" ht="20.25" customHeight="1">
      <c r="A186" s="18"/>
      <c r="B186" s="16"/>
      <c r="C186" s="16"/>
      <c r="D186" s="20"/>
      <c r="E186" s="19"/>
      <c r="F186" s="19">
        <f t="shared" si="26"/>
        <v>0</v>
      </c>
      <c r="G186" s="19"/>
      <c r="H186" s="19"/>
      <c r="I186" s="19">
        <f t="shared" ref="I186:I218" si="27">IF(B186&lt;&gt;"",I185+F186-H186-G186,0)</f>
        <v>0</v>
      </c>
      <c r="J186" s="16"/>
    </row>
    <row r="187" spans="1:10" ht="20.25" customHeight="1">
      <c r="A187" s="18"/>
      <c r="B187" s="16" t="s">
        <v>162</v>
      </c>
      <c r="C187" s="16" t="s">
        <v>79</v>
      </c>
      <c r="D187" s="20"/>
      <c r="E187" s="19"/>
      <c r="F187" s="19">
        <f t="shared" si="26"/>
        <v>0</v>
      </c>
      <c r="G187" s="19">
        <v>43500</v>
      </c>
      <c r="H187" s="19"/>
      <c r="I187" s="19">
        <f t="shared" si="27"/>
        <v>-43500</v>
      </c>
      <c r="J187" s="16"/>
    </row>
    <row r="188" spans="1:10" ht="20.25" customHeight="1">
      <c r="A188" s="18"/>
      <c r="B188" s="16" t="s">
        <v>162</v>
      </c>
      <c r="C188" s="16" t="s">
        <v>352</v>
      </c>
      <c r="D188" s="20"/>
      <c r="E188" s="19"/>
      <c r="F188" s="19">
        <f t="shared" si="26"/>
        <v>0</v>
      </c>
      <c r="G188" s="19">
        <v>119529</v>
      </c>
      <c r="H188" s="19"/>
      <c r="I188" s="19">
        <f t="shared" si="27"/>
        <v>-163029</v>
      </c>
      <c r="J188" s="16"/>
    </row>
    <row r="189" spans="1:10" ht="20.25" customHeight="1">
      <c r="A189" s="18">
        <v>42311</v>
      </c>
      <c r="B189" s="16" t="s">
        <v>17</v>
      </c>
      <c r="C189" s="16" t="s">
        <v>44</v>
      </c>
      <c r="D189" s="20"/>
      <c r="E189" s="19"/>
      <c r="F189" s="19">
        <f t="shared" si="26"/>
        <v>0</v>
      </c>
      <c r="G189" s="19"/>
      <c r="H189" s="19">
        <v>30000</v>
      </c>
      <c r="I189" s="19">
        <f t="shared" si="27"/>
        <v>-193029</v>
      </c>
      <c r="J189" s="16"/>
    </row>
    <row r="190" spans="1:10" ht="20.25" customHeight="1">
      <c r="A190" s="18">
        <v>42322</v>
      </c>
      <c r="B190" s="16" t="s">
        <v>17</v>
      </c>
      <c r="C190" s="16" t="s">
        <v>44</v>
      </c>
      <c r="D190" s="20"/>
      <c r="E190" s="19"/>
      <c r="F190" s="19">
        <f t="shared" si="26"/>
        <v>0</v>
      </c>
      <c r="G190" s="19"/>
      <c r="H190" s="19">
        <v>40000</v>
      </c>
      <c r="I190" s="19">
        <f t="shared" si="27"/>
        <v>-233029</v>
      </c>
      <c r="J190" s="16"/>
    </row>
    <row r="191" spans="1:10" ht="20.25" customHeight="1">
      <c r="A191" s="18"/>
      <c r="B191" s="16"/>
      <c r="C191" s="16"/>
      <c r="D191" s="20"/>
      <c r="E191" s="19"/>
      <c r="F191" s="19">
        <f t="shared" si="26"/>
        <v>0</v>
      </c>
      <c r="G191" s="19"/>
      <c r="H191" s="19"/>
      <c r="I191" s="19">
        <f t="shared" si="27"/>
        <v>0</v>
      </c>
      <c r="J191" s="16"/>
    </row>
    <row r="192" spans="1:10" ht="20.25" customHeight="1">
      <c r="A192" s="18"/>
      <c r="B192" s="16"/>
      <c r="C192" s="16"/>
      <c r="D192" s="20"/>
      <c r="E192" s="19"/>
      <c r="F192" s="19">
        <f t="shared" si="26"/>
        <v>0</v>
      </c>
      <c r="G192" s="19"/>
      <c r="H192" s="19"/>
      <c r="I192" s="19">
        <f t="shared" si="27"/>
        <v>0</v>
      </c>
      <c r="J192" s="16"/>
    </row>
    <row r="193" spans="1:10" ht="20.25" customHeight="1">
      <c r="A193" s="18"/>
      <c r="B193" s="16"/>
      <c r="C193" s="16"/>
      <c r="D193" s="20"/>
      <c r="E193" s="19"/>
      <c r="F193" s="19">
        <f t="shared" si="26"/>
        <v>0</v>
      </c>
      <c r="G193" s="19"/>
      <c r="H193" s="19"/>
      <c r="I193" s="19">
        <f t="shared" si="27"/>
        <v>0</v>
      </c>
      <c r="J193" s="16"/>
    </row>
    <row r="194" spans="1:10" ht="20.25" customHeight="1">
      <c r="A194" s="18"/>
      <c r="B194" s="16"/>
      <c r="C194" s="16"/>
      <c r="D194" s="20"/>
      <c r="E194" s="19"/>
      <c r="F194" s="19">
        <f t="shared" si="26"/>
        <v>0</v>
      </c>
      <c r="G194" s="19"/>
      <c r="H194" s="19"/>
      <c r="I194" s="19">
        <f t="shared" si="27"/>
        <v>0</v>
      </c>
      <c r="J194" s="16"/>
    </row>
    <row r="195" spans="1:10" ht="20.25" customHeight="1">
      <c r="A195" s="18"/>
      <c r="B195" s="16"/>
      <c r="C195" s="16"/>
      <c r="D195" s="20"/>
      <c r="E195" s="19"/>
      <c r="F195" s="19">
        <f t="shared" si="26"/>
        <v>0</v>
      </c>
      <c r="G195" s="19"/>
      <c r="H195" s="19"/>
      <c r="I195" s="19">
        <f t="shared" si="27"/>
        <v>0</v>
      </c>
      <c r="J195" s="16"/>
    </row>
    <row r="196" spans="1:10" ht="20.25" customHeight="1">
      <c r="A196" s="18"/>
      <c r="B196" s="16"/>
      <c r="C196" s="16"/>
      <c r="D196" s="20"/>
      <c r="E196" s="19"/>
      <c r="F196" s="19">
        <f t="shared" si="26"/>
        <v>0</v>
      </c>
      <c r="G196" s="19"/>
      <c r="H196" s="19"/>
      <c r="I196" s="19">
        <f t="shared" si="27"/>
        <v>0</v>
      </c>
      <c r="J196" s="16"/>
    </row>
    <row r="197" spans="1:10" ht="20.25" customHeight="1">
      <c r="A197" s="18"/>
      <c r="B197" s="16"/>
      <c r="C197" s="16"/>
      <c r="D197" s="20"/>
      <c r="E197" s="19"/>
      <c r="F197" s="19">
        <f t="shared" si="26"/>
        <v>0</v>
      </c>
      <c r="G197" s="19"/>
      <c r="H197" s="19"/>
      <c r="I197" s="19">
        <f t="shared" si="27"/>
        <v>0</v>
      </c>
      <c r="J197" s="16"/>
    </row>
    <row r="198" spans="1:10" ht="20.25" customHeight="1">
      <c r="A198" s="18"/>
      <c r="B198" s="16"/>
      <c r="C198" s="16"/>
      <c r="D198" s="20"/>
      <c r="E198" s="19"/>
      <c r="F198" s="19">
        <f t="shared" si="26"/>
        <v>0</v>
      </c>
      <c r="G198" s="19"/>
      <c r="H198" s="19"/>
      <c r="I198" s="19">
        <f t="shared" si="27"/>
        <v>0</v>
      </c>
      <c r="J198" s="16"/>
    </row>
    <row r="199" spans="1:10" ht="20.25" customHeight="1">
      <c r="A199" s="18"/>
      <c r="B199" s="16"/>
      <c r="C199" s="16"/>
      <c r="D199" s="20"/>
      <c r="E199" s="19"/>
      <c r="F199" s="19">
        <f t="shared" si="26"/>
        <v>0</v>
      </c>
      <c r="G199" s="19"/>
      <c r="H199" s="19"/>
      <c r="I199" s="19">
        <f t="shared" si="27"/>
        <v>0</v>
      </c>
      <c r="J199" s="16"/>
    </row>
    <row r="200" spans="1:10" ht="20.25" customHeight="1">
      <c r="A200" s="18"/>
      <c r="B200" s="16"/>
      <c r="C200" s="16"/>
      <c r="D200" s="20"/>
      <c r="E200" s="19"/>
      <c r="F200" s="19">
        <f t="shared" si="26"/>
        <v>0</v>
      </c>
      <c r="G200" s="19"/>
      <c r="H200" s="19"/>
      <c r="I200" s="19">
        <f t="shared" si="27"/>
        <v>0</v>
      </c>
      <c r="J200" s="16"/>
    </row>
    <row r="201" spans="1:10" ht="20.25" customHeight="1">
      <c r="A201" s="18"/>
      <c r="B201" s="16"/>
      <c r="C201" s="16"/>
      <c r="D201" s="20"/>
      <c r="E201" s="19"/>
      <c r="F201" s="19">
        <f t="shared" si="26"/>
        <v>0</v>
      </c>
      <c r="G201" s="19"/>
      <c r="H201" s="19"/>
      <c r="I201" s="19">
        <f t="shared" si="27"/>
        <v>0</v>
      </c>
      <c r="J201" s="16"/>
    </row>
    <row r="202" spans="1:10" ht="20.25" customHeight="1">
      <c r="A202" s="18"/>
      <c r="B202" s="16"/>
      <c r="C202" s="16"/>
      <c r="D202" s="20"/>
      <c r="E202" s="19"/>
      <c r="F202" s="19">
        <f t="shared" si="26"/>
        <v>0</v>
      </c>
      <c r="G202" s="19"/>
      <c r="H202" s="19"/>
      <c r="I202" s="19">
        <f t="shared" si="27"/>
        <v>0</v>
      </c>
      <c r="J202" s="16"/>
    </row>
    <row r="203" spans="1:10" ht="20.25" customHeight="1">
      <c r="A203" s="18"/>
      <c r="B203" s="16"/>
      <c r="C203" s="16"/>
      <c r="D203" s="20"/>
      <c r="E203" s="19"/>
      <c r="F203" s="19">
        <f t="shared" si="26"/>
        <v>0</v>
      </c>
      <c r="G203" s="19"/>
      <c r="H203" s="19"/>
      <c r="I203" s="19">
        <f t="shared" si="27"/>
        <v>0</v>
      </c>
      <c r="J203" s="16"/>
    </row>
    <row r="204" spans="1:10" ht="20.25" customHeight="1">
      <c r="A204" s="18"/>
      <c r="B204" s="16"/>
      <c r="C204" s="16"/>
      <c r="D204" s="20"/>
      <c r="E204" s="19"/>
      <c r="F204" s="19">
        <f t="shared" si="26"/>
        <v>0</v>
      </c>
      <c r="G204" s="19"/>
      <c r="H204" s="19"/>
      <c r="I204" s="19">
        <f t="shared" si="27"/>
        <v>0</v>
      </c>
      <c r="J204" s="16"/>
    </row>
    <row r="205" spans="1:10" ht="20.25" customHeight="1">
      <c r="A205" s="18"/>
      <c r="B205" s="16"/>
      <c r="C205" s="16"/>
      <c r="D205" s="20"/>
      <c r="E205" s="19"/>
      <c r="F205" s="19">
        <f t="shared" si="26"/>
        <v>0</v>
      </c>
      <c r="G205" s="19"/>
      <c r="H205" s="19"/>
      <c r="I205" s="19">
        <f t="shared" si="27"/>
        <v>0</v>
      </c>
      <c r="J205" s="16"/>
    </row>
    <row r="206" spans="1:10" ht="20.25" customHeight="1">
      <c r="A206" s="18"/>
      <c r="B206" s="16"/>
      <c r="C206" s="16"/>
      <c r="D206" s="20"/>
      <c r="E206" s="19"/>
      <c r="F206" s="19">
        <f t="shared" si="26"/>
        <v>0</v>
      </c>
      <c r="G206" s="19"/>
      <c r="H206" s="19"/>
      <c r="I206" s="19">
        <f t="shared" si="27"/>
        <v>0</v>
      </c>
      <c r="J206" s="16"/>
    </row>
    <row r="207" spans="1:10" ht="20.25" customHeight="1">
      <c r="A207" s="18"/>
      <c r="B207" s="16"/>
      <c r="C207" s="16"/>
      <c r="D207" s="20"/>
      <c r="E207" s="19"/>
      <c r="F207" s="19">
        <f t="shared" si="26"/>
        <v>0</v>
      </c>
      <c r="G207" s="19"/>
      <c r="H207" s="19"/>
      <c r="I207" s="19">
        <f t="shared" si="27"/>
        <v>0</v>
      </c>
      <c r="J207" s="16"/>
    </row>
    <row r="208" spans="1:10" ht="20.25" customHeight="1">
      <c r="A208" s="18"/>
      <c r="B208" s="16"/>
      <c r="C208" s="16"/>
      <c r="D208" s="20"/>
      <c r="E208" s="19"/>
      <c r="F208" s="19">
        <f t="shared" si="26"/>
        <v>0</v>
      </c>
      <c r="G208" s="19"/>
      <c r="H208" s="19"/>
      <c r="I208" s="19">
        <f t="shared" si="27"/>
        <v>0</v>
      </c>
      <c r="J208" s="16"/>
    </row>
    <row r="209" spans="1:10" ht="20.25" customHeight="1">
      <c r="A209" s="18"/>
      <c r="B209" s="16"/>
      <c r="C209" s="16"/>
      <c r="D209" s="20"/>
      <c r="E209" s="19"/>
      <c r="F209" s="19">
        <f t="shared" si="26"/>
        <v>0</v>
      </c>
      <c r="G209" s="19"/>
      <c r="H209" s="19"/>
      <c r="I209" s="19">
        <f t="shared" si="27"/>
        <v>0</v>
      </c>
      <c r="J209" s="16"/>
    </row>
    <row r="210" spans="1:10" ht="20.25" customHeight="1">
      <c r="A210" s="18"/>
      <c r="B210" s="16"/>
      <c r="C210" s="16"/>
      <c r="D210" s="20"/>
      <c r="E210" s="19"/>
      <c r="F210" s="19">
        <f t="shared" si="26"/>
        <v>0</v>
      </c>
      <c r="G210" s="19"/>
      <c r="H210" s="19"/>
      <c r="I210" s="19">
        <f t="shared" si="27"/>
        <v>0</v>
      </c>
      <c r="J210" s="16"/>
    </row>
    <row r="211" spans="1:10" ht="20.25" customHeight="1">
      <c r="A211" s="18"/>
      <c r="B211" s="16"/>
      <c r="C211" s="16"/>
      <c r="D211" s="20"/>
      <c r="E211" s="19"/>
      <c r="F211" s="19">
        <f t="shared" si="26"/>
        <v>0</v>
      </c>
      <c r="G211" s="19"/>
      <c r="H211" s="19"/>
      <c r="I211" s="19">
        <f t="shared" si="27"/>
        <v>0</v>
      </c>
      <c r="J211" s="16"/>
    </row>
    <row r="212" spans="1:10" ht="20.25" customHeight="1">
      <c r="A212" s="18"/>
      <c r="B212" s="16"/>
      <c r="C212" s="16"/>
      <c r="D212" s="20"/>
      <c r="E212" s="19"/>
      <c r="F212" s="19">
        <f t="shared" si="26"/>
        <v>0</v>
      </c>
      <c r="G212" s="19"/>
      <c r="H212" s="19"/>
      <c r="I212" s="19">
        <f t="shared" si="27"/>
        <v>0</v>
      </c>
      <c r="J212" s="16"/>
    </row>
    <row r="213" spans="1:10" ht="20.25" customHeight="1">
      <c r="A213" s="18"/>
      <c r="B213" s="16"/>
      <c r="C213" s="16"/>
      <c r="D213" s="20"/>
      <c r="E213" s="19"/>
      <c r="F213" s="19">
        <f t="shared" si="26"/>
        <v>0</v>
      </c>
      <c r="G213" s="19"/>
      <c r="H213" s="19"/>
      <c r="I213" s="19">
        <f t="shared" si="27"/>
        <v>0</v>
      </c>
      <c r="J213" s="16"/>
    </row>
    <row r="214" spans="1:10" ht="20.25" customHeight="1">
      <c r="A214" s="18"/>
      <c r="B214" s="16"/>
      <c r="C214" s="16"/>
      <c r="D214" s="20"/>
      <c r="E214" s="19"/>
      <c r="F214" s="19">
        <f t="shared" si="26"/>
        <v>0</v>
      </c>
      <c r="G214" s="19"/>
      <c r="H214" s="19"/>
      <c r="I214" s="19">
        <f t="shared" si="27"/>
        <v>0</v>
      </c>
      <c r="J214" s="16"/>
    </row>
    <row r="215" spans="1:10" ht="20.25" customHeight="1">
      <c r="A215" s="18"/>
      <c r="B215" s="16"/>
      <c r="C215" s="16"/>
      <c r="D215" s="20"/>
      <c r="E215" s="19"/>
      <c r="F215" s="19">
        <f t="shared" si="26"/>
        <v>0</v>
      </c>
      <c r="G215" s="19"/>
      <c r="H215" s="19"/>
      <c r="I215" s="19">
        <f t="shared" si="27"/>
        <v>0</v>
      </c>
      <c r="J215" s="16"/>
    </row>
    <row r="216" spans="1:10" ht="20.25" customHeight="1">
      <c r="A216" s="18"/>
      <c r="B216" s="16"/>
      <c r="C216" s="16"/>
      <c r="D216" s="20"/>
      <c r="E216" s="19"/>
      <c r="F216" s="19">
        <f t="shared" si="26"/>
        <v>0</v>
      </c>
      <c r="G216" s="19"/>
      <c r="H216" s="19"/>
      <c r="I216" s="19">
        <f t="shared" si="27"/>
        <v>0</v>
      </c>
      <c r="J216" s="16"/>
    </row>
    <row r="217" spans="1:10" ht="20.25" customHeight="1">
      <c r="A217" s="18"/>
      <c r="B217" s="16"/>
      <c r="C217" s="16"/>
      <c r="D217" s="20"/>
      <c r="E217" s="19"/>
      <c r="F217" s="19">
        <f t="shared" si="26"/>
        <v>0</v>
      </c>
      <c r="G217" s="19"/>
      <c r="H217" s="19"/>
      <c r="I217" s="19">
        <f t="shared" si="27"/>
        <v>0</v>
      </c>
      <c r="J217" s="16"/>
    </row>
    <row r="218" spans="1:10" ht="20.25" customHeight="1">
      <c r="A218" s="18"/>
      <c r="B218" s="16"/>
      <c r="C218" s="16"/>
      <c r="D218" s="20"/>
      <c r="E218" s="19"/>
      <c r="F218" s="19">
        <f t="shared" si="26"/>
        <v>0</v>
      </c>
      <c r="G218" s="19"/>
      <c r="H218" s="19"/>
      <c r="I218" s="19">
        <f t="shared" si="27"/>
        <v>0</v>
      </c>
      <c r="J218" s="16"/>
    </row>
    <row r="219" spans="1:10" ht="20.25" customHeight="1">
      <c r="A219" s="166"/>
      <c r="B219" s="21"/>
      <c r="C219" s="21"/>
      <c r="D219" s="167"/>
      <c r="E219" s="168"/>
      <c r="F219" s="168">
        <f>D219*E219</f>
        <v>0</v>
      </c>
      <c r="G219" s="168"/>
      <c r="H219" s="168"/>
      <c r="I219" s="19">
        <f t="shared" si="19"/>
        <v>0</v>
      </c>
      <c r="J219" s="21"/>
    </row>
    <row r="220" spans="1:10" s="158" customFormat="1" ht="21.75" customHeight="1">
      <c r="A220" s="251" t="s">
        <v>14</v>
      </c>
      <c r="B220" s="251"/>
      <c r="C220" s="251"/>
      <c r="D220" s="251"/>
      <c r="E220" s="251"/>
      <c r="F220" s="170">
        <f>SUM(F10:F219)</f>
        <v>4467587</v>
      </c>
      <c r="G220" s="170">
        <f t="shared" ref="G220:H220" si="28">SUM(G10:G219)</f>
        <v>3068323.8</v>
      </c>
      <c r="H220" s="170">
        <f t="shared" si="28"/>
        <v>1524611</v>
      </c>
      <c r="I220" s="171">
        <f>F220-G220-H220</f>
        <v>-125347.79999999981</v>
      </c>
      <c r="J220" s="169"/>
    </row>
    <row r="221" spans="1:10" ht="21.75" customHeight="1">
      <c r="H221" s="187"/>
      <c r="I221" s="10"/>
    </row>
  </sheetData>
  <autoFilter ref="A9:J220">
    <filterColumn colId="2"/>
    <filterColumn colId="6"/>
  </autoFilter>
  <mergeCells count="15">
    <mergeCell ref="A7:B7"/>
    <mergeCell ref="A220:E220"/>
    <mergeCell ref="A5:J5"/>
    <mergeCell ref="A1:E1"/>
    <mergeCell ref="A2:H2"/>
    <mergeCell ref="A3:B3"/>
    <mergeCell ref="D3:F3"/>
    <mergeCell ref="A121:H121"/>
    <mergeCell ref="A94:H94"/>
    <mergeCell ref="A63:H63"/>
    <mergeCell ref="A159:H159"/>
    <mergeCell ref="A20:H20"/>
    <mergeCell ref="A41:H41"/>
    <mergeCell ref="A140:H140"/>
    <mergeCell ref="A181:H181"/>
  </mergeCells>
  <phoneticPr fontId="5" type="noConversion"/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0000"/>
  </sheetPr>
  <dimension ref="A1:J27"/>
  <sheetViews>
    <sheetView topLeftCell="A7" workbookViewId="0">
      <pane ySplit="3" topLeftCell="A10" activePane="bottomLeft" state="frozen"/>
      <selection activeCell="D75" sqref="D75"/>
      <selection pane="bottomLeft" activeCell="B12" sqref="B12"/>
    </sheetView>
  </sheetViews>
  <sheetFormatPr defaultRowHeight="21.75" customHeight="1"/>
  <cols>
    <col min="1" max="1" width="9.85546875" style="8" customWidth="1"/>
    <col min="2" max="2" width="22.5703125" style="8" customWidth="1"/>
    <col min="3" max="3" width="12.85546875" style="8" customWidth="1"/>
    <col min="4" max="4" width="12" style="78" customWidth="1"/>
    <col min="5" max="5" width="11" style="17" customWidth="1"/>
    <col min="6" max="8" width="14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>
      <c r="A1" s="253" t="s">
        <v>38</v>
      </c>
      <c r="B1" s="253"/>
      <c r="C1" s="253"/>
      <c r="D1" s="253"/>
      <c r="E1" s="253"/>
      <c r="I1" s="162"/>
      <c r="J1" s="162"/>
    </row>
    <row r="2" spans="1:10" s="161" customFormat="1" ht="18.75" customHeight="1">
      <c r="A2" s="253" t="s">
        <v>37</v>
      </c>
      <c r="B2" s="253"/>
      <c r="C2" s="253"/>
      <c r="D2" s="253"/>
      <c r="E2" s="253"/>
      <c r="F2" s="253"/>
      <c r="G2" s="253"/>
      <c r="H2" s="253"/>
      <c r="I2" s="162"/>
      <c r="J2" s="162"/>
    </row>
    <row r="3" spans="1:10" s="161" customFormat="1" ht="18.75" customHeight="1">
      <c r="A3" s="253" t="s">
        <v>40</v>
      </c>
      <c r="B3" s="253"/>
      <c r="C3" s="204"/>
      <c r="D3" s="253" t="s">
        <v>41</v>
      </c>
      <c r="E3" s="253"/>
      <c r="F3" s="253"/>
      <c r="G3" s="204"/>
      <c r="H3" s="204"/>
      <c r="I3" s="162"/>
      <c r="J3" s="162"/>
    </row>
    <row r="4" spans="1:10" ht="9.75" customHeight="1">
      <c r="D4" s="8"/>
      <c r="E4" s="8"/>
      <c r="F4" s="8"/>
      <c r="G4" s="8"/>
      <c r="H4" s="8"/>
      <c r="J4" s="17"/>
    </row>
    <row r="5" spans="1:10" s="163" customFormat="1" ht="29.25" customHeight="1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</row>
    <row r="6" spans="1:10" ht="9.75" customHeight="1">
      <c r="D6" s="8"/>
      <c r="E6" s="8"/>
      <c r="F6" s="8"/>
      <c r="G6" s="8"/>
      <c r="H6" s="8"/>
      <c r="J6" s="17"/>
    </row>
    <row r="7" spans="1:10" ht="21.75" customHeight="1">
      <c r="A7" s="250" t="s">
        <v>405</v>
      </c>
      <c r="B7" s="250"/>
      <c r="C7" s="202"/>
    </row>
    <row r="8" spans="1:10" ht="18.75" hidden="1" customHeight="1">
      <c r="I8" s="208"/>
    </row>
    <row r="9" spans="1:10" s="165" customFormat="1" ht="43.5" customHeight="1">
      <c r="A9" s="71" t="s">
        <v>0</v>
      </c>
      <c r="B9" s="71" t="s">
        <v>1</v>
      </c>
      <c r="C9" s="191" t="s">
        <v>70</v>
      </c>
      <c r="D9" s="73" t="s">
        <v>24</v>
      </c>
      <c r="E9" s="73" t="s">
        <v>35</v>
      </c>
      <c r="F9" s="73" t="s">
        <v>75</v>
      </c>
      <c r="G9" s="73" t="s">
        <v>344</v>
      </c>
      <c r="H9" s="73" t="s">
        <v>15</v>
      </c>
      <c r="I9" s="164" t="s">
        <v>2</v>
      </c>
      <c r="J9" s="191" t="s">
        <v>3</v>
      </c>
    </row>
    <row r="10" spans="1:10" ht="20.25" customHeight="1">
      <c r="A10" s="18"/>
      <c r="B10" s="16" t="s">
        <v>406</v>
      </c>
      <c r="C10" s="16" t="s">
        <v>261</v>
      </c>
      <c r="D10" s="20">
        <v>8000</v>
      </c>
      <c r="E10" s="19">
        <v>27</v>
      </c>
      <c r="F10" s="19">
        <f t="shared" ref="F10:F24" si="0">D10*E10</f>
        <v>216000</v>
      </c>
      <c r="G10" s="19"/>
      <c r="H10" s="19"/>
      <c r="I10" s="19">
        <f>IF(B10&lt;&gt;"",F10-H10-G10,0)</f>
        <v>216000</v>
      </c>
      <c r="J10" s="16"/>
    </row>
    <row r="11" spans="1:10" ht="20.25" customHeight="1">
      <c r="A11" s="18">
        <v>42322</v>
      </c>
      <c r="B11" s="16" t="s">
        <v>17</v>
      </c>
      <c r="C11" s="16"/>
      <c r="D11" s="20"/>
      <c r="E11" s="19"/>
      <c r="F11" s="19">
        <f t="shared" si="0"/>
        <v>0</v>
      </c>
      <c r="G11" s="19"/>
      <c r="H11" s="19">
        <v>100000</v>
      </c>
      <c r="I11" s="19">
        <f t="shared" ref="I11:I25" si="1">IF(B11&lt;&gt;"",I10+F11-H11-G11,0)</f>
        <v>116000</v>
      </c>
      <c r="J11" s="16"/>
    </row>
    <row r="12" spans="1:10" ht="20.25" customHeight="1">
      <c r="A12" s="18"/>
      <c r="B12" s="16"/>
      <c r="C12" s="16"/>
      <c r="D12" s="20"/>
      <c r="E12" s="19"/>
      <c r="F12" s="19">
        <f t="shared" si="0"/>
        <v>0</v>
      </c>
      <c r="G12" s="19"/>
      <c r="H12" s="19"/>
      <c r="I12" s="19">
        <f t="shared" si="1"/>
        <v>0</v>
      </c>
      <c r="J12" s="16"/>
    </row>
    <row r="13" spans="1:10" ht="20.25" customHeight="1">
      <c r="A13" s="18"/>
      <c r="B13" s="16"/>
      <c r="C13" s="16"/>
      <c r="D13" s="20"/>
      <c r="E13" s="19"/>
      <c r="F13" s="19">
        <f t="shared" si="0"/>
        <v>0</v>
      </c>
      <c r="G13" s="19"/>
      <c r="H13" s="19"/>
      <c r="I13" s="19">
        <f t="shared" si="1"/>
        <v>0</v>
      </c>
      <c r="J13" s="16"/>
    </row>
    <row r="14" spans="1:10" ht="20.25" customHeight="1">
      <c r="A14" s="18"/>
      <c r="B14" s="16"/>
      <c r="C14" s="16"/>
      <c r="D14" s="20"/>
      <c r="E14" s="19"/>
      <c r="F14" s="19">
        <f t="shared" si="0"/>
        <v>0</v>
      </c>
      <c r="G14" s="19"/>
      <c r="H14" s="19"/>
      <c r="I14" s="19">
        <f t="shared" si="1"/>
        <v>0</v>
      </c>
      <c r="J14" s="16"/>
    </row>
    <row r="15" spans="1:10" ht="20.25" customHeight="1">
      <c r="A15" s="18"/>
      <c r="B15" s="16"/>
      <c r="C15" s="16"/>
      <c r="D15" s="20"/>
      <c r="E15" s="19"/>
      <c r="F15" s="19">
        <f t="shared" si="0"/>
        <v>0</v>
      </c>
      <c r="G15" s="19"/>
      <c r="H15" s="19"/>
      <c r="I15" s="19">
        <f t="shared" si="1"/>
        <v>0</v>
      </c>
      <c r="J15" s="16"/>
    </row>
    <row r="16" spans="1:10" ht="20.25" customHeight="1">
      <c r="A16" s="18"/>
      <c r="B16" s="16"/>
      <c r="C16" s="16"/>
      <c r="D16" s="20"/>
      <c r="E16" s="19"/>
      <c r="F16" s="19">
        <f t="shared" si="0"/>
        <v>0</v>
      </c>
      <c r="G16" s="19"/>
      <c r="H16" s="19"/>
      <c r="I16" s="19">
        <f t="shared" si="1"/>
        <v>0</v>
      </c>
      <c r="J16" s="16"/>
    </row>
    <row r="17" spans="1:10" ht="20.25" customHeight="1">
      <c r="A17" s="18"/>
      <c r="B17" s="16"/>
      <c r="C17" s="16"/>
      <c r="D17" s="20"/>
      <c r="E17" s="19"/>
      <c r="F17" s="19">
        <f t="shared" si="0"/>
        <v>0</v>
      </c>
      <c r="G17" s="19"/>
      <c r="H17" s="19"/>
      <c r="I17" s="19">
        <f t="shared" si="1"/>
        <v>0</v>
      </c>
      <c r="J17" s="16"/>
    </row>
    <row r="18" spans="1:10" ht="20.25" customHeight="1">
      <c r="A18" s="18"/>
      <c r="B18" s="16"/>
      <c r="C18" s="16"/>
      <c r="D18" s="20"/>
      <c r="E18" s="19"/>
      <c r="F18" s="19">
        <f t="shared" si="0"/>
        <v>0</v>
      </c>
      <c r="G18" s="19"/>
      <c r="H18" s="19"/>
      <c r="I18" s="19">
        <f t="shared" si="1"/>
        <v>0</v>
      </c>
      <c r="J18" s="16"/>
    </row>
    <row r="19" spans="1:10" ht="20.25" customHeight="1">
      <c r="A19" s="18"/>
      <c r="B19" s="16"/>
      <c r="C19" s="16"/>
      <c r="D19" s="20"/>
      <c r="E19" s="19"/>
      <c r="F19" s="19">
        <f t="shared" si="0"/>
        <v>0</v>
      </c>
      <c r="G19" s="19"/>
      <c r="H19" s="19"/>
      <c r="I19" s="19">
        <f t="shared" si="1"/>
        <v>0</v>
      </c>
      <c r="J19" s="16"/>
    </row>
    <row r="20" spans="1:10" ht="20.25" customHeight="1">
      <c r="A20" s="18"/>
      <c r="B20" s="16"/>
      <c r="C20" s="16"/>
      <c r="D20" s="20"/>
      <c r="E20" s="19"/>
      <c r="F20" s="19">
        <f t="shared" si="0"/>
        <v>0</v>
      </c>
      <c r="G20" s="19"/>
      <c r="H20" s="19"/>
      <c r="I20" s="19">
        <f t="shared" si="1"/>
        <v>0</v>
      </c>
      <c r="J20" s="16"/>
    </row>
    <row r="21" spans="1:10" ht="20.25" customHeight="1">
      <c r="A21" s="18"/>
      <c r="B21" s="16"/>
      <c r="C21" s="16"/>
      <c r="D21" s="20"/>
      <c r="E21" s="19"/>
      <c r="F21" s="19">
        <f t="shared" si="0"/>
        <v>0</v>
      </c>
      <c r="G21" s="19"/>
      <c r="H21" s="19"/>
      <c r="I21" s="19">
        <f t="shared" si="1"/>
        <v>0</v>
      </c>
      <c r="J21" s="16"/>
    </row>
    <row r="22" spans="1:10" ht="20.25" customHeight="1">
      <c r="A22" s="18"/>
      <c r="B22" s="16"/>
      <c r="C22" s="16"/>
      <c r="D22" s="20"/>
      <c r="E22" s="19"/>
      <c r="F22" s="19">
        <f t="shared" si="0"/>
        <v>0</v>
      </c>
      <c r="G22" s="19"/>
      <c r="H22" s="19"/>
      <c r="I22" s="19">
        <f t="shared" si="1"/>
        <v>0</v>
      </c>
      <c r="J22" s="16"/>
    </row>
    <row r="23" spans="1:10" ht="20.25" customHeight="1">
      <c r="A23" s="18"/>
      <c r="B23" s="16"/>
      <c r="C23" s="16"/>
      <c r="D23" s="20"/>
      <c r="E23" s="19"/>
      <c r="F23" s="19">
        <f t="shared" si="0"/>
        <v>0</v>
      </c>
      <c r="G23" s="19"/>
      <c r="H23" s="19"/>
      <c r="I23" s="19">
        <f t="shared" si="1"/>
        <v>0</v>
      </c>
      <c r="J23" s="16"/>
    </row>
    <row r="24" spans="1:10" ht="20.25" customHeight="1">
      <c r="A24" s="18"/>
      <c r="B24" s="16"/>
      <c r="C24" s="16"/>
      <c r="D24" s="20"/>
      <c r="E24" s="19"/>
      <c r="F24" s="19">
        <f t="shared" si="0"/>
        <v>0</v>
      </c>
      <c r="G24" s="19"/>
      <c r="H24" s="19"/>
      <c r="I24" s="19">
        <f t="shared" si="1"/>
        <v>0</v>
      </c>
      <c r="J24" s="16"/>
    </row>
    <row r="25" spans="1:10" ht="20.25" customHeight="1">
      <c r="A25" s="166"/>
      <c r="B25" s="21"/>
      <c r="C25" s="21"/>
      <c r="D25" s="167"/>
      <c r="E25" s="168"/>
      <c r="F25" s="168">
        <f>D25*E25</f>
        <v>0</v>
      </c>
      <c r="G25" s="168"/>
      <c r="H25" s="168"/>
      <c r="I25" s="19">
        <f t="shared" si="1"/>
        <v>0</v>
      </c>
      <c r="J25" s="21"/>
    </row>
    <row r="26" spans="1:10" s="202" customFormat="1" ht="21.75" customHeight="1">
      <c r="A26" s="251" t="s">
        <v>14</v>
      </c>
      <c r="B26" s="251"/>
      <c r="C26" s="251"/>
      <c r="D26" s="251"/>
      <c r="E26" s="251"/>
      <c r="F26" s="170">
        <f>SUM(F10:F25)</f>
        <v>216000</v>
      </c>
      <c r="G26" s="170">
        <f>SUM(G10:G25)</f>
        <v>0</v>
      </c>
      <c r="H26" s="170">
        <f>SUM(H10:H25)</f>
        <v>100000</v>
      </c>
      <c r="I26" s="171">
        <f>F26-G26-H26</f>
        <v>116000</v>
      </c>
      <c r="J26" s="203"/>
    </row>
    <row r="27" spans="1:10" ht="21.75" customHeight="1">
      <c r="H27" s="208"/>
      <c r="I27" s="208"/>
    </row>
  </sheetData>
  <autoFilter ref="A9:J9">
    <filterColumn colId="2"/>
    <filterColumn colId="6"/>
  </autoFilter>
  <mergeCells count="7">
    <mergeCell ref="A26:E26"/>
    <mergeCell ref="A1:E1"/>
    <mergeCell ref="A2:H2"/>
    <mergeCell ref="A3:B3"/>
    <mergeCell ref="D3:F3"/>
    <mergeCell ref="A5:J5"/>
    <mergeCell ref="A7:B7"/>
  </mergeCells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7" enableFormatConditionsCalculation="0">
    <tabColor rgb="FFFF0000"/>
  </sheetPr>
  <dimension ref="A1:I90"/>
  <sheetViews>
    <sheetView topLeftCell="A7" workbookViewId="0">
      <pane ySplit="3" topLeftCell="A10" activePane="bottomLeft" state="frozen"/>
      <selection activeCell="D75" sqref="D75"/>
      <selection pane="bottomLeft" activeCell="D76" sqref="D76"/>
    </sheetView>
  </sheetViews>
  <sheetFormatPr defaultRowHeight="21.75" customHeight="1"/>
  <cols>
    <col min="1" max="1" width="11.5703125" style="4" customWidth="1"/>
    <col min="2" max="2" width="19.85546875" style="4" customWidth="1"/>
    <col min="3" max="3" width="9.42578125" style="5" customWidth="1"/>
    <col min="4" max="4" width="10" style="6" customWidth="1"/>
    <col min="5" max="5" width="15.85546875" style="6" customWidth="1"/>
    <col min="6" max="6" width="15.28515625" style="9" customWidth="1"/>
    <col min="7" max="7" width="15.5703125" style="6" customWidth="1"/>
    <col min="8" max="8" width="14.5703125" style="4" customWidth="1"/>
    <col min="9" max="9" width="16.85546875" style="4" bestFit="1" customWidth="1"/>
    <col min="10" max="10" width="14.28515625" style="4" customWidth="1"/>
    <col min="11" max="16384" width="9.140625" style="4"/>
  </cols>
  <sheetData>
    <row r="1" spans="1:9" s="52" customFormat="1" ht="18.75" customHeight="1">
      <c r="A1" s="239" t="s">
        <v>38</v>
      </c>
      <c r="B1" s="239"/>
      <c r="C1" s="239"/>
      <c r="D1" s="239"/>
      <c r="G1" s="54"/>
      <c r="H1" s="54"/>
    </row>
    <row r="2" spans="1:9" s="52" customFormat="1" ht="18.75" customHeight="1">
      <c r="A2" s="239" t="s">
        <v>37</v>
      </c>
      <c r="B2" s="239"/>
      <c r="C2" s="239"/>
      <c r="D2" s="239"/>
      <c r="E2" s="239"/>
      <c r="F2" s="239"/>
      <c r="G2" s="54"/>
      <c r="H2" s="54"/>
    </row>
    <row r="3" spans="1:9" s="52" customFormat="1" ht="18.75" customHeight="1">
      <c r="A3" s="239" t="s">
        <v>40</v>
      </c>
      <c r="B3" s="239"/>
      <c r="C3" s="239" t="s">
        <v>41</v>
      </c>
      <c r="D3" s="239"/>
      <c r="E3" s="239"/>
      <c r="F3" s="51"/>
      <c r="G3" s="54"/>
      <c r="H3" s="54"/>
    </row>
    <row r="4" spans="1:9" ht="9.75" customHeight="1">
      <c r="C4" s="4"/>
      <c r="D4" s="4"/>
      <c r="E4" s="4"/>
      <c r="F4" s="4"/>
      <c r="H4" s="6"/>
    </row>
    <row r="5" spans="1:9" s="50" customFormat="1" ht="29.25" customHeight="1">
      <c r="A5" s="238" t="s">
        <v>47</v>
      </c>
      <c r="B5" s="238"/>
      <c r="C5" s="238"/>
      <c r="D5" s="238"/>
      <c r="E5" s="238"/>
      <c r="F5" s="238"/>
      <c r="G5" s="238"/>
      <c r="H5" s="238"/>
      <c r="I5" s="76"/>
    </row>
    <row r="6" spans="1:9" ht="9.75" customHeight="1">
      <c r="C6" s="4"/>
      <c r="D6" s="4"/>
      <c r="E6" s="4"/>
      <c r="F6" s="4"/>
      <c r="H6" s="6"/>
    </row>
    <row r="7" spans="1:9" ht="21" customHeight="1">
      <c r="A7" s="231" t="s">
        <v>46</v>
      </c>
      <c r="B7" s="231"/>
      <c r="C7" s="230" t="s">
        <v>42</v>
      </c>
      <c r="D7" s="230"/>
      <c r="E7" s="241" t="s">
        <v>43</v>
      </c>
      <c r="F7" s="241"/>
      <c r="H7" s="6"/>
    </row>
    <row r="8" spans="1:9" s="55" customFormat="1" ht="18" customHeight="1">
      <c r="C8" s="142" t="s">
        <v>155</v>
      </c>
      <c r="D8" s="56"/>
      <c r="E8" s="56"/>
      <c r="F8" s="56"/>
      <c r="G8" s="38"/>
    </row>
    <row r="9" spans="1:9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9" s="49" customFormat="1" ht="21.75" hidden="1" customHeight="1">
      <c r="A10" s="263" t="s">
        <v>81</v>
      </c>
      <c r="B10" s="264"/>
      <c r="C10" s="264"/>
      <c r="D10" s="264"/>
      <c r="E10" s="264"/>
      <c r="F10" s="264"/>
      <c r="G10" s="48">
        <v>451789</v>
      </c>
      <c r="H10" s="48"/>
      <c r="I10" s="77"/>
    </row>
    <row r="11" spans="1:9" ht="21.75" hidden="1" customHeight="1">
      <c r="A11" s="24"/>
      <c r="B11" s="25" t="s">
        <v>17</v>
      </c>
      <c r="C11" s="26"/>
      <c r="D11" s="27"/>
      <c r="E11" s="27">
        <f>C11*D11</f>
        <v>0</v>
      </c>
      <c r="F11" s="29">
        <v>300000</v>
      </c>
      <c r="G11" s="27">
        <f t="shared" ref="G11:G23" si="0">IF(B11&lt;&gt;"",G10+E11-F11,0)</f>
        <v>151789</v>
      </c>
      <c r="H11" s="30">
        <v>41332</v>
      </c>
    </row>
    <row r="12" spans="1:9" ht="21" hidden="1" customHeight="1">
      <c r="A12" s="24"/>
      <c r="B12" s="25" t="s">
        <v>17</v>
      </c>
      <c r="C12" s="26"/>
      <c r="D12" s="27"/>
      <c r="E12" s="27"/>
      <c r="F12" s="29">
        <f>G11</f>
        <v>151789</v>
      </c>
      <c r="G12" s="27">
        <f t="shared" si="0"/>
        <v>0</v>
      </c>
      <c r="H12" s="30">
        <v>41355</v>
      </c>
    </row>
    <row r="13" spans="1:9" ht="21" hidden="1" customHeight="1">
      <c r="A13" s="24">
        <v>41334</v>
      </c>
      <c r="B13" s="31" t="s">
        <v>82</v>
      </c>
      <c r="C13" s="26">
        <v>50</v>
      </c>
      <c r="D13" s="27">
        <v>148</v>
      </c>
      <c r="E13" s="27">
        <f>C13*D13</f>
        <v>7400</v>
      </c>
      <c r="F13" s="29"/>
      <c r="G13" s="27">
        <f t="shared" si="0"/>
        <v>7400</v>
      </c>
      <c r="H13" s="31"/>
    </row>
    <row r="14" spans="1:9" ht="21" hidden="1" customHeight="1">
      <c r="A14" s="24"/>
      <c r="B14" s="31" t="s">
        <v>83</v>
      </c>
      <c r="C14" s="26">
        <v>1785</v>
      </c>
      <c r="D14" s="27">
        <v>148</v>
      </c>
      <c r="E14" s="27">
        <f>C14*D14</f>
        <v>264180</v>
      </c>
      <c r="F14" s="29"/>
      <c r="G14" s="27">
        <f t="shared" si="0"/>
        <v>271580</v>
      </c>
      <c r="H14" s="31"/>
    </row>
    <row r="15" spans="1:9" ht="21" hidden="1" customHeight="1">
      <c r="A15" s="24">
        <v>41334</v>
      </c>
      <c r="B15" s="25" t="s">
        <v>63</v>
      </c>
      <c r="C15" s="26">
        <v>18</v>
      </c>
      <c r="D15" s="27">
        <v>130</v>
      </c>
      <c r="E15" s="27"/>
      <c r="F15" s="29">
        <f>C15*D15</f>
        <v>2340</v>
      </c>
      <c r="G15" s="27">
        <f t="shared" si="0"/>
        <v>269240</v>
      </c>
      <c r="H15" s="31"/>
    </row>
    <row r="16" spans="1:9" ht="21" hidden="1" customHeight="1">
      <c r="A16" s="24"/>
      <c r="B16" s="25" t="s">
        <v>64</v>
      </c>
      <c r="C16" s="26">
        <v>210</v>
      </c>
      <c r="D16" s="27">
        <v>130</v>
      </c>
      <c r="E16" s="27"/>
      <c r="F16" s="29">
        <f>C16*D16</f>
        <v>27300</v>
      </c>
      <c r="G16" s="27">
        <f t="shared" si="0"/>
        <v>241940</v>
      </c>
      <c r="H16" s="31"/>
    </row>
    <row r="17" spans="1:9" ht="21" hidden="1" customHeight="1">
      <c r="A17" s="24">
        <v>41331</v>
      </c>
      <c r="B17" s="31" t="s">
        <v>82</v>
      </c>
      <c r="C17" s="26">
        <v>1500</v>
      </c>
      <c r="D17" s="27">
        <v>148</v>
      </c>
      <c r="E17" s="27">
        <f>C17*D17</f>
        <v>222000</v>
      </c>
      <c r="F17" s="29"/>
      <c r="G17" s="27">
        <f t="shared" si="0"/>
        <v>463940</v>
      </c>
      <c r="H17" s="31"/>
    </row>
    <row r="18" spans="1:9" ht="21" hidden="1" customHeight="1">
      <c r="A18" s="24"/>
      <c r="B18" s="31" t="s">
        <v>83</v>
      </c>
      <c r="C18" s="26">
        <v>1224</v>
      </c>
      <c r="D18" s="27">
        <v>148</v>
      </c>
      <c r="E18" s="27">
        <f>C18*D18</f>
        <v>181152</v>
      </c>
      <c r="F18" s="29"/>
      <c r="G18" s="27">
        <f t="shared" si="0"/>
        <v>645092</v>
      </c>
      <c r="H18" s="31"/>
    </row>
    <row r="19" spans="1:9" ht="21" hidden="1" customHeight="1">
      <c r="A19" s="24">
        <v>41340</v>
      </c>
      <c r="B19" s="31" t="s">
        <v>84</v>
      </c>
      <c r="C19" s="26">
        <v>1000</v>
      </c>
      <c r="D19" s="27">
        <v>50</v>
      </c>
      <c r="E19" s="27">
        <f>C19*D19</f>
        <v>50000</v>
      </c>
      <c r="F19" s="29"/>
      <c r="G19" s="27">
        <f t="shared" si="0"/>
        <v>695092</v>
      </c>
      <c r="H19" s="31"/>
      <c r="I19" s="122"/>
    </row>
    <row r="20" spans="1:9" ht="21" hidden="1" customHeight="1">
      <c r="A20" s="24"/>
      <c r="B20" s="25" t="s">
        <v>17</v>
      </c>
      <c r="C20" s="26"/>
      <c r="D20" s="27"/>
      <c r="E20" s="27"/>
      <c r="F20" s="29">
        <v>200000</v>
      </c>
      <c r="G20" s="27">
        <f t="shared" si="0"/>
        <v>495092</v>
      </c>
      <c r="H20" s="30">
        <v>41367</v>
      </c>
    </row>
    <row r="21" spans="1:9" ht="21" hidden="1" customHeight="1">
      <c r="A21" s="24">
        <v>41369</v>
      </c>
      <c r="B21" s="31" t="s">
        <v>83</v>
      </c>
      <c r="C21" s="26">
        <v>2000</v>
      </c>
      <c r="D21" s="27">
        <v>148</v>
      </c>
      <c r="E21" s="27">
        <f>C21*D21</f>
        <v>296000</v>
      </c>
      <c r="F21" s="29"/>
      <c r="G21" s="27">
        <f t="shared" si="0"/>
        <v>791092</v>
      </c>
      <c r="H21" s="31"/>
    </row>
    <row r="22" spans="1:9" ht="21" hidden="1" customHeight="1">
      <c r="A22" s="24"/>
      <c r="B22" s="25" t="s">
        <v>64</v>
      </c>
      <c r="C22" s="26">
        <v>50</v>
      </c>
      <c r="D22" s="27">
        <v>148</v>
      </c>
      <c r="E22" s="27"/>
      <c r="F22" s="29">
        <f>C22*D22</f>
        <v>7400</v>
      </c>
      <c r="G22" s="27">
        <f t="shared" si="0"/>
        <v>783692</v>
      </c>
      <c r="H22" s="31"/>
    </row>
    <row r="23" spans="1:9" ht="21" hidden="1" customHeight="1">
      <c r="A23" s="24"/>
      <c r="B23" s="25" t="s">
        <v>17</v>
      </c>
      <c r="C23" s="26"/>
      <c r="D23" s="27"/>
      <c r="E23" s="27"/>
      <c r="F23" s="29">
        <v>150000</v>
      </c>
      <c r="G23" s="27">
        <f t="shared" si="0"/>
        <v>633692</v>
      </c>
      <c r="H23" s="30">
        <v>41382</v>
      </c>
    </row>
    <row r="24" spans="1:9" ht="21" hidden="1" customHeight="1">
      <c r="A24" s="24"/>
      <c r="B24" s="25" t="s">
        <v>17</v>
      </c>
      <c r="C24" s="26"/>
      <c r="D24" s="27"/>
      <c r="E24" s="27">
        <f t="shared" ref="E24:E29" si="1">C24*D24</f>
        <v>0</v>
      </c>
      <c r="F24" s="29">
        <v>200000</v>
      </c>
      <c r="G24" s="27">
        <f t="shared" ref="G24:G32" si="2">IF(B24&lt;&gt;"",G23+E24-F24,0)</f>
        <v>433692</v>
      </c>
      <c r="H24" s="30">
        <v>41403</v>
      </c>
    </row>
    <row r="25" spans="1:9" ht="21" hidden="1" customHeight="1">
      <c r="A25" s="24"/>
      <c r="B25" s="25" t="s">
        <v>17</v>
      </c>
      <c r="C25" s="26"/>
      <c r="D25" s="27"/>
      <c r="E25" s="27">
        <f t="shared" si="1"/>
        <v>0</v>
      </c>
      <c r="F25" s="29">
        <v>200000</v>
      </c>
      <c r="G25" s="27">
        <f t="shared" si="2"/>
        <v>233692</v>
      </c>
      <c r="H25" s="30">
        <v>41447</v>
      </c>
    </row>
    <row r="26" spans="1:9" ht="21" hidden="1" customHeight="1">
      <c r="A26" s="24"/>
      <c r="B26" s="25" t="s">
        <v>17</v>
      </c>
      <c r="C26" s="26"/>
      <c r="D26" s="27"/>
      <c r="E26" s="27">
        <f t="shared" si="1"/>
        <v>0</v>
      </c>
      <c r="F26" s="29">
        <f>G25</f>
        <v>233692</v>
      </c>
      <c r="G26" s="27">
        <f t="shared" si="2"/>
        <v>0</v>
      </c>
      <c r="H26" s="30">
        <v>41465</v>
      </c>
    </row>
    <row r="27" spans="1:9" ht="21" hidden="1" customHeight="1">
      <c r="A27" s="24">
        <v>41456</v>
      </c>
      <c r="B27" s="31" t="s">
        <v>83</v>
      </c>
      <c r="C27" s="26">
        <v>2010</v>
      </c>
      <c r="D27" s="27">
        <v>155</v>
      </c>
      <c r="E27" s="27">
        <f t="shared" si="1"/>
        <v>311550</v>
      </c>
      <c r="F27" s="29"/>
      <c r="G27" s="27">
        <f t="shared" si="2"/>
        <v>311550</v>
      </c>
      <c r="H27" s="31"/>
    </row>
    <row r="28" spans="1:9" ht="21" hidden="1" customHeight="1">
      <c r="A28" s="24"/>
      <c r="B28" s="31" t="s">
        <v>82</v>
      </c>
      <c r="C28" s="26">
        <v>1050</v>
      </c>
      <c r="D28" s="27">
        <v>155</v>
      </c>
      <c r="E28" s="27">
        <f t="shared" si="1"/>
        <v>162750</v>
      </c>
      <c r="F28" s="29"/>
      <c r="G28" s="27">
        <f t="shared" si="2"/>
        <v>474300</v>
      </c>
      <c r="H28" s="31"/>
    </row>
    <row r="29" spans="1:9" ht="21" hidden="1" customHeight="1">
      <c r="A29" s="24">
        <v>41460</v>
      </c>
      <c r="B29" s="31" t="s">
        <v>83</v>
      </c>
      <c r="C29" s="26">
        <v>2550</v>
      </c>
      <c r="D29" s="27">
        <v>155</v>
      </c>
      <c r="E29" s="27">
        <f t="shared" si="1"/>
        <v>395250</v>
      </c>
      <c r="F29" s="29"/>
      <c r="G29" s="27">
        <f t="shared" si="2"/>
        <v>869550</v>
      </c>
      <c r="H29" s="31"/>
    </row>
    <row r="30" spans="1:9" ht="21" hidden="1" customHeight="1">
      <c r="A30" s="24"/>
      <c r="B30" s="25" t="s">
        <v>64</v>
      </c>
      <c r="C30" s="26">
        <v>165</v>
      </c>
      <c r="D30" s="27">
        <v>155</v>
      </c>
      <c r="E30" s="27"/>
      <c r="F30" s="29">
        <f>C30*D30</f>
        <v>25575</v>
      </c>
      <c r="G30" s="27">
        <f t="shared" si="2"/>
        <v>843975</v>
      </c>
      <c r="H30" s="31"/>
    </row>
    <row r="31" spans="1:9" ht="21" hidden="1" customHeight="1">
      <c r="A31" s="24"/>
      <c r="B31" s="25" t="s">
        <v>63</v>
      </c>
      <c r="C31" s="26">
        <v>50</v>
      </c>
      <c r="D31" s="27">
        <v>155</v>
      </c>
      <c r="E31" s="27"/>
      <c r="F31" s="29">
        <f>C31*D31</f>
        <v>7750</v>
      </c>
      <c r="G31" s="27">
        <f t="shared" si="2"/>
        <v>836225</v>
      </c>
      <c r="H31" s="31"/>
    </row>
    <row r="32" spans="1:9" ht="21" hidden="1" customHeight="1">
      <c r="A32" s="24">
        <v>41369</v>
      </c>
      <c r="B32" s="31" t="s">
        <v>83</v>
      </c>
      <c r="C32" s="26">
        <v>1950</v>
      </c>
      <c r="D32" s="27">
        <v>5</v>
      </c>
      <c r="E32" s="27">
        <f t="shared" ref="E32:E37" si="3">C32*D32</f>
        <v>9750</v>
      </c>
      <c r="F32" s="29"/>
      <c r="G32" s="27">
        <f t="shared" si="2"/>
        <v>845975</v>
      </c>
      <c r="H32" s="31"/>
    </row>
    <row r="33" spans="1:9" ht="21" hidden="1" customHeight="1">
      <c r="A33" s="24"/>
      <c r="B33" s="25" t="s">
        <v>17</v>
      </c>
      <c r="C33" s="26"/>
      <c r="D33" s="27"/>
      <c r="E33" s="27">
        <f t="shared" si="3"/>
        <v>0</v>
      </c>
      <c r="F33" s="29">
        <v>300000</v>
      </c>
      <c r="G33" s="27">
        <f>IF(B33&lt;&gt;"",G32+E33-F33,0)</f>
        <v>545975</v>
      </c>
      <c r="H33" s="30">
        <v>41474</v>
      </c>
    </row>
    <row r="34" spans="1:9" ht="21" hidden="1" customHeight="1">
      <c r="A34" s="24"/>
      <c r="B34" s="25" t="s">
        <v>17</v>
      </c>
      <c r="C34" s="26"/>
      <c r="D34" s="27"/>
      <c r="E34" s="27">
        <f t="shared" si="3"/>
        <v>0</v>
      </c>
      <c r="F34" s="29">
        <v>200000</v>
      </c>
      <c r="G34" s="27">
        <f>IF(B34&lt;&gt;"",G33+E34-F34,0)</f>
        <v>345975</v>
      </c>
      <c r="H34" s="30">
        <v>41500</v>
      </c>
    </row>
    <row r="35" spans="1:9" ht="21" hidden="1" customHeight="1">
      <c r="A35" s="24">
        <v>41512</v>
      </c>
      <c r="B35" s="31" t="s">
        <v>170</v>
      </c>
      <c r="C35" s="26">
        <v>200</v>
      </c>
      <c r="D35" s="27">
        <v>26.5</v>
      </c>
      <c r="E35" s="27">
        <f t="shared" si="3"/>
        <v>5300</v>
      </c>
      <c r="F35" s="29"/>
      <c r="G35" s="27">
        <f>IF(B35&lt;&gt;"",G34+E35-F35,0)</f>
        <v>351275</v>
      </c>
      <c r="H35" s="31"/>
    </row>
    <row r="36" spans="1:9" ht="21" hidden="1" customHeight="1">
      <c r="A36" s="24"/>
      <c r="B36" s="25" t="s">
        <v>17</v>
      </c>
      <c r="C36" s="26"/>
      <c r="D36" s="27"/>
      <c r="E36" s="27">
        <f t="shared" si="3"/>
        <v>0</v>
      </c>
      <c r="F36" s="29">
        <v>200000</v>
      </c>
      <c r="G36" s="27">
        <f>IF(B36&lt;&gt;"",G35+E36-F36,0)</f>
        <v>151275</v>
      </c>
      <c r="H36" s="30">
        <v>41522</v>
      </c>
    </row>
    <row r="37" spans="1:9" ht="21" hidden="1" customHeight="1">
      <c r="A37" s="24"/>
      <c r="B37" s="25" t="s">
        <v>193</v>
      </c>
      <c r="C37" s="26"/>
      <c r="D37" s="27"/>
      <c r="E37" s="27">
        <f t="shared" si="3"/>
        <v>0</v>
      </c>
      <c r="F37" s="29">
        <v>65449</v>
      </c>
      <c r="G37" s="27">
        <f>IF(B37&lt;&gt;"",G36+E37-F37,0)</f>
        <v>85826</v>
      </c>
      <c r="H37" s="30"/>
    </row>
    <row r="38" spans="1:9" s="49" customFormat="1" ht="21.75" hidden="1" customHeight="1">
      <c r="A38" s="263" t="s">
        <v>251</v>
      </c>
      <c r="B38" s="264"/>
      <c r="C38" s="264"/>
      <c r="D38" s="264"/>
      <c r="E38" s="264"/>
      <c r="F38" s="264"/>
      <c r="G38" s="48">
        <f>G37</f>
        <v>85826</v>
      </c>
      <c r="H38" s="48"/>
      <c r="I38" s="77"/>
    </row>
    <row r="39" spans="1:9" ht="21" hidden="1" customHeight="1">
      <c r="A39" s="24"/>
      <c r="B39" s="25" t="s">
        <v>17</v>
      </c>
      <c r="C39" s="26"/>
      <c r="D39" s="27"/>
      <c r="E39" s="27">
        <f>C39*D39</f>
        <v>0</v>
      </c>
      <c r="F39" s="29">
        <f>G38</f>
        <v>85826</v>
      </c>
      <c r="G39" s="27">
        <f>IF(B39&lt;&gt;"",G38+E39-F39,0)</f>
        <v>0</v>
      </c>
      <c r="H39" s="30">
        <v>41654</v>
      </c>
    </row>
    <row r="40" spans="1:9" ht="21" hidden="1" customHeight="1">
      <c r="A40" s="24">
        <v>41639</v>
      </c>
      <c r="B40" s="31" t="s">
        <v>83</v>
      </c>
      <c r="C40" s="26">
        <v>736.5</v>
      </c>
      <c r="D40" s="27">
        <v>148</v>
      </c>
      <c r="E40" s="27">
        <f>C40*D40</f>
        <v>109002</v>
      </c>
      <c r="F40" s="29"/>
      <c r="G40" s="27">
        <f>IF(B40&lt;&gt;"",G39+E40-F40,0)</f>
        <v>109002</v>
      </c>
      <c r="H40" s="31"/>
    </row>
    <row r="41" spans="1:9" ht="21" hidden="1" customHeight="1">
      <c r="A41" s="24"/>
      <c r="B41" s="31" t="s">
        <v>212</v>
      </c>
      <c r="C41" s="26">
        <v>295</v>
      </c>
      <c r="D41" s="27">
        <v>42</v>
      </c>
      <c r="E41" s="27">
        <f>C41*D41</f>
        <v>12390</v>
      </c>
      <c r="F41" s="29"/>
      <c r="G41" s="27">
        <f>IF(B41&lt;&gt;"",G40+E41-F41,0)</f>
        <v>121392</v>
      </c>
      <c r="H41" s="31"/>
    </row>
    <row r="42" spans="1:9" ht="21" hidden="1" customHeight="1">
      <c r="A42" s="24">
        <v>41647</v>
      </c>
      <c r="B42" s="31" t="s">
        <v>83</v>
      </c>
      <c r="C42" s="26">
        <v>322.5</v>
      </c>
      <c r="D42" s="27">
        <v>148</v>
      </c>
      <c r="E42" s="27">
        <f>C42*D42</f>
        <v>47730</v>
      </c>
      <c r="F42" s="29"/>
      <c r="G42" s="27">
        <f>IF(B42&lt;&gt;"",G41+E42-F42,0)</f>
        <v>169122</v>
      </c>
      <c r="H42" s="31"/>
    </row>
    <row r="43" spans="1:9" ht="21" hidden="1" customHeight="1">
      <c r="A43" s="24"/>
      <c r="B43" s="31" t="s">
        <v>83</v>
      </c>
      <c r="C43" s="26">
        <v>1220</v>
      </c>
      <c r="D43" s="27">
        <v>148</v>
      </c>
      <c r="E43" s="27">
        <f t="shared" ref="E43:E68" si="4">C43*D43</f>
        <v>180560</v>
      </c>
      <c r="F43" s="29"/>
      <c r="G43" s="27">
        <f t="shared" ref="G43:G79" si="5">IF(B43&lt;&gt;"",G42+E43-F43,0)</f>
        <v>349682</v>
      </c>
      <c r="H43" s="31"/>
    </row>
    <row r="44" spans="1:9" ht="21" hidden="1" customHeight="1">
      <c r="A44" s="24"/>
      <c r="B44" s="31" t="s">
        <v>83</v>
      </c>
      <c r="C44" s="26">
        <v>900</v>
      </c>
      <c r="D44" s="27">
        <v>150</v>
      </c>
      <c r="E44" s="27">
        <f t="shared" si="4"/>
        <v>135000</v>
      </c>
      <c r="F44" s="29"/>
      <c r="G44" s="27">
        <f t="shared" si="5"/>
        <v>484682</v>
      </c>
      <c r="H44" s="31"/>
    </row>
    <row r="45" spans="1:9" ht="21" hidden="1" customHeight="1">
      <c r="A45" s="24">
        <v>41655</v>
      </c>
      <c r="B45" s="31" t="s">
        <v>83</v>
      </c>
      <c r="C45" s="26">
        <v>120</v>
      </c>
      <c r="D45" s="27">
        <v>150</v>
      </c>
      <c r="E45" s="27">
        <f t="shared" si="4"/>
        <v>18000</v>
      </c>
      <c r="F45" s="29"/>
      <c r="G45" s="27">
        <f t="shared" si="5"/>
        <v>502682</v>
      </c>
      <c r="H45" s="31"/>
    </row>
    <row r="46" spans="1:9" ht="21" hidden="1" customHeight="1">
      <c r="A46" s="24"/>
      <c r="B46" s="25" t="s">
        <v>17</v>
      </c>
      <c r="C46" s="26"/>
      <c r="D46" s="27"/>
      <c r="E46" s="27">
        <f>C46*D46</f>
        <v>0</v>
      </c>
      <c r="F46" s="29">
        <v>200000</v>
      </c>
      <c r="G46" s="27">
        <f t="shared" si="5"/>
        <v>302682</v>
      </c>
      <c r="H46" s="30">
        <v>41736</v>
      </c>
    </row>
    <row r="47" spans="1:9" ht="21" hidden="1" customHeight="1">
      <c r="A47" s="24"/>
      <c r="B47" s="25" t="s">
        <v>259</v>
      </c>
      <c r="C47" s="26"/>
      <c r="D47" s="27"/>
      <c r="E47" s="27">
        <f>C47*D47</f>
        <v>0</v>
      </c>
      <c r="F47" s="29">
        <v>80000</v>
      </c>
      <c r="G47" s="27">
        <f t="shared" si="5"/>
        <v>222682</v>
      </c>
      <c r="H47" s="30">
        <v>41696</v>
      </c>
    </row>
    <row r="48" spans="1:9" ht="21" hidden="1" customHeight="1">
      <c r="A48" s="24">
        <v>41696</v>
      </c>
      <c r="B48" s="31" t="s">
        <v>162</v>
      </c>
      <c r="C48" s="26">
        <v>7552</v>
      </c>
      <c r="D48" s="27">
        <v>7.8</v>
      </c>
      <c r="E48" s="27">
        <f t="shared" si="4"/>
        <v>58905.599999999999</v>
      </c>
      <c r="F48" s="29"/>
      <c r="G48" s="27">
        <f t="shared" si="5"/>
        <v>281587.59999999998</v>
      </c>
      <c r="H48" s="31"/>
    </row>
    <row r="49" spans="1:9" ht="21" hidden="1" customHeight="1">
      <c r="A49" s="24">
        <v>41697</v>
      </c>
      <c r="B49" s="31" t="s">
        <v>162</v>
      </c>
      <c r="C49" s="26">
        <v>8540</v>
      </c>
      <c r="D49" s="27">
        <v>7.8</v>
      </c>
      <c r="E49" s="27">
        <f t="shared" si="4"/>
        <v>66612</v>
      </c>
      <c r="F49" s="29"/>
      <c r="G49" s="27">
        <f t="shared" si="5"/>
        <v>348199.6</v>
      </c>
      <c r="H49" s="31"/>
    </row>
    <row r="50" spans="1:9" ht="21" hidden="1" customHeight="1">
      <c r="A50" s="24">
        <v>41699</v>
      </c>
      <c r="B50" s="31" t="s">
        <v>162</v>
      </c>
      <c r="C50" s="26">
        <v>8949</v>
      </c>
      <c r="D50" s="27">
        <v>7.7</v>
      </c>
      <c r="E50" s="27">
        <f t="shared" si="4"/>
        <v>68907.3</v>
      </c>
      <c r="F50" s="29"/>
      <c r="G50" s="27">
        <f t="shared" si="5"/>
        <v>417106.89999999997</v>
      </c>
      <c r="H50" s="31"/>
    </row>
    <row r="51" spans="1:9" ht="21" hidden="1" customHeight="1">
      <c r="A51" s="24">
        <v>41699</v>
      </c>
      <c r="B51" s="31" t="s">
        <v>162</v>
      </c>
      <c r="C51" s="26">
        <v>8925</v>
      </c>
      <c r="D51" s="27">
        <v>7.7</v>
      </c>
      <c r="E51" s="27">
        <f t="shared" si="4"/>
        <v>68722.5</v>
      </c>
      <c r="F51" s="29"/>
      <c r="G51" s="27">
        <f t="shared" si="5"/>
        <v>485829.39999999997</v>
      </c>
      <c r="H51" s="31"/>
    </row>
    <row r="52" spans="1:9" ht="21" hidden="1" customHeight="1">
      <c r="A52" s="24"/>
      <c r="B52" s="25" t="s">
        <v>17</v>
      </c>
      <c r="C52" s="26"/>
      <c r="D52" s="27"/>
      <c r="E52" s="27">
        <f>C52*D52</f>
        <v>0</v>
      </c>
      <c r="F52" s="29">
        <v>200000</v>
      </c>
      <c r="G52" s="27">
        <f t="shared" si="5"/>
        <v>285829.39999999997</v>
      </c>
      <c r="H52" s="30">
        <v>41736</v>
      </c>
    </row>
    <row r="53" spans="1:9" ht="21" hidden="1" customHeight="1">
      <c r="A53" s="24"/>
      <c r="B53" s="25" t="s">
        <v>17</v>
      </c>
      <c r="C53" s="26"/>
      <c r="D53" s="27"/>
      <c r="E53" s="27">
        <f t="shared" si="4"/>
        <v>0</v>
      </c>
      <c r="F53" s="29">
        <f>G52</f>
        <v>285829.39999999997</v>
      </c>
      <c r="G53" s="27">
        <f t="shared" si="5"/>
        <v>0</v>
      </c>
      <c r="H53" s="30">
        <v>41780</v>
      </c>
    </row>
    <row r="54" spans="1:9" ht="21" hidden="1" customHeight="1">
      <c r="A54" s="24">
        <v>41816</v>
      </c>
      <c r="B54" s="31" t="s">
        <v>83</v>
      </c>
      <c r="C54" s="26">
        <v>2910</v>
      </c>
      <c r="D54" s="27">
        <v>150</v>
      </c>
      <c r="E54" s="27">
        <f t="shared" si="4"/>
        <v>436500</v>
      </c>
      <c r="F54" s="29"/>
      <c r="G54" s="27">
        <f t="shared" si="5"/>
        <v>436500</v>
      </c>
      <c r="H54" s="31"/>
    </row>
    <row r="55" spans="1:9" ht="21" hidden="1" customHeight="1">
      <c r="A55" s="24">
        <v>41824</v>
      </c>
      <c r="B55" s="31" t="s">
        <v>83</v>
      </c>
      <c r="C55" s="26">
        <v>920</v>
      </c>
      <c r="D55" s="27">
        <v>150</v>
      </c>
      <c r="E55" s="27">
        <f t="shared" si="4"/>
        <v>138000</v>
      </c>
      <c r="F55" s="29"/>
      <c r="G55" s="27">
        <f t="shared" si="5"/>
        <v>574500</v>
      </c>
      <c r="H55" s="31"/>
    </row>
    <row r="56" spans="1:9" ht="21" hidden="1" customHeight="1">
      <c r="A56" s="24"/>
      <c r="B56" s="25" t="s">
        <v>17</v>
      </c>
      <c r="C56" s="26"/>
      <c r="D56" s="27"/>
      <c r="E56" s="27">
        <f>C56*D56</f>
        <v>0</v>
      </c>
      <c r="F56" s="29">
        <v>200000</v>
      </c>
      <c r="G56" s="27">
        <f>IF(B56&lt;&gt;"",G55+E56-F56,0)</f>
        <v>374500</v>
      </c>
      <c r="H56" s="30">
        <v>41850</v>
      </c>
    </row>
    <row r="57" spans="1:9" ht="21" hidden="1" customHeight="1">
      <c r="A57" s="24"/>
      <c r="B57" s="25" t="s">
        <v>17</v>
      </c>
      <c r="C57" s="26"/>
      <c r="D57" s="27"/>
      <c r="E57" s="27">
        <f>C57*D57</f>
        <v>0</v>
      </c>
      <c r="F57" s="29">
        <v>200000</v>
      </c>
      <c r="G57" s="27">
        <f>IF(B57&lt;&gt;"",G56+E57-F57,0)</f>
        <v>174500</v>
      </c>
      <c r="H57" s="30">
        <v>41872</v>
      </c>
    </row>
    <row r="58" spans="1:9" ht="21" hidden="1" customHeight="1">
      <c r="A58" s="24"/>
      <c r="B58" s="25" t="s">
        <v>17</v>
      </c>
      <c r="C58" s="26">
        <v>71.5</v>
      </c>
      <c r="D58" s="27">
        <v>150</v>
      </c>
      <c r="E58" s="27"/>
      <c r="F58" s="29">
        <f>C58*D58</f>
        <v>10725</v>
      </c>
      <c r="G58" s="27">
        <f t="shared" si="5"/>
        <v>163775</v>
      </c>
      <c r="H58" s="31"/>
    </row>
    <row r="59" spans="1:9" ht="21" hidden="1" customHeight="1">
      <c r="A59" s="24"/>
      <c r="B59" s="25" t="s">
        <v>17</v>
      </c>
      <c r="C59" s="26"/>
      <c r="D59" s="27"/>
      <c r="E59" s="27">
        <f>C59*D59</f>
        <v>0</v>
      </c>
      <c r="F59" s="29">
        <f>G58</f>
        <v>163775</v>
      </c>
      <c r="G59" s="27">
        <f>IF(B59&lt;&gt;"",G58+E59-F59,0)</f>
        <v>0</v>
      </c>
      <c r="H59" s="30">
        <v>41899</v>
      </c>
    </row>
    <row r="60" spans="1:9" s="49" customFormat="1" ht="21.75" hidden="1" customHeight="1">
      <c r="A60" s="263" t="s">
        <v>382</v>
      </c>
      <c r="B60" s="264"/>
      <c r="C60" s="264"/>
      <c r="D60" s="264"/>
      <c r="E60" s="264"/>
      <c r="F60" s="264"/>
      <c r="G60" s="48">
        <f>G59</f>
        <v>0</v>
      </c>
      <c r="H60" s="48"/>
      <c r="I60" s="77"/>
    </row>
    <row r="61" spans="1:9" ht="21" customHeight="1">
      <c r="A61" s="24">
        <v>42258</v>
      </c>
      <c r="B61" s="31" t="s">
        <v>383</v>
      </c>
      <c r="C61" s="26">
        <v>200</v>
      </c>
      <c r="D61" s="27">
        <v>48</v>
      </c>
      <c r="E61" s="27">
        <f t="shared" si="4"/>
        <v>9600</v>
      </c>
      <c r="F61" s="29"/>
      <c r="G61" s="27">
        <f>IF(B61&lt;&gt;"",G59+E61-F61,0)</f>
        <v>9600</v>
      </c>
      <c r="H61" s="31" t="s">
        <v>44</v>
      </c>
    </row>
    <row r="62" spans="1:9" ht="21" customHeight="1">
      <c r="A62" s="24"/>
      <c r="B62" s="31" t="s">
        <v>384</v>
      </c>
      <c r="C62" s="26">
        <v>2</v>
      </c>
      <c r="D62" s="27">
        <v>160</v>
      </c>
      <c r="E62" s="27">
        <f t="shared" si="4"/>
        <v>320</v>
      </c>
      <c r="F62" s="29"/>
      <c r="G62" s="27">
        <f t="shared" si="5"/>
        <v>9920</v>
      </c>
      <c r="H62" s="31" t="s">
        <v>44</v>
      </c>
    </row>
    <row r="63" spans="1:9" ht="21" customHeight="1">
      <c r="A63" s="24">
        <v>42264</v>
      </c>
      <c r="B63" s="31" t="s">
        <v>253</v>
      </c>
      <c r="C63" s="26">
        <v>7878</v>
      </c>
      <c r="D63" s="27">
        <v>7.5</v>
      </c>
      <c r="E63" s="27">
        <f t="shared" si="4"/>
        <v>59085</v>
      </c>
      <c r="F63" s="29"/>
      <c r="G63" s="27">
        <f t="shared" si="5"/>
        <v>69005</v>
      </c>
      <c r="H63" s="31" t="s">
        <v>341</v>
      </c>
    </row>
    <row r="64" spans="1:9" ht="21" customHeight="1">
      <c r="A64" s="24">
        <v>42271</v>
      </c>
      <c r="B64" s="31" t="s">
        <v>383</v>
      </c>
      <c r="C64" s="26">
        <v>2000</v>
      </c>
      <c r="D64" s="27">
        <v>47</v>
      </c>
      <c r="E64" s="27">
        <f t="shared" si="4"/>
        <v>94000</v>
      </c>
      <c r="F64" s="29"/>
      <c r="G64" s="27">
        <f t="shared" si="5"/>
        <v>163005</v>
      </c>
      <c r="H64" s="31" t="s">
        <v>44</v>
      </c>
    </row>
    <row r="65" spans="1:8" ht="21" customHeight="1">
      <c r="A65" s="24">
        <v>42270</v>
      </c>
      <c r="B65" s="31" t="s">
        <v>21</v>
      </c>
      <c r="C65" s="26">
        <v>1004.5</v>
      </c>
      <c r="D65" s="27">
        <v>155</v>
      </c>
      <c r="E65" s="27">
        <f t="shared" si="4"/>
        <v>155697.5</v>
      </c>
      <c r="F65" s="29"/>
      <c r="G65" s="27">
        <f t="shared" si="5"/>
        <v>318702.5</v>
      </c>
      <c r="H65" s="31" t="s">
        <v>44</v>
      </c>
    </row>
    <row r="66" spans="1:8" ht="21" customHeight="1">
      <c r="A66" s="24"/>
      <c r="B66" s="31" t="s">
        <v>385</v>
      </c>
      <c r="C66" s="26">
        <v>2006.4</v>
      </c>
      <c r="D66" s="27">
        <v>160</v>
      </c>
      <c r="E66" s="27">
        <f t="shared" si="4"/>
        <v>321024</v>
      </c>
      <c r="F66" s="29"/>
      <c r="G66" s="27">
        <f t="shared" si="5"/>
        <v>639726.5</v>
      </c>
      <c r="H66" s="31" t="s">
        <v>44</v>
      </c>
    </row>
    <row r="67" spans="1:8" ht="21" customHeight="1">
      <c r="A67" s="24">
        <v>42265</v>
      </c>
      <c r="B67" s="31" t="s">
        <v>383</v>
      </c>
      <c r="C67" s="26">
        <v>6000</v>
      </c>
      <c r="D67" s="27">
        <v>47</v>
      </c>
      <c r="E67" s="27">
        <f t="shared" si="4"/>
        <v>282000</v>
      </c>
      <c r="F67" s="29"/>
      <c r="G67" s="27">
        <f t="shared" si="5"/>
        <v>921726.5</v>
      </c>
      <c r="H67" s="31" t="s">
        <v>386</v>
      </c>
    </row>
    <row r="68" spans="1:8" ht="21" customHeight="1">
      <c r="A68" s="24">
        <v>42283</v>
      </c>
      <c r="B68" s="31" t="s">
        <v>17</v>
      </c>
      <c r="C68" s="26"/>
      <c r="D68" s="27"/>
      <c r="E68" s="27">
        <f t="shared" si="4"/>
        <v>0</v>
      </c>
      <c r="F68" s="29">
        <v>300000</v>
      </c>
      <c r="G68" s="27">
        <f t="shared" si="5"/>
        <v>621726.5</v>
      </c>
      <c r="H68" s="24"/>
    </row>
    <row r="69" spans="1:8" ht="21" customHeight="1">
      <c r="A69" s="24">
        <v>42311</v>
      </c>
      <c r="B69" s="31" t="s">
        <v>17</v>
      </c>
      <c r="C69" s="26"/>
      <c r="D69" s="27"/>
      <c r="E69" s="27">
        <f t="shared" ref="E69:E83" si="6">C69*D69</f>
        <v>0</v>
      </c>
      <c r="F69" s="29">
        <v>300000</v>
      </c>
      <c r="G69" s="27">
        <f t="shared" si="5"/>
        <v>321726.5</v>
      </c>
      <c r="H69" s="24"/>
    </row>
    <row r="70" spans="1:8" ht="21" customHeight="1">
      <c r="A70" s="24">
        <v>42329</v>
      </c>
      <c r="B70" s="31" t="s">
        <v>17</v>
      </c>
      <c r="C70" s="26"/>
      <c r="D70" s="27"/>
      <c r="E70" s="27">
        <f t="shared" si="6"/>
        <v>0</v>
      </c>
      <c r="F70" s="29">
        <f>G69</f>
        <v>321726.5</v>
      </c>
      <c r="G70" s="27">
        <f t="shared" si="5"/>
        <v>0</v>
      </c>
      <c r="H70" s="24"/>
    </row>
    <row r="71" spans="1:8" ht="21" customHeight="1">
      <c r="A71" s="24">
        <v>42311</v>
      </c>
      <c r="B71" s="31" t="s">
        <v>383</v>
      </c>
      <c r="C71" s="26">
        <v>7000</v>
      </c>
      <c r="D71" s="27">
        <v>48</v>
      </c>
      <c r="E71" s="27">
        <f>C71*D71</f>
        <v>336000</v>
      </c>
      <c r="F71" s="29"/>
      <c r="G71" s="27">
        <f t="shared" si="5"/>
        <v>336000</v>
      </c>
      <c r="H71" s="31" t="s">
        <v>386</v>
      </c>
    </row>
    <row r="72" spans="1:8" ht="21" customHeight="1">
      <c r="A72" s="24"/>
      <c r="B72" s="31" t="s">
        <v>253</v>
      </c>
      <c r="C72" s="26">
        <v>3000</v>
      </c>
      <c r="D72" s="27">
        <v>14.5</v>
      </c>
      <c r="E72" s="27">
        <f>C72*D72</f>
        <v>43500</v>
      </c>
      <c r="F72" s="29"/>
      <c r="G72" s="27">
        <f t="shared" si="5"/>
        <v>379500</v>
      </c>
      <c r="H72" s="31" t="s">
        <v>341</v>
      </c>
    </row>
    <row r="73" spans="1:8" ht="21" customHeight="1">
      <c r="A73" s="24">
        <v>42315</v>
      </c>
      <c r="B73" s="31" t="s">
        <v>419</v>
      </c>
      <c r="C73" s="26">
        <v>2500</v>
      </c>
      <c r="D73" s="27">
        <v>48.5</v>
      </c>
      <c r="E73" s="27">
        <f t="shared" si="6"/>
        <v>121250</v>
      </c>
      <c r="F73" s="29"/>
      <c r="G73" s="27">
        <f t="shared" si="5"/>
        <v>500750</v>
      </c>
      <c r="H73" s="31" t="s">
        <v>386</v>
      </c>
    </row>
    <row r="74" spans="1:8" ht="21" customHeight="1">
      <c r="A74" s="24">
        <v>42317</v>
      </c>
      <c r="B74" s="31" t="s">
        <v>419</v>
      </c>
      <c r="C74" s="26">
        <v>2500</v>
      </c>
      <c r="D74" s="27">
        <v>48.5</v>
      </c>
      <c r="E74" s="27">
        <f t="shared" si="6"/>
        <v>121250</v>
      </c>
      <c r="F74" s="29"/>
      <c r="G74" s="27">
        <f t="shared" si="5"/>
        <v>622000</v>
      </c>
      <c r="H74" s="31" t="s">
        <v>386</v>
      </c>
    </row>
    <row r="75" spans="1:8" ht="21" customHeight="1">
      <c r="A75" s="24"/>
      <c r="B75" s="31" t="s">
        <v>419</v>
      </c>
      <c r="C75" s="26">
        <v>1500</v>
      </c>
      <c r="D75" s="27">
        <v>49</v>
      </c>
      <c r="E75" s="27">
        <f t="shared" si="6"/>
        <v>73500</v>
      </c>
      <c r="F75" s="29"/>
      <c r="G75" s="27">
        <f t="shared" si="5"/>
        <v>695500</v>
      </c>
      <c r="H75" s="31" t="s">
        <v>386</v>
      </c>
    </row>
    <row r="76" spans="1:8" ht="21" customHeight="1">
      <c r="A76" s="24"/>
      <c r="B76" s="31"/>
      <c r="C76" s="26"/>
      <c r="D76" s="27"/>
      <c r="E76" s="27">
        <f t="shared" si="6"/>
        <v>0</v>
      </c>
      <c r="F76" s="29"/>
      <c r="G76" s="27">
        <f t="shared" si="5"/>
        <v>0</v>
      </c>
      <c r="H76" s="24"/>
    </row>
    <row r="77" spans="1:8" ht="21" customHeight="1">
      <c r="A77" s="24"/>
      <c r="B77" s="31"/>
      <c r="C77" s="26"/>
      <c r="D77" s="27"/>
      <c r="E77" s="27">
        <f t="shared" si="6"/>
        <v>0</v>
      </c>
      <c r="F77" s="29"/>
      <c r="G77" s="27">
        <f t="shared" si="5"/>
        <v>0</v>
      </c>
      <c r="H77" s="24"/>
    </row>
    <row r="78" spans="1:8" ht="21" customHeight="1">
      <c r="A78" s="24"/>
      <c r="B78" s="31"/>
      <c r="C78" s="26"/>
      <c r="D78" s="27"/>
      <c r="E78" s="27">
        <f t="shared" si="6"/>
        <v>0</v>
      </c>
      <c r="F78" s="29"/>
      <c r="G78" s="27">
        <f t="shared" si="5"/>
        <v>0</v>
      </c>
      <c r="H78" s="24"/>
    </row>
    <row r="79" spans="1:8" ht="21" customHeight="1">
      <c r="A79" s="24"/>
      <c r="B79" s="31"/>
      <c r="C79" s="26"/>
      <c r="D79" s="27"/>
      <c r="E79" s="27">
        <f t="shared" si="6"/>
        <v>0</v>
      </c>
      <c r="F79" s="29"/>
      <c r="G79" s="27">
        <f t="shared" si="5"/>
        <v>0</v>
      </c>
      <c r="H79" s="24"/>
    </row>
    <row r="80" spans="1:8" ht="21" customHeight="1">
      <c r="A80" s="24"/>
      <c r="B80" s="31"/>
      <c r="C80" s="26"/>
      <c r="D80" s="27"/>
      <c r="E80" s="27">
        <f t="shared" si="6"/>
        <v>0</v>
      </c>
      <c r="F80" s="29"/>
      <c r="G80" s="27">
        <f t="shared" ref="G70:G83" si="7">IF(B80&lt;&gt;"",G79+E80-F80,0)</f>
        <v>0</v>
      </c>
      <c r="H80" s="24"/>
    </row>
    <row r="81" spans="1:9" ht="21" customHeight="1">
      <c r="A81" s="24"/>
      <c r="B81" s="31"/>
      <c r="C81" s="26"/>
      <c r="D81" s="27"/>
      <c r="E81" s="27">
        <f t="shared" si="6"/>
        <v>0</v>
      </c>
      <c r="F81" s="29"/>
      <c r="G81" s="27">
        <f t="shared" si="7"/>
        <v>0</v>
      </c>
      <c r="H81" s="24"/>
    </row>
    <row r="82" spans="1:9" ht="21" customHeight="1">
      <c r="A82" s="24"/>
      <c r="B82" s="31"/>
      <c r="C82" s="26"/>
      <c r="D82" s="27"/>
      <c r="E82" s="27">
        <f t="shared" si="6"/>
        <v>0</v>
      </c>
      <c r="F82" s="29"/>
      <c r="G82" s="27">
        <f t="shared" si="7"/>
        <v>0</v>
      </c>
      <c r="H82" s="24"/>
    </row>
    <row r="83" spans="1:9" ht="21" customHeight="1">
      <c r="A83" s="24"/>
      <c r="B83" s="31"/>
      <c r="C83" s="26"/>
      <c r="D83" s="27"/>
      <c r="E83" s="27">
        <f t="shared" si="6"/>
        <v>0</v>
      </c>
      <c r="F83" s="29"/>
      <c r="G83" s="27">
        <f t="shared" si="7"/>
        <v>0</v>
      </c>
      <c r="H83" s="24"/>
    </row>
    <row r="84" spans="1:9" s="37" customFormat="1" ht="21.75" customHeight="1">
      <c r="A84" s="226" t="s">
        <v>14</v>
      </c>
      <c r="B84" s="226"/>
      <c r="C84" s="226"/>
      <c r="D84" s="226"/>
      <c r="E84" s="68">
        <f>SUM(E11:E83)+G10</f>
        <v>5314676.9000000004</v>
      </c>
      <c r="F84" s="68">
        <f>SUM(F11:F83)+H10</f>
        <v>4619176.9000000004</v>
      </c>
      <c r="G84" s="68">
        <f>(E84-F84)</f>
        <v>695500</v>
      </c>
      <c r="H84" s="69"/>
    </row>
    <row r="86" spans="1:9" s="111" customFormat="1" ht="21" customHeight="1">
      <c r="A86" s="108"/>
      <c r="B86" s="114" t="s">
        <v>99</v>
      </c>
      <c r="C86" s="109"/>
      <c r="D86" s="110"/>
      <c r="E86" s="265">
        <f>G84*1000</f>
        <v>695500000</v>
      </c>
      <c r="F86" s="265"/>
      <c r="G86" s="115" t="s">
        <v>88</v>
      </c>
      <c r="H86" s="110"/>
      <c r="I86" s="110"/>
    </row>
    <row r="87" spans="1:9" s="111" customFormat="1" ht="21" customHeight="1">
      <c r="A87" s="108"/>
      <c r="B87" s="114" t="s">
        <v>89</v>
      </c>
      <c r="C87" s="112" t="str">
        <f>[1]!VND(E86, TRUE)</f>
        <v>Sáu trăm chín mươi lăm triệu, năm trăm ngàn đồng</v>
      </c>
      <c r="D87" s="110"/>
      <c r="E87" s="110"/>
      <c r="F87" s="113"/>
      <c r="G87" s="110"/>
      <c r="H87" s="110"/>
      <c r="I87" s="110"/>
    </row>
    <row r="89" spans="1:9" ht="15.75" customHeight="1">
      <c r="E89" s="266" t="s">
        <v>93</v>
      </c>
      <c r="F89" s="266"/>
      <c r="G89" s="266"/>
      <c r="H89" s="266"/>
    </row>
    <row r="90" spans="1:9" ht="21.75" customHeight="1">
      <c r="A90" s="15" t="s">
        <v>85</v>
      </c>
      <c r="B90" s="14"/>
      <c r="E90" s="262" t="s">
        <v>86</v>
      </c>
      <c r="F90" s="262"/>
      <c r="G90" s="262"/>
      <c r="H90" s="262"/>
    </row>
  </sheetData>
  <autoFilter ref="A9:H9"/>
  <mergeCells count="15">
    <mergeCell ref="E90:H90"/>
    <mergeCell ref="A84:D84"/>
    <mergeCell ref="A10:F10"/>
    <mergeCell ref="E86:F86"/>
    <mergeCell ref="E89:H89"/>
    <mergeCell ref="A38:F38"/>
    <mergeCell ref="A60:F60"/>
    <mergeCell ref="A5:H5"/>
    <mergeCell ref="A7:B7"/>
    <mergeCell ref="C7:D7"/>
    <mergeCell ref="E7:F7"/>
    <mergeCell ref="A1:D1"/>
    <mergeCell ref="A2:F2"/>
    <mergeCell ref="A3:B3"/>
    <mergeCell ref="C3:E3"/>
  </mergeCells>
  <phoneticPr fontId="5" type="noConversion"/>
  <pageMargins left="0.61" right="0.16" top="0.64" bottom="0.2" header="0.3" footer="0.17"/>
  <pageSetup paperSize="9" scale="85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FF0000"/>
  </sheetPr>
  <dimension ref="A1:L71"/>
  <sheetViews>
    <sheetView topLeftCell="A7" workbookViewId="0">
      <pane ySplit="3" topLeftCell="A46" activePane="bottomLeft" state="frozen"/>
      <selection activeCell="B64" sqref="B64"/>
      <selection pane="bottomLeft" activeCell="G64" sqref="G64"/>
    </sheetView>
  </sheetViews>
  <sheetFormatPr defaultRowHeight="21.75" customHeight="1"/>
  <cols>
    <col min="1" max="1" width="9.85546875" style="8" customWidth="1"/>
    <col min="2" max="2" width="18.42578125" style="8" customWidth="1"/>
    <col min="3" max="3" width="12.85546875" style="8" customWidth="1"/>
    <col min="4" max="4" width="12" style="78" customWidth="1"/>
    <col min="5" max="5" width="11" style="17" customWidth="1"/>
    <col min="6" max="7" width="14" style="17" customWidth="1"/>
    <col min="8" max="8" width="14.7109375" style="17" customWidth="1"/>
    <col min="9" max="9" width="7.28515625" style="8" customWidth="1"/>
    <col min="10" max="10" width="9.140625" style="8"/>
    <col min="11" max="11" width="11.5703125" style="8" bestFit="1" customWidth="1"/>
    <col min="12" max="16384" width="9.140625" style="8"/>
  </cols>
  <sheetData>
    <row r="1" spans="1:9" s="161" customFormat="1" ht="18.75" customHeight="1">
      <c r="A1" s="253" t="s">
        <v>38</v>
      </c>
      <c r="B1" s="253"/>
      <c r="C1" s="253"/>
      <c r="D1" s="253"/>
      <c r="E1" s="253"/>
      <c r="H1" s="162"/>
      <c r="I1" s="162"/>
    </row>
    <row r="2" spans="1:9" s="161" customFormat="1" ht="18.75" customHeight="1">
      <c r="A2" s="253" t="s">
        <v>37</v>
      </c>
      <c r="B2" s="253"/>
      <c r="C2" s="253"/>
      <c r="D2" s="253"/>
      <c r="E2" s="253"/>
      <c r="F2" s="253"/>
      <c r="G2" s="253"/>
      <c r="H2" s="162"/>
      <c r="I2" s="162"/>
    </row>
    <row r="3" spans="1:9" s="161" customFormat="1" ht="18.75" customHeight="1">
      <c r="A3" s="253" t="s">
        <v>40</v>
      </c>
      <c r="B3" s="253"/>
      <c r="C3" s="194"/>
      <c r="D3" s="253" t="s">
        <v>41</v>
      </c>
      <c r="E3" s="253"/>
      <c r="F3" s="253"/>
      <c r="G3" s="194"/>
      <c r="H3" s="162"/>
      <c r="I3" s="162"/>
    </row>
    <row r="4" spans="1:9" ht="9.75" customHeight="1">
      <c r="D4" s="8"/>
      <c r="E4" s="8"/>
      <c r="F4" s="8"/>
      <c r="G4" s="8"/>
      <c r="I4" s="17"/>
    </row>
    <row r="5" spans="1:9" s="163" customFormat="1" ht="29.25" customHeight="1">
      <c r="A5" s="252" t="s">
        <v>39</v>
      </c>
      <c r="B5" s="252"/>
      <c r="C5" s="252"/>
      <c r="D5" s="252"/>
      <c r="E5" s="252"/>
      <c r="F5" s="252"/>
      <c r="G5" s="252"/>
      <c r="H5" s="252"/>
      <c r="I5" s="252"/>
    </row>
    <row r="6" spans="1:9" ht="9.75" customHeight="1">
      <c r="D6" s="8"/>
      <c r="E6" s="8"/>
      <c r="F6" s="8"/>
      <c r="G6" s="8"/>
      <c r="I6" s="17"/>
    </row>
    <row r="7" spans="1:9" ht="21.75" customHeight="1">
      <c r="A7" s="250" t="s">
        <v>348</v>
      </c>
      <c r="B7" s="250"/>
      <c r="C7" s="192"/>
    </row>
    <row r="8" spans="1:9" ht="18.75" customHeight="1">
      <c r="H8" s="195"/>
    </row>
    <row r="9" spans="1:9" s="165" customFormat="1" ht="43.5" customHeight="1">
      <c r="A9" s="71" t="s">
        <v>0</v>
      </c>
      <c r="B9" s="71" t="s">
        <v>1</v>
      </c>
      <c r="C9" s="191" t="s">
        <v>70</v>
      </c>
      <c r="D9" s="73" t="s">
        <v>24</v>
      </c>
      <c r="E9" s="73" t="s">
        <v>35</v>
      </c>
      <c r="F9" s="73" t="s">
        <v>75</v>
      </c>
      <c r="G9" s="73" t="s">
        <v>15</v>
      </c>
      <c r="H9" s="164" t="s">
        <v>2</v>
      </c>
      <c r="I9" s="191" t="s">
        <v>3</v>
      </c>
    </row>
    <row r="10" spans="1:9" ht="20.25" customHeight="1">
      <c r="A10" s="129">
        <v>42121</v>
      </c>
      <c r="B10" s="58" t="s">
        <v>156</v>
      </c>
      <c r="C10" s="16" t="s">
        <v>191</v>
      </c>
      <c r="D10" s="174">
        <v>724</v>
      </c>
      <c r="E10" s="175">
        <v>45</v>
      </c>
      <c r="F10" s="175">
        <f>D10*E10</f>
        <v>32580</v>
      </c>
      <c r="G10" s="175"/>
      <c r="H10" s="175">
        <f>F10</f>
        <v>32580</v>
      </c>
      <c r="I10" s="58"/>
    </row>
    <row r="11" spans="1:9" ht="20.25" customHeight="1">
      <c r="A11" s="18">
        <v>42152</v>
      </c>
      <c r="B11" s="16" t="s">
        <v>17</v>
      </c>
      <c r="C11" s="16"/>
      <c r="D11" s="20"/>
      <c r="E11" s="19"/>
      <c r="F11" s="19"/>
      <c r="G11" s="19">
        <f>H10</f>
        <v>32580</v>
      </c>
      <c r="H11" s="19">
        <f>IF(B11&lt;&gt;"",H10+F11-G11,0)</f>
        <v>0</v>
      </c>
      <c r="I11" s="16"/>
    </row>
    <row r="12" spans="1:9" ht="20.25" customHeight="1">
      <c r="A12" s="18">
        <v>42158</v>
      </c>
      <c r="B12" s="16" t="s">
        <v>345</v>
      </c>
      <c r="C12" s="18" t="s">
        <v>341</v>
      </c>
      <c r="D12" s="20">
        <v>1401</v>
      </c>
      <c r="E12" s="19">
        <v>18</v>
      </c>
      <c r="F12" s="19">
        <f t="shared" ref="F12:F59" si="0">D12*E12</f>
        <v>25218</v>
      </c>
      <c r="G12" s="19"/>
      <c r="H12" s="19">
        <f t="shared" ref="H12:H59" si="1">IF(B12&lt;&gt;"",H11+F12-G12,0)</f>
        <v>25218</v>
      </c>
      <c r="I12" s="18"/>
    </row>
    <row r="13" spans="1:9" ht="20.25" customHeight="1">
      <c r="A13" s="18"/>
      <c r="B13" s="16" t="s">
        <v>346</v>
      </c>
      <c r="C13" s="18" t="s">
        <v>341</v>
      </c>
      <c r="D13" s="20">
        <v>814</v>
      </c>
      <c r="E13" s="19">
        <v>11</v>
      </c>
      <c r="F13" s="19">
        <f t="shared" si="0"/>
        <v>8954</v>
      </c>
      <c r="G13" s="19"/>
      <c r="H13" s="19">
        <f t="shared" si="1"/>
        <v>34172</v>
      </c>
      <c r="I13" s="18"/>
    </row>
    <row r="14" spans="1:9" ht="20.25" customHeight="1">
      <c r="A14" s="18">
        <v>42165</v>
      </c>
      <c r="B14" s="16" t="s">
        <v>264</v>
      </c>
      <c r="C14" s="18" t="s">
        <v>341</v>
      </c>
      <c r="D14" s="20">
        <v>627</v>
      </c>
      <c r="E14" s="19">
        <v>7.5</v>
      </c>
      <c r="F14" s="19">
        <f t="shared" si="0"/>
        <v>4702.5</v>
      </c>
      <c r="G14" s="19"/>
      <c r="H14" s="19">
        <f t="shared" si="1"/>
        <v>38874.5</v>
      </c>
      <c r="I14" s="16"/>
    </row>
    <row r="15" spans="1:9" ht="20.25" customHeight="1">
      <c r="A15" s="18"/>
      <c r="B15" s="16" t="s">
        <v>334</v>
      </c>
      <c r="C15" s="18" t="s">
        <v>341</v>
      </c>
      <c r="D15" s="20">
        <v>973</v>
      </c>
      <c r="E15" s="19">
        <v>10</v>
      </c>
      <c r="F15" s="19">
        <f t="shared" si="0"/>
        <v>9730</v>
      </c>
      <c r="G15" s="19"/>
      <c r="H15" s="19">
        <f t="shared" si="1"/>
        <v>48604.5</v>
      </c>
      <c r="I15" s="18"/>
    </row>
    <row r="16" spans="1:9" ht="20.25" customHeight="1">
      <c r="A16" s="18">
        <v>42169</v>
      </c>
      <c r="B16" s="16" t="s">
        <v>345</v>
      </c>
      <c r="C16" s="18" t="s">
        <v>341</v>
      </c>
      <c r="D16" s="20">
        <v>1650</v>
      </c>
      <c r="E16" s="19">
        <v>16</v>
      </c>
      <c r="F16" s="19">
        <f t="shared" si="0"/>
        <v>26400</v>
      </c>
      <c r="G16" s="19"/>
      <c r="H16" s="19">
        <f t="shared" si="1"/>
        <v>75004.5</v>
      </c>
      <c r="I16" s="18"/>
    </row>
    <row r="17" spans="1:12" ht="20.25" customHeight="1">
      <c r="A17" s="18">
        <v>42163</v>
      </c>
      <c r="B17" s="16" t="s">
        <v>17</v>
      </c>
      <c r="C17" s="16"/>
      <c r="D17" s="20"/>
      <c r="E17" s="19"/>
      <c r="F17" s="19"/>
      <c r="G17" s="19">
        <v>34172</v>
      </c>
      <c r="H17" s="19">
        <f t="shared" si="1"/>
        <v>40832.5</v>
      </c>
      <c r="I17" s="16"/>
    </row>
    <row r="18" spans="1:12" ht="20.25" customHeight="1">
      <c r="A18" s="18">
        <v>42181</v>
      </c>
      <c r="B18" s="16" t="s">
        <v>17</v>
      </c>
      <c r="C18" s="16"/>
      <c r="D18" s="20"/>
      <c r="E18" s="19"/>
      <c r="F18" s="19"/>
      <c r="G18" s="19">
        <f>H17</f>
        <v>40832.5</v>
      </c>
      <c r="H18" s="19">
        <f t="shared" si="1"/>
        <v>0</v>
      </c>
      <c r="I18" s="16"/>
      <c r="K18" s="78"/>
      <c r="L18" s="196"/>
    </row>
    <row r="19" spans="1:12" ht="20.25" customHeight="1">
      <c r="A19" s="18">
        <v>42194</v>
      </c>
      <c r="B19" s="16" t="s">
        <v>345</v>
      </c>
      <c r="C19" s="18" t="s">
        <v>341</v>
      </c>
      <c r="D19" s="20">
        <v>808</v>
      </c>
      <c r="E19" s="19">
        <v>14</v>
      </c>
      <c r="F19" s="19">
        <f t="shared" si="0"/>
        <v>11312</v>
      </c>
      <c r="G19" s="19"/>
      <c r="H19" s="19">
        <f t="shared" si="1"/>
        <v>11312</v>
      </c>
      <c r="I19" s="16"/>
    </row>
    <row r="20" spans="1:12" ht="20.25" customHeight="1">
      <c r="A20" s="18"/>
      <c r="B20" s="16" t="s">
        <v>334</v>
      </c>
      <c r="C20" s="18" t="s">
        <v>341</v>
      </c>
      <c r="D20" s="20">
        <v>2070</v>
      </c>
      <c r="E20" s="19">
        <v>8</v>
      </c>
      <c r="F20" s="19">
        <f t="shared" si="0"/>
        <v>16560</v>
      </c>
      <c r="G20" s="19"/>
      <c r="H20" s="19">
        <f t="shared" si="1"/>
        <v>27872</v>
      </c>
      <c r="I20" s="18"/>
    </row>
    <row r="21" spans="1:12" ht="20.25" customHeight="1">
      <c r="A21" s="18">
        <v>42200</v>
      </c>
      <c r="B21" s="16" t="s">
        <v>345</v>
      </c>
      <c r="C21" s="18" t="s">
        <v>341</v>
      </c>
      <c r="D21" s="20">
        <v>635</v>
      </c>
      <c r="E21" s="19">
        <v>14.5</v>
      </c>
      <c r="F21" s="19">
        <f t="shared" si="0"/>
        <v>9207.5</v>
      </c>
      <c r="G21" s="19"/>
      <c r="H21" s="19">
        <f t="shared" si="1"/>
        <v>37079.5</v>
      </c>
      <c r="I21" s="18"/>
    </row>
    <row r="22" spans="1:12" ht="20.25" customHeight="1">
      <c r="A22" s="18"/>
      <c r="B22" s="16" t="s">
        <v>346</v>
      </c>
      <c r="C22" s="18" t="s">
        <v>341</v>
      </c>
      <c r="D22" s="20">
        <v>1063</v>
      </c>
      <c r="E22" s="19">
        <v>15</v>
      </c>
      <c r="F22" s="19">
        <f t="shared" si="0"/>
        <v>15945</v>
      </c>
      <c r="G22" s="19"/>
      <c r="H22" s="19">
        <f t="shared" si="1"/>
        <v>53024.5</v>
      </c>
      <c r="I22" s="16"/>
    </row>
    <row r="23" spans="1:12" ht="20.25" customHeight="1">
      <c r="A23" s="18"/>
      <c r="B23" s="16" t="s">
        <v>334</v>
      </c>
      <c r="C23" s="18" t="s">
        <v>341</v>
      </c>
      <c r="D23" s="20">
        <v>3319</v>
      </c>
      <c r="E23" s="19">
        <v>8.5</v>
      </c>
      <c r="F23" s="19">
        <f t="shared" si="0"/>
        <v>28211.5</v>
      </c>
      <c r="G23" s="19"/>
      <c r="H23" s="19">
        <f t="shared" si="1"/>
        <v>81236</v>
      </c>
      <c r="I23" s="16"/>
    </row>
    <row r="24" spans="1:12" ht="20.25" customHeight="1">
      <c r="A24" s="18">
        <v>42202</v>
      </c>
      <c r="B24" s="16" t="s">
        <v>334</v>
      </c>
      <c r="C24" s="18" t="s">
        <v>341</v>
      </c>
      <c r="D24" s="20">
        <v>696</v>
      </c>
      <c r="E24" s="19">
        <v>8</v>
      </c>
      <c r="F24" s="19">
        <f t="shared" si="0"/>
        <v>5568</v>
      </c>
      <c r="G24" s="19"/>
      <c r="H24" s="19">
        <f t="shared" si="1"/>
        <v>86804</v>
      </c>
      <c r="I24" s="16"/>
    </row>
    <row r="25" spans="1:12" ht="20.25" customHeight="1">
      <c r="A25" s="18"/>
      <c r="B25" s="16" t="s">
        <v>345</v>
      </c>
      <c r="C25" s="18" t="s">
        <v>341</v>
      </c>
      <c r="D25" s="20">
        <v>1292</v>
      </c>
      <c r="E25" s="19">
        <v>14.5</v>
      </c>
      <c r="F25" s="19">
        <f t="shared" si="0"/>
        <v>18734</v>
      </c>
      <c r="G25" s="19"/>
      <c r="H25" s="19">
        <f t="shared" si="1"/>
        <v>105538</v>
      </c>
      <c r="I25" s="18"/>
    </row>
    <row r="26" spans="1:12" ht="20.25" customHeight="1">
      <c r="A26" s="18">
        <v>42209</v>
      </c>
      <c r="B26" s="16" t="s">
        <v>17</v>
      </c>
      <c r="C26" s="16"/>
      <c r="D26" s="20"/>
      <c r="E26" s="19"/>
      <c r="F26" s="19">
        <f t="shared" si="0"/>
        <v>0</v>
      </c>
      <c r="G26" s="19">
        <v>50000</v>
      </c>
      <c r="H26" s="19">
        <f t="shared" si="1"/>
        <v>55538</v>
      </c>
      <c r="I26" s="16"/>
    </row>
    <row r="27" spans="1:12" ht="20.25" customHeight="1">
      <c r="A27" s="18">
        <v>42215</v>
      </c>
      <c r="B27" s="16" t="s">
        <v>17</v>
      </c>
      <c r="C27" s="16"/>
      <c r="D27" s="20"/>
      <c r="E27" s="19"/>
      <c r="F27" s="19">
        <f t="shared" si="0"/>
        <v>0</v>
      </c>
      <c r="G27" s="19">
        <f>H26</f>
        <v>55538</v>
      </c>
      <c r="H27" s="19">
        <f t="shared" si="1"/>
        <v>0</v>
      </c>
      <c r="I27" s="16"/>
    </row>
    <row r="28" spans="1:12" ht="20.25" customHeight="1">
      <c r="A28" s="18">
        <v>42207</v>
      </c>
      <c r="B28" s="16" t="s">
        <v>260</v>
      </c>
      <c r="C28" s="16" t="s">
        <v>191</v>
      </c>
      <c r="D28" s="20">
        <v>695</v>
      </c>
      <c r="E28" s="19">
        <v>47</v>
      </c>
      <c r="F28" s="19">
        <f t="shared" si="0"/>
        <v>32665</v>
      </c>
      <c r="G28" s="19"/>
      <c r="H28" s="19">
        <f t="shared" si="1"/>
        <v>32665</v>
      </c>
      <c r="I28" s="16"/>
    </row>
    <row r="29" spans="1:12" ht="20.25" customHeight="1">
      <c r="A29" s="18">
        <v>42216</v>
      </c>
      <c r="B29" s="16" t="s">
        <v>260</v>
      </c>
      <c r="C29" s="16" t="s">
        <v>191</v>
      </c>
      <c r="D29" s="20">
        <v>1175</v>
      </c>
      <c r="E29" s="19">
        <v>47</v>
      </c>
      <c r="F29" s="19">
        <f t="shared" si="0"/>
        <v>55225</v>
      </c>
      <c r="G29" s="19"/>
      <c r="H29" s="19">
        <f t="shared" si="1"/>
        <v>87890</v>
      </c>
      <c r="I29" s="16"/>
    </row>
    <row r="30" spans="1:12" ht="20.25" customHeight="1">
      <c r="A30" s="18">
        <v>42222</v>
      </c>
      <c r="B30" s="16" t="s">
        <v>17</v>
      </c>
      <c r="C30" s="16"/>
      <c r="D30" s="20"/>
      <c r="E30" s="19"/>
      <c r="F30" s="19">
        <f t="shared" ref="F30:F31" si="2">D30*E30</f>
        <v>0</v>
      </c>
      <c r="G30" s="19">
        <v>60000</v>
      </c>
      <c r="H30" s="19">
        <f t="shared" si="1"/>
        <v>27890</v>
      </c>
      <c r="I30" s="16"/>
    </row>
    <row r="31" spans="1:12" ht="20.25" customHeight="1">
      <c r="A31" s="18">
        <v>42229</v>
      </c>
      <c r="B31" s="16" t="s">
        <v>17</v>
      </c>
      <c r="C31" s="16"/>
      <c r="D31" s="20"/>
      <c r="E31" s="19"/>
      <c r="F31" s="19">
        <f t="shared" si="2"/>
        <v>0</v>
      </c>
      <c r="G31" s="19">
        <f>H30</f>
        <v>27890</v>
      </c>
      <c r="H31" s="19">
        <f t="shared" si="1"/>
        <v>0</v>
      </c>
      <c r="I31" s="16"/>
    </row>
    <row r="32" spans="1:12" ht="20.25" customHeight="1">
      <c r="A32" s="18">
        <v>42221</v>
      </c>
      <c r="B32" s="16" t="s">
        <v>264</v>
      </c>
      <c r="C32" s="18" t="s">
        <v>341</v>
      </c>
      <c r="D32" s="20">
        <v>3400</v>
      </c>
      <c r="E32" s="19">
        <v>8.5</v>
      </c>
      <c r="F32" s="19">
        <f t="shared" si="0"/>
        <v>28900</v>
      </c>
      <c r="G32" s="19"/>
      <c r="H32" s="19">
        <f t="shared" si="1"/>
        <v>28900</v>
      </c>
      <c r="I32" s="16"/>
    </row>
    <row r="33" spans="1:9" ht="20.25" customHeight="1">
      <c r="A33" s="18">
        <v>42226</v>
      </c>
      <c r="B33" s="16" t="s">
        <v>334</v>
      </c>
      <c r="C33" s="18" t="s">
        <v>341</v>
      </c>
      <c r="D33" s="20">
        <v>2440</v>
      </c>
      <c r="E33" s="19">
        <v>6</v>
      </c>
      <c r="F33" s="19">
        <f t="shared" si="0"/>
        <v>14640</v>
      </c>
      <c r="G33" s="19"/>
      <c r="H33" s="19">
        <f t="shared" si="1"/>
        <v>43540</v>
      </c>
      <c r="I33" s="16"/>
    </row>
    <row r="34" spans="1:9" ht="20.25" customHeight="1">
      <c r="A34" s="18">
        <v>42229</v>
      </c>
      <c r="B34" s="16" t="s">
        <v>17</v>
      </c>
      <c r="C34" s="16"/>
      <c r="D34" s="20"/>
      <c r="E34" s="19"/>
      <c r="F34" s="19">
        <f t="shared" si="0"/>
        <v>0</v>
      </c>
      <c r="G34" s="19">
        <f>H33</f>
        <v>43540</v>
      </c>
      <c r="H34" s="19">
        <f t="shared" si="1"/>
        <v>0</v>
      </c>
      <c r="I34" s="16"/>
    </row>
    <row r="35" spans="1:9" ht="20.25" customHeight="1">
      <c r="A35" s="18">
        <v>42184</v>
      </c>
      <c r="B35" s="16" t="s">
        <v>334</v>
      </c>
      <c r="C35" s="18" t="s">
        <v>341</v>
      </c>
      <c r="D35" s="20">
        <v>633</v>
      </c>
      <c r="E35" s="19">
        <v>9.5</v>
      </c>
      <c r="F35" s="19">
        <f t="shared" si="0"/>
        <v>6013.5</v>
      </c>
      <c r="G35" s="19"/>
      <c r="H35" s="19">
        <f t="shared" si="1"/>
        <v>6013.5</v>
      </c>
      <c r="I35" s="16"/>
    </row>
    <row r="36" spans="1:9" ht="20.25" customHeight="1">
      <c r="A36" s="18">
        <v>42165</v>
      </c>
      <c r="B36" s="16" t="s">
        <v>334</v>
      </c>
      <c r="C36" s="18" t="s">
        <v>341</v>
      </c>
      <c r="D36" s="20">
        <v>627</v>
      </c>
      <c r="E36" s="19">
        <v>2.5</v>
      </c>
      <c r="F36" s="19">
        <f t="shared" si="0"/>
        <v>1567.5</v>
      </c>
      <c r="G36" s="19"/>
      <c r="H36" s="19">
        <f t="shared" si="1"/>
        <v>7581</v>
      </c>
      <c r="I36" s="16"/>
    </row>
    <row r="37" spans="1:9" ht="20.25" customHeight="1">
      <c r="A37" s="18"/>
      <c r="B37" s="16" t="s">
        <v>264</v>
      </c>
      <c r="C37" s="18" t="s">
        <v>341</v>
      </c>
      <c r="D37" s="20">
        <v>973</v>
      </c>
      <c r="E37" s="19">
        <v>-2.5</v>
      </c>
      <c r="F37" s="19">
        <f t="shared" si="0"/>
        <v>-2432.5</v>
      </c>
      <c r="G37" s="19"/>
      <c r="H37" s="19">
        <f t="shared" si="1"/>
        <v>5148.5</v>
      </c>
      <c r="I37" s="18"/>
    </row>
    <row r="38" spans="1:9" ht="20.25" customHeight="1">
      <c r="A38" s="18">
        <v>42225</v>
      </c>
      <c r="B38" s="16" t="s">
        <v>260</v>
      </c>
      <c r="C38" s="16" t="s">
        <v>191</v>
      </c>
      <c r="D38" s="20">
        <v>1955</v>
      </c>
      <c r="E38" s="19">
        <v>47</v>
      </c>
      <c r="F38" s="19">
        <f t="shared" si="0"/>
        <v>91885</v>
      </c>
      <c r="G38" s="19"/>
      <c r="H38" s="19">
        <f t="shared" si="1"/>
        <v>97033.5</v>
      </c>
      <c r="I38" s="16"/>
    </row>
    <row r="39" spans="1:9" ht="20.25" customHeight="1">
      <c r="A39" s="18"/>
      <c r="B39" s="16" t="s">
        <v>347</v>
      </c>
      <c r="C39" s="16" t="s">
        <v>191</v>
      </c>
      <c r="D39" s="20">
        <v>10</v>
      </c>
      <c r="E39" s="19">
        <v>47</v>
      </c>
      <c r="F39" s="19">
        <f t="shared" si="0"/>
        <v>470</v>
      </c>
      <c r="G39" s="19"/>
      <c r="H39" s="19">
        <f t="shared" si="1"/>
        <v>97503.5</v>
      </c>
      <c r="I39" s="18"/>
    </row>
    <row r="40" spans="1:9" ht="20.25" customHeight="1">
      <c r="A40" s="18">
        <v>42230</v>
      </c>
      <c r="B40" s="16" t="s">
        <v>260</v>
      </c>
      <c r="C40" s="16" t="s">
        <v>191</v>
      </c>
      <c r="D40" s="20">
        <v>725</v>
      </c>
      <c r="E40" s="19">
        <v>47</v>
      </c>
      <c r="F40" s="19">
        <f t="shared" si="0"/>
        <v>34075</v>
      </c>
      <c r="G40" s="19"/>
      <c r="H40" s="19">
        <f t="shared" si="1"/>
        <v>131578.5</v>
      </c>
      <c r="I40" s="18"/>
    </row>
    <row r="41" spans="1:9" ht="20.25" customHeight="1">
      <c r="A41" s="18">
        <v>42227</v>
      </c>
      <c r="B41" s="16" t="s">
        <v>317</v>
      </c>
      <c r="C41" s="16" t="s">
        <v>191</v>
      </c>
      <c r="D41" s="20">
        <f>4*270</f>
        <v>1080</v>
      </c>
      <c r="E41" s="19">
        <v>14.3</v>
      </c>
      <c r="F41" s="19"/>
      <c r="G41" s="19">
        <f>D41*E41</f>
        <v>15444</v>
      </c>
      <c r="H41" s="19">
        <f t="shared" si="1"/>
        <v>116134.5</v>
      </c>
      <c r="I41" s="16"/>
    </row>
    <row r="42" spans="1:9" ht="20.25" customHeight="1">
      <c r="A42" s="18">
        <v>42241</v>
      </c>
      <c r="B42" s="16" t="s">
        <v>17</v>
      </c>
      <c r="C42" s="16"/>
      <c r="D42" s="20"/>
      <c r="E42" s="19"/>
      <c r="F42" s="19">
        <f t="shared" si="0"/>
        <v>0</v>
      </c>
      <c r="G42" s="19">
        <v>50000</v>
      </c>
      <c r="H42" s="19">
        <f t="shared" si="1"/>
        <v>66134.5</v>
      </c>
      <c r="I42" s="16"/>
    </row>
    <row r="43" spans="1:9" ht="20.25" customHeight="1">
      <c r="A43" s="18">
        <v>42252</v>
      </c>
      <c r="B43" s="16" t="s">
        <v>17</v>
      </c>
      <c r="C43" s="18"/>
      <c r="D43" s="20"/>
      <c r="E43" s="19"/>
      <c r="F43" s="19">
        <f t="shared" ref="F43" si="3">D43*E43</f>
        <v>0</v>
      </c>
      <c r="G43" s="19">
        <f>H42</f>
        <v>66134.5</v>
      </c>
      <c r="H43" s="19">
        <f t="shared" si="1"/>
        <v>0</v>
      </c>
      <c r="I43" s="18"/>
    </row>
    <row r="44" spans="1:9" ht="20.25" customHeight="1">
      <c r="A44" s="18">
        <v>42238</v>
      </c>
      <c r="B44" s="16" t="s">
        <v>260</v>
      </c>
      <c r="C44" s="16" t="s">
        <v>191</v>
      </c>
      <c r="D44" s="20">
        <v>990</v>
      </c>
      <c r="E44" s="19">
        <v>52</v>
      </c>
      <c r="F44" s="19">
        <f t="shared" ref="F44" si="4">D44*E44</f>
        <v>51480</v>
      </c>
      <c r="G44" s="19"/>
      <c r="H44" s="19">
        <f t="shared" si="1"/>
        <v>51480</v>
      </c>
      <c r="I44" s="18"/>
    </row>
    <row r="45" spans="1:9" ht="20.25" customHeight="1">
      <c r="A45" s="18">
        <v>42245</v>
      </c>
      <c r="B45" s="16" t="s">
        <v>260</v>
      </c>
      <c r="C45" s="16" t="s">
        <v>191</v>
      </c>
      <c r="D45" s="20">
        <v>820</v>
      </c>
      <c r="E45" s="19">
        <v>52</v>
      </c>
      <c r="F45" s="19">
        <f t="shared" ref="F45" si="5">D45*E45</f>
        <v>42640</v>
      </c>
      <c r="G45" s="19"/>
      <c r="H45" s="19">
        <f t="shared" si="1"/>
        <v>94120</v>
      </c>
      <c r="I45" s="16"/>
    </row>
    <row r="46" spans="1:9" ht="20.25" customHeight="1">
      <c r="A46" s="18">
        <v>42253</v>
      </c>
      <c r="B46" s="16" t="s">
        <v>260</v>
      </c>
      <c r="C46" s="16" t="s">
        <v>191</v>
      </c>
      <c r="D46" s="20">
        <v>552</v>
      </c>
      <c r="E46" s="19">
        <v>52</v>
      </c>
      <c r="F46" s="19">
        <f t="shared" si="0"/>
        <v>28704</v>
      </c>
      <c r="G46" s="19"/>
      <c r="H46" s="19">
        <f t="shared" si="1"/>
        <v>122824</v>
      </c>
      <c r="I46" s="18"/>
    </row>
    <row r="47" spans="1:9" ht="20.25" customHeight="1">
      <c r="A47" s="18">
        <v>42256</v>
      </c>
      <c r="B47" s="16" t="s">
        <v>260</v>
      </c>
      <c r="C47" s="16" t="s">
        <v>191</v>
      </c>
      <c r="D47" s="20">
        <v>645</v>
      </c>
      <c r="E47" s="19">
        <v>52</v>
      </c>
      <c r="F47" s="19">
        <f t="shared" si="0"/>
        <v>33540</v>
      </c>
      <c r="G47" s="19"/>
      <c r="H47" s="19">
        <f t="shared" si="1"/>
        <v>156364</v>
      </c>
      <c r="I47" s="18"/>
    </row>
    <row r="48" spans="1:9" ht="20.25" customHeight="1">
      <c r="A48" s="18">
        <v>42261</v>
      </c>
      <c r="B48" s="16" t="s">
        <v>17</v>
      </c>
      <c r="C48" s="18"/>
      <c r="D48" s="20"/>
      <c r="E48" s="19"/>
      <c r="F48" s="19">
        <f t="shared" si="0"/>
        <v>0</v>
      </c>
      <c r="G48" s="19">
        <v>70000</v>
      </c>
      <c r="H48" s="19">
        <f t="shared" si="1"/>
        <v>86364</v>
      </c>
      <c r="I48" s="18"/>
    </row>
    <row r="49" spans="1:9" ht="20.25" customHeight="1">
      <c r="A49" s="18">
        <v>42268</v>
      </c>
      <c r="B49" s="16" t="s">
        <v>17</v>
      </c>
      <c r="C49" s="18"/>
      <c r="D49" s="20"/>
      <c r="E49" s="19"/>
      <c r="F49" s="19">
        <f t="shared" si="0"/>
        <v>0</v>
      </c>
      <c r="G49" s="19">
        <f>H48</f>
        <v>86364</v>
      </c>
      <c r="H49" s="19">
        <f t="shared" si="1"/>
        <v>0</v>
      </c>
      <c r="I49" s="18"/>
    </row>
    <row r="50" spans="1:9" ht="20.25" customHeight="1">
      <c r="A50" s="18">
        <v>42254</v>
      </c>
      <c r="B50" s="16" t="s">
        <v>162</v>
      </c>
      <c r="C50" s="18" t="s">
        <v>341</v>
      </c>
      <c r="D50" s="20">
        <v>2927</v>
      </c>
      <c r="E50" s="19">
        <v>7.2</v>
      </c>
      <c r="F50" s="19">
        <f t="shared" si="0"/>
        <v>21074.400000000001</v>
      </c>
      <c r="G50" s="19"/>
      <c r="H50" s="19">
        <f t="shared" si="1"/>
        <v>21074.400000000001</v>
      </c>
      <c r="I50" s="18"/>
    </row>
    <row r="51" spans="1:9" ht="20.25" customHeight="1">
      <c r="A51" s="18">
        <v>42264</v>
      </c>
      <c r="B51" s="16" t="s">
        <v>311</v>
      </c>
      <c r="C51" s="16" t="s">
        <v>191</v>
      </c>
      <c r="D51" s="20">
        <v>35</v>
      </c>
      <c r="E51" s="19"/>
      <c r="F51" s="19">
        <f t="shared" si="0"/>
        <v>0</v>
      </c>
      <c r="G51" s="19"/>
      <c r="H51" s="19">
        <f t="shared" si="1"/>
        <v>21074.400000000001</v>
      </c>
      <c r="I51" s="16"/>
    </row>
    <row r="52" spans="1:9" ht="20.25" customHeight="1">
      <c r="A52" s="18"/>
      <c r="B52" s="16" t="s">
        <v>387</v>
      </c>
      <c r="C52" s="16" t="s">
        <v>191</v>
      </c>
      <c r="D52" s="20">
        <v>275</v>
      </c>
      <c r="E52" s="19">
        <v>52</v>
      </c>
      <c r="F52" s="19">
        <f t="shared" si="0"/>
        <v>14300</v>
      </c>
      <c r="G52" s="19"/>
      <c r="H52" s="19">
        <f t="shared" si="1"/>
        <v>35374.400000000001</v>
      </c>
      <c r="I52" s="16"/>
    </row>
    <row r="53" spans="1:9" ht="20.25" customHeight="1">
      <c r="A53" s="18"/>
      <c r="B53" s="16" t="s">
        <v>310</v>
      </c>
      <c r="C53" s="16" t="s">
        <v>191</v>
      </c>
      <c r="D53" s="20">
        <v>120</v>
      </c>
      <c r="E53" s="19">
        <v>52</v>
      </c>
      <c r="F53" s="19">
        <f t="shared" si="0"/>
        <v>6240</v>
      </c>
      <c r="G53" s="19"/>
      <c r="H53" s="19">
        <f t="shared" si="1"/>
        <v>41614.400000000001</v>
      </c>
      <c r="I53" s="16"/>
    </row>
    <row r="54" spans="1:9" ht="20.25" customHeight="1">
      <c r="A54" s="18">
        <v>42271</v>
      </c>
      <c r="B54" s="16" t="s">
        <v>310</v>
      </c>
      <c r="C54" s="16" t="s">
        <v>191</v>
      </c>
      <c r="D54" s="20">
        <v>747</v>
      </c>
      <c r="E54" s="19">
        <v>52</v>
      </c>
      <c r="F54" s="19">
        <f t="shared" si="0"/>
        <v>38844</v>
      </c>
      <c r="G54" s="19"/>
      <c r="H54" s="19">
        <f t="shared" si="1"/>
        <v>80458.399999999994</v>
      </c>
      <c r="I54" s="16"/>
    </row>
    <row r="55" spans="1:9" ht="20.25" customHeight="1">
      <c r="A55" s="18">
        <v>42276</v>
      </c>
      <c r="B55" s="16" t="s">
        <v>310</v>
      </c>
      <c r="C55" s="16" t="s">
        <v>191</v>
      </c>
      <c r="D55" s="20">
        <v>825</v>
      </c>
      <c r="E55" s="19">
        <v>52</v>
      </c>
      <c r="F55" s="19">
        <f t="shared" si="0"/>
        <v>42900</v>
      </c>
      <c r="G55" s="19"/>
      <c r="H55" s="19">
        <f t="shared" si="1"/>
        <v>123358.39999999999</v>
      </c>
      <c r="I55" s="16"/>
    </row>
    <row r="56" spans="1:9" ht="20.25" customHeight="1">
      <c r="A56" s="18">
        <v>42271</v>
      </c>
      <c r="B56" s="16" t="s">
        <v>317</v>
      </c>
      <c r="C56" s="16" t="s">
        <v>191</v>
      </c>
      <c r="D56" s="20">
        <f>2*270</f>
        <v>540</v>
      </c>
      <c r="E56" s="19">
        <v>14.5</v>
      </c>
      <c r="F56" s="19"/>
      <c r="G56" s="19">
        <f>D56*E56</f>
        <v>7830</v>
      </c>
      <c r="H56" s="19">
        <f t="shared" si="1"/>
        <v>115528.4</v>
      </c>
      <c r="I56" s="16"/>
    </row>
    <row r="57" spans="1:9" ht="20.25" customHeight="1">
      <c r="A57" s="18">
        <v>42284</v>
      </c>
      <c r="B57" s="16" t="s">
        <v>17</v>
      </c>
      <c r="C57" s="16"/>
      <c r="D57" s="20"/>
      <c r="E57" s="19"/>
      <c r="F57" s="19">
        <f t="shared" si="0"/>
        <v>0</v>
      </c>
      <c r="G57" s="19">
        <v>50000</v>
      </c>
      <c r="H57" s="19">
        <f>IF(B57&lt;&gt;"",H56+F57-G57,0)</f>
        <v>65528.399999999994</v>
      </c>
      <c r="I57" s="16"/>
    </row>
    <row r="58" spans="1:9" ht="20.25" customHeight="1">
      <c r="A58" s="18">
        <v>42297</v>
      </c>
      <c r="B58" s="16" t="s">
        <v>17</v>
      </c>
      <c r="C58" s="18"/>
      <c r="D58" s="20"/>
      <c r="E58" s="19"/>
      <c r="F58" s="19">
        <f t="shared" si="0"/>
        <v>0</v>
      </c>
      <c r="G58" s="19">
        <f>H57</f>
        <v>65528.399999999994</v>
      </c>
      <c r="H58" s="19">
        <f t="shared" si="1"/>
        <v>0</v>
      </c>
      <c r="I58" s="18"/>
    </row>
    <row r="59" spans="1:9" ht="20.25" customHeight="1">
      <c r="A59" s="18">
        <v>42295</v>
      </c>
      <c r="B59" s="16" t="s">
        <v>310</v>
      </c>
      <c r="C59" s="16" t="s">
        <v>191</v>
      </c>
      <c r="D59" s="20">
        <v>780</v>
      </c>
      <c r="E59" s="19">
        <v>52</v>
      </c>
      <c r="F59" s="19">
        <f t="shared" si="0"/>
        <v>40560</v>
      </c>
      <c r="G59" s="19"/>
      <c r="H59" s="19">
        <f t="shared" si="1"/>
        <v>40560</v>
      </c>
      <c r="I59" s="18"/>
    </row>
    <row r="60" spans="1:9" ht="20.25" customHeight="1">
      <c r="A60" s="18"/>
      <c r="B60" s="16" t="s">
        <v>311</v>
      </c>
      <c r="C60" s="16" t="s">
        <v>191</v>
      </c>
      <c r="D60" s="20">
        <v>55</v>
      </c>
      <c r="E60" s="19"/>
      <c r="F60" s="19">
        <f t="shared" ref="F60:F67" si="6">D60*E60</f>
        <v>0</v>
      </c>
      <c r="G60" s="19"/>
      <c r="H60" s="19">
        <f t="shared" ref="H60:H67" si="7">IF(B60&lt;&gt;"",H59+F60-G60,0)</f>
        <v>40560</v>
      </c>
      <c r="I60" s="18"/>
    </row>
    <row r="61" spans="1:9" ht="20.25" customHeight="1">
      <c r="A61" s="18">
        <v>42306</v>
      </c>
      <c r="B61" s="16" t="s">
        <v>310</v>
      </c>
      <c r="C61" s="16" t="s">
        <v>191</v>
      </c>
      <c r="D61" s="20">
        <v>953</v>
      </c>
      <c r="E61" s="19">
        <v>52</v>
      </c>
      <c r="F61" s="19">
        <f t="shared" si="6"/>
        <v>49556</v>
      </c>
      <c r="G61" s="19"/>
      <c r="H61" s="19">
        <f t="shared" si="7"/>
        <v>90116</v>
      </c>
      <c r="I61" s="18"/>
    </row>
    <row r="62" spans="1:9" ht="20.25" customHeight="1">
      <c r="A62" s="18">
        <v>42311</v>
      </c>
      <c r="B62" s="16" t="s">
        <v>310</v>
      </c>
      <c r="C62" s="16" t="s">
        <v>191</v>
      </c>
      <c r="D62" s="20">
        <v>365</v>
      </c>
      <c r="E62" s="19">
        <v>52</v>
      </c>
      <c r="F62" s="19">
        <f t="shared" si="6"/>
        <v>18980</v>
      </c>
      <c r="G62" s="19"/>
      <c r="H62" s="19">
        <f t="shared" si="7"/>
        <v>109096</v>
      </c>
      <c r="I62" s="18"/>
    </row>
    <row r="63" spans="1:9" ht="20.25" customHeight="1">
      <c r="A63" s="18">
        <v>42322</v>
      </c>
      <c r="B63" s="16" t="s">
        <v>17</v>
      </c>
      <c r="C63" s="18"/>
      <c r="D63" s="20"/>
      <c r="E63" s="19"/>
      <c r="F63" s="19">
        <f t="shared" si="6"/>
        <v>0</v>
      </c>
      <c r="G63" s="19">
        <v>60000</v>
      </c>
      <c r="H63" s="19">
        <f t="shared" si="7"/>
        <v>49096</v>
      </c>
      <c r="I63" s="18"/>
    </row>
    <row r="64" spans="1:9" ht="20.25" customHeight="1">
      <c r="A64" s="18"/>
      <c r="B64" s="16"/>
      <c r="C64" s="18"/>
      <c r="D64" s="20"/>
      <c r="E64" s="19"/>
      <c r="F64" s="19">
        <f t="shared" si="6"/>
        <v>0</v>
      </c>
      <c r="G64" s="19"/>
      <c r="H64" s="19">
        <f t="shared" si="7"/>
        <v>0</v>
      </c>
      <c r="I64" s="18"/>
    </row>
    <row r="65" spans="1:9" ht="20.25" customHeight="1">
      <c r="A65" s="18"/>
      <c r="B65" s="16"/>
      <c r="C65" s="18"/>
      <c r="D65" s="20"/>
      <c r="E65" s="19"/>
      <c r="F65" s="19">
        <f t="shared" si="6"/>
        <v>0</v>
      </c>
      <c r="G65" s="19"/>
      <c r="H65" s="19">
        <f t="shared" si="7"/>
        <v>0</v>
      </c>
      <c r="I65" s="18"/>
    </row>
    <row r="66" spans="1:9" ht="20.25" customHeight="1">
      <c r="A66" s="18"/>
      <c r="B66" s="16"/>
      <c r="C66" s="18"/>
      <c r="D66" s="20"/>
      <c r="E66" s="19"/>
      <c r="F66" s="19">
        <f t="shared" si="6"/>
        <v>0</v>
      </c>
      <c r="G66" s="19"/>
      <c r="H66" s="19">
        <f t="shared" si="7"/>
        <v>0</v>
      </c>
      <c r="I66" s="18"/>
    </row>
    <row r="67" spans="1:9" ht="20.25" customHeight="1">
      <c r="A67" s="18"/>
      <c r="B67" s="16"/>
      <c r="C67" s="18"/>
      <c r="D67" s="20"/>
      <c r="E67" s="19"/>
      <c r="F67" s="19">
        <f t="shared" si="6"/>
        <v>0</v>
      </c>
      <c r="G67" s="19"/>
      <c r="H67" s="19">
        <f t="shared" si="7"/>
        <v>0</v>
      </c>
      <c r="I67" s="18"/>
    </row>
    <row r="68" spans="1:9" s="192" customFormat="1" ht="21.75" customHeight="1">
      <c r="A68" s="251" t="s">
        <v>14</v>
      </c>
      <c r="B68" s="251"/>
      <c r="C68" s="251"/>
      <c r="D68" s="251"/>
      <c r="E68" s="251"/>
      <c r="F68" s="170">
        <f>SUM(F10:F67)</f>
        <v>864949.4</v>
      </c>
      <c r="G68" s="170">
        <f>SUM(G10:G67)</f>
        <v>815853.4</v>
      </c>
      <c r="H68" s="171">
        <f>F68-G68</f>
        <v>49096</v>
      </c>
      <c r="I68" s="193"/>
    </row>
    <row r="69" spans="1:9" ht="21.75" customHeight="1">
      <c r="G69" s="195"/>
      <c r="H69" s="195"/>
    </row>
    <row r="70" spans="1:9" s="111" customFormat="1" ht="21" customHeight="1">
      <c r="A70" s="108"/>
      <c r="B70" s="114" t="s">
        <v>99</v>
      </c>
      <c r="C70" s="114"/>
      <c r="D70" s="109"/>
      <c r="E70" s="110"/>
      <c r="F70" s="128">
        <f>H68*1000</f>
        <v>49096000</v>
      </c>
      <c r="G70" s="115" t="s">
        <v>88</v>
      </c>
      <c r="H70" s="115"/>
      <c r="I70" s="110"/>
    </row>
    <row r="71" spans="1:9" s="111" customFormat="1" ht="21" customHeight="1">
      <c r="A71" s="108"/>
      <c r="B71" s="114" t="s">
        <v>89</v>
      </c>
      <c r="C71" s="114"/>
      <c r="D71" s="112" t="str">
        <f>[1]!VND(F70, TRUE)</f>
        <v>Bốn mươi chín triệu, không trăm chín mươi sáu ngàn đồng</v>
      </c>
      <c r="E71" s="110"/>
      <c r="F71" s="110"/>
      <c r="G71" s="113"/>
      <c r="H71" s="110"/>
      <c r="I71" s="110"/>
    </row>
  </sheetData>
  <autoFilter ref="A9:I9">
    <filterColumn colId="2"/>
  </autoFilter>
  <mergeCells count="7">
    <mergeCell ref="A68:E68"/>
    <mergeCell ref="A1:E1"/>
    <mergeCell ref="A2:G2"/>
    <mergeCell ref="A3:B3"/>
    <mergeCell ref="D3:F3"/>
    <mergeCell ref="A5:I5"/>
    <mergeCell ref="A7:B7"/>
  </mergeCells>
  <pageMargins left="0.28000000000000003" right="0.13" top="0.32" bottom="0.27" header="0.3" footer="0.22"/>
  <pageSetup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B12" sqref="B12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27" t="s">
        <v>38</v>
      </c>
      <c r="B1" s="227"/>
      <c r="C1" s="227"/>
      <c r="D1" s="227"/>
      <c r="F1" s="61"/>
      <c r="G1" s="62"/>
    </row>
    <row r="2" spans="1:8" s="60" customFormat="1" ht="18.75" customHeight="1">
      <c r="A2" s="227" t="s">
        <v>37</v>
      </c>
      <c r="B2" s="227"/>
      <c r="C2" s="227"/>
      <c r="D2" s="227"/>
      <c r="E2" s="227"/>
      <c r="F2" s="61"/>
      <c r="G2" s="62"/>
    </row>
    <row r="3" spans="1:8" s="60" customFormat="1" ht="18.75" customHeight="1">
      <c r="A3" s="227" t="s">
        <v>40</v>
      </c>
      <c r="B3" s="227"/>
      <c r="C3" s="227" t="s">
        <v>41</v>
      </c>
      <c r="D3" s="227"/>
      <c r="E3" s="227"/>
      <c r="F3" s="61"/>
      <c r="G3" s="62"/>
    </row>
    <row r="4" spans="1:8" ht="9.75" customHeight="1"/>
    <row r="5" spans="1:8" s="63" customFormat="1" ht="29.25" customHeight="1">
      <c r="A5" s="228" t="s">
        <v>48</v>
      </c>
      <c r="B5" s="228"/>
      <c r="C5" s="228"/>
      <c r="D5" s="228"/>
      <c r="E5" s="228"/>
      <c r="F5" s="228"/>
      <c r="G5" s="228"/>
      <c r="H5" s="228"/>
    </row>
    <row r="6" spans="1:8" ht="9.75" customHeight="1"/>
    <row r="7" spans="1:8" ht="21.75" customHeight="1">
      <c r="A7" s="231" t="s">
        <v>397</v>
      </c>
      <c r="B7" s="231"/>
      <c r="C7" s="257" t="s">
        <v>28</v>
      </c>
      <c r="D7" s="257"/>
    </row>
    <row r="8" spans="1:8" s="55" customFormat="1" ht="15.75" customHeight="1">
      <c r="C8" s="258"/>
      <c r="D8" s="259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customHeight="1">
      <c r="A10" s="24">
        <v>42254</v>
      </c>
      <c r="B10" s="31" t="s">
        <v>393</v>
      </c>
      <c r="C10" s="26">
        <v>2010</v>
      </c>
      <c r="D10" s="27">
        <v>210</v>
      </c>
      <c r="E10" s="27">
        <f>C10*D10</f>
        <v>422100</v>
      </c>
      <c r="F10" s="29"/>
      <c r="G10" s="27">
        <f>E10-F10</f>
        <v>422100</v>
      </c>
      <c r="H10" s="31"/>
    </row>
    <row r="11" spans="1:8" ht="18.75" customHeight="1">
      <c r="A11" s="24">
        <v>42303</v>
      </c>
      <c r="B11" s="31" t="s">
        <v>17</v>
      </c>
      <c r="C11" s="26"/>
      <c r="D11" s="27"/>
      <c r="E11" s="27">
        <f t="shared" ref="E11:E24" si="0">C11*D11</f>
        <v>0</v>
      </c>
      <c r="F11" s="29">
        <v>210000</v>
      </c>
      <c r="G11" s="27">
        <f>IF(B11&lt;&gt;"",G10+E11-F11,0)</f>
        <v>212100</v>
      </c>
      <c r="H11" s="30"/>
    </row>
    <row r="12" spans="1:8" ht="18.75" customHeight="1">
      <c r="A12" s="24"/>
      <c r="B12" s="31"/>
      <c r="C12" s="26"/>
      <c r="D12" s="27"/>
      <c r="E12" s="27">
        <f t="shared" si="0"/>
        <v>0</v>
      </c>
      <c r="F12" s="29"/>
      <c r="G12" s="27">
        <f t="shared" ref="G12:G26" si="1">IF(B12&lt;&gt;"",G11+E12-F12,0)</f>
        <v>0</v>
      </c>
      <c r="H12" s="30"/>
    </row>
    <row r="13" spans="1:8" ht="18.75" customHeight="1">
      <c r="A13" s="24"/>
      <c r="B13" s="31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8" ht="18.75" customHeight="1">
      <c r="A14" s="24"/>
      <c r="B14" s="31"/>
      <c r="C14" s="26"/>
      <c r="D14" s="27"/>
      <c r="E14" s="27">
        <f t="shared" si="0"/>
        <v>0</v>
      </c>
      <c r="F14" s="29"/>
      <c r="G14" s="27">
        <f t="shared" si="1"/>
        <v>0</v>
      </c>
      <c r="H14" s="30"/>
    </row>
    <row r="15" spans="1:8" ht="18.75" customHeight="1">
      <c r="A15" s="24"/>
      <c r="B15" s="31"/>
      <c r="C15" s="26"/>
      <c r="D15" s="27"/>
      <c r="E15" s="27">
        <f t="shared" si="0"/>
        <v>0</v>
      </c>
      <c r="F15" s="29"/>
      <c r="G15" s="27">
        <f t="shared" si="1"/>
        <v>0</v>
      </c>
      <c r="H15" s="30"/>
    </row>
    <row r="16" spans="1:8" ht="18.75" customHeight="1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>
      <c r="A27" s="226" t="s">
        <v>14</v>
      </c>
      <c r="B27" s="226"/>
      <c r="C27" s="226"/>
      <c r="D27" s="226"/>
      <c r="E27" s="68">
        <f>SUM(E10:E26)</f>
        <v>422100</v>
      </c>
      <c r="F27" s="68">
        <f>SUM(F10:F26)</f>
        <v>210000</v>
      </c>
      <c r="G27" s="82">
        <f>E27-F27</f>
        <v>212100</v>
      </c>
      <c r="H27" s="199"/>
    </row>
    <row r="28" spans="1:8" ht="21.75" customHeight="1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I33"/>
  <sheetViews>
    <sheetView topLeftCell="A7" workbookViewId="0">
      <pane ySplit="3" topLeftCell="A10" activePane="bottomLeft" state="frozen"/>
      <selection activeCell="D75" sqref="D75"/>
      <selection pane="bottomLeft" activeCell="B13" sqref="B13:I13"/>
    </sheetView>
  </sheetViews>
  <sheetFormatPr defaultRowHeight="21.75" customHeight="1"/>
  <cols>
    <col min="1" max="1" width="12.140625" style="4" customWidth="1"/>
    <col min="2" max="2" width="19.5703125" style="4" customWidth="1"/>
    <col min="3" max="3" width="10.42578125" style="5" bestFit="1" customWidth="1"/>
    <col min="4" max="4" width="10" style="6" customWidth="1"/>
    <col min="5" max="5" width="14.140625" style="6" customWidth="1"/>
    <col min="6" max="6" width="12.7109375" style="9" hidden="1" customWidth="1"/>
    <col min="7" max="7" width="13.85546875" style="9" customWidth="1"/>
    <col min="8" max="8" width="14.140625" style="6" customWidth="1"/>
    <col min="9" max="9" width="14.7109375" style="4" customWidth="1"/>
    <col min="10" max="16384" width="9.140625" style="4"/>
  </cols>
  <sheetData>
    <row r="1" spans="1:9" s="52" customFormat="1" ht="18.75" customHeight="1">
      <c r="A1" s="239" t="s">
        <v>38</v>
      </c>
      <c r="B1" s="239"/>
      <c r="C1" s="239"/>
      <c r="D1" s="239"/>
      <c r="G1" s="53"/>
      <c r="H1" s="54"/>
    </row>
    <row r="2" spans="1:9" s="52" customFormat="1" ht="18.75" customHeight="1">
      <c r="A2" s="239" t="s">
        <v>37</v>
      </c>
      <c r="B2" s="239"/>
      <c r="C2" s="239"/>
      <c r="D2" s="239"/>
      <c r="E2" s="239"/>
      <c r="F2" s="239"/>
      <c r="G2" s="53"/>
      <c r="H2" s="54"/>
    </row>
    <row r="3" spans="1:9" s="52" customFormat="1" ht="18.75" customHeight="1">
      <c r="A3" s="239" t="s">
        <v>40</v>
      </c>
      <c r="B3" s="239"/>
      <c r="C3" s="239" t="s">
        <v>41</v>
      </c>
      <c r="D3" s="239"/>
      <c r="E3" s="239"/>
      <c r="F3" s="51"/>
      <c r="G3" s="53"/>
      <c r="H3" s="54"/>
    </row>
    <row r="4" spans="1:9" ht="9.75" customHeight="1">
      <c r="C4" s="4"/>
      <c r="D4" s="4"/>
      <c r="E4" s="4"/>
      <c r="F4" s="4"/>
    </row>
    <row r="5" spans="1:9" s="50" customFormat="1" ht="29.25" customHeight="1">
      <c r="A5" s="238" t="s">
        <v>48</v>
      </c>
      <c r="B5" s="238"/>
      <c r="C5" s="238"/>
      <c r="D5" s="238"/>
      <c r="E5" s="238"/>
      <c r="F5" s="238"/>
      <c r="G5" s="238"/>
      <c r="H5" s="238"/>
      <c r="I5" s="238"/>
    </row>
    <row r="6" spans="1:9" ht="9.75" customHeight="1">
      <c r="C6" s="4"/>
      <c r="D6" s="4"/>
      <c r="E6" s="4"/>
      <c r="F6" s="4"/>
    </row>
    <row r="7" spans="1:9" ht="21" customHeight="1">
      <c r="A7" s="250" t="s">
        <v>338</v>
      </c>
      <c r="B7" s="250"/>
      <c r="C7" s="230"/>
      <c r="D7" s="230"/>
      <c r="E7" s="241"/>
      <c r="F7" s="241"/>
      <c r="G7" s="13"/>
    </row>
    <row r="8" spans="1:9" s="55" customFormat="1" ht="20.25" customHeight="1">
      <c r="B8" s="188"/>
      <c r="C8" s="57"/>
      <c r="D8" s="56"/>
      <c r="E8" s="56"/>
      <c r="F8" s="56"/>
      <c r="G8" s="56"/>
      <c r="H8" s="38"/>
    </row>
    <row r="9" spans="1:9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9" ht="19.5" customHeight="1">
      <c r="A10" s="24">
        <v>42159</v>
      </c>
      <c r="B10" s="31" t="s">
        <v>339</v>
      </c>
      <c r="C10" s="26">
        <v>14907</v>
      </c>
      <c r="D10" s="27">
        <v>8</v>
      </c>
      <c r="E10" s="27">
        <f t="shared" ref="E10:E25" si="0">C10*D10</f>
        <v>119256</v>
      </c>
      <c r="F10" s="29"/>
      <c r="G10" s="29"/>
      <c r="H10" s="27">
        <f>IF(B10&lt;&gt;"",E10-F10-G10,0)</f>
        <v>119256</v>
      </c>
      <c r="I10" s="31" t="s">
        <v>341</v>
      </c>
    </row>
    <row r="11" spans="1:9" ht="19.5" customHeight="1">
      <c r="A11" s="24">
        <v>42161</v>
      </c>
      <c r="B11" s="31" t="s">
        <v>340</v>
      </c>
      <c r="C11" s="26">
        <v>11261</v>
      </c>
      <c r="D11" s="27">
        <v>7.5</v>
      </c>
      <c r="E11" s="27">
        <f t="shared" si="0"/>
        <v>84457.5</v>
      </c>
      <c r="F11" s="29"/>
      <c r="G11" s="29"/>
      <c r="H11" s="27">
        <f t="shared" ref="H11:H27" si="1">IF(B11&lt;&gt;"",H10+E11-F11-G11,0)</f>
        <v>203713.5</v>
      </c>
      <c r="I11" s="31" t="s">
        <v>341</v>
      </c>
    </row>
    <row r="12" spans="1:9" ht="19.5" customHeight="1">
      <c r="A12" s="24">
        <v>42162</v>
      </c>
      <c r="B12" s="31" t="s">
        <v>340</v>
      </c>
      <c r="C12" s="26">
        <v>829</v>
      </c>
      <c r="D12" s="27">
        <v>7.5</v>
      </c>
      <c r="E12" s="27">
        <f t="shared" si="0"/>
        <v>6217.5</v>
      </c>
      <c r="F12" s="29"/>
      <c r="G12" s="29"/>
      <c r="H12" s="27">
        <f t="shared" si="1"/>
        <v>209931</v>
      </c>
      <c r="I12" s="31" t="s">
        <v>341</v>
      </c>
    </row>
    <row r="13" spans="1:9" ht="20.25" customHeight="1">
      <c r="A13" s="24"/>
      <c r="B13" s="154" t="s">
        <v>17</v>
      </c>
      <c r="C13" s="26"/>
      <c r="D13" s="27"/>
      <c r="E13" s="45">
        <f t="shared" si="0"/>
        <v>0</v>
      </c>
      <c r="F13" s="28"/>
      <c r="G13" s="152">
        <v>100000</v>
      </c>
      <c r="H13" s="27">
        <f t="shared" si="1"/>
        <v>109931</v>
      </c>
      <c r="I13" s="155">
        <v>42173</v>
      </c>
    </row>
    <row r="14" spans="1:9" ht="19.5" customHeight="1">
      <c r="A14" s="24">
        <v>42171</v>
      </c>
      <c r="B14" s="31" t="s">
        <v>340</v>
      </c>
      <c r="C14" s="26">
        <v>12120</v>
      </c>
      <c r="D14" s="27">
        <v>7.5</v>
      </c>
      <c r="E14" s="27">
        <f>C14*D14</f>
        <v>90900</v>
      </c>
      <c r="F14" s="29"/>
      <c r="G14" s="29"/>
      <c r="H14" s="27">
        <f t="shared" si="1"/>
        <v>200831</v>
      </c>
      <c r="I14" s="31" t="s">
        <v>191</v>
      </c>
    </row>
    <row r="15" spans="1:9" ht="20.25" customHeight="1">
      <c r="A15" s="24"/>
      <c r="B15" s="154" t="s">
        <v>17</v>
      </c>
      <c r="C15" s="26"/>
      <c r="D15" s="27"/>
      <c r="E15" s="45">
        <f t="shared" ref="E15" si="2">C15*D15</f>
        <v>0</v>
      </c>
      <c r="F15" s="28"/>
      <c r="G15" s="152">
        <f>H14</f>
        <v>200831</v>
      </c>
      <c r="H15" s="27">
        <f t="shared" si="1"/>
        <v>0</v>
      </c>
      <c r="I15" s="155">
        <v>42185</v>
      </c>
    </row>
    <row r="16" spans="1:9" ht="19.5" customHeight="1">
      <c r="A16" s="24">
        <v>42183</v>
      </c>
      <c r="B16" s="31" t="s">
        <v>339</v>
      </c>
      <c r="C16" s="26">
        <v>10844</v>
      </c>
      <c r="D16" s="27">
        <v>8</v>
      </c>
      <c r="E16" s="27">
        <f t="shared" si="0"/>
        <v>86752</v>
      </c>
      <c r="F16" s="29"/>
      <c r="G16" s="29"/>
      <c r="H16" s="27">
        <f t="shared" si="1"/>
        <v>86752</v>
      </c>
      <c r="I16" s="31" t="s">
        <v>191</v>
      </c>
    </row>
    <row r="17" spans="1:9" ht="19.5" customHeight="1">
      <c r="A17" s="24">
        <v>42188</v>
      </c>
      <c r="B17" s="31" t="s">
        <v>339</v>
      </c>
      <c r="C17" s="26">
        <v>8043</v>
      </c>
      <c r="D17" s="27">
        <v>8.5</v>
      </c>
      <c r="E17" s="27">
        <f t="shared" si="0"/>
        <v>68365.5</v>
      </c>
      <c r="F17" s="29"/>
      <c r="G17" s="29"/>
      <c r="H17" s="27">
        <f t="shared" si="1"/>
        <v>155117.5</v>
      </c>
      <c r="I17" s="31" t="s">
        <v>341</v>
      </c>
    </row>
    <row r="18" spans="1:9" ht="19.5" customHeight="1">
      <c r="A18" s="24">
        <v>42194</v>
      </c>
      <c r="B18" s="31" t="s">
        <v>339</v>
      </c>
      <c r="C18" s="26">
        <v>657</v>
      </c>
      <c r="D18" s="27">
        <v>9</v>
      </c>
      <c r="E18" s="27">
        <f t="shared" si="0"/>
        <v>5913</v>
      </c>
      <c r="F18" s="29"/>
      <c r="G18" s="29"/>
      <c r="H18" s="27">
        <f t="shared" si="1"/>
        <v>161030.5</v>
      </c>
      <c r="I18" s="31" t="s">
        <v>341</v>
      </c>
    </row>
    <row r="19" spans="1:9" ht="19.5" customHeight="1">
      <c r="A19" s="24">
        <v>42197</v>
      </c>
      <c r="B19" s="31" t="s">
        <v>340</v>
      </c>
      <c r="C19" s="26">
        <v>550</v>
      </c>
      <c r="D19" s="27">
        <v>7</v>
      </c>
      <c r="E19" s="27">
        <f t="shared" si="0"/>
        <v>3850</v>
      </c>
      <c r="F19" s="29"/>
      <c r="G19" s="29"/>
      <c r="H19" s="27">
        <f t="shared" si="1"/>
        <v>164880.5</v>
      </c>
      <c r="I19" s="31" t="s">
        <v>341</v>
      </c>
    </row>
    <row r="20" spans="1:9" ht="19.5" customHeight="1">
      <c r="A20" s="24"/>
      <c r="B20" s="31" t="s">
        <v>339</v>
      </c>
      <c r="C20" s="26">
        <v>1375</v>
      </c>
      <c r="D20" s="27">
        <v>9</v>
      </c>
      <c r="E20" s="27">
        <f t="shared" si="0"/>
        <v>12375</v>
      </c>
      <c r="F20" s="29"/>
      <c r="G20" s="29"/>
      <c r="H20" s="27">
        <f t="shared" si="1"/>
        <v>177255.5</v>
      </c>
      <c r="I20" s="31" t="s">
        <v>341</v>
      </c>
    </row>
    <row r="21" spans="1:9" ht="19.5" customHeight="1">
      <c r="A21" s="24">
        <v>42185</v>
      </c>
      <c r="B21" s="31" t="s">
        <v>340</v>
      </c>
      <c r="C21" s="26">
        <v>14800</v>
      </c>
      <c r="D21" s="27">
        <v>7</v>
      </c>
      <c r="E21" s="27">
        <f t="shared" si="0"/>
        <v>103600</v>
      </c>
      <c r="F21" s="29"/>
      <c r="G21" s="29"/>
      <c r="H21" s="27">
        <f t="shared" si="1"/>
        <v>280855.5</v>
      </c>
      <c r="I21" s="31" t="s">
        <v>341</v>
      </c>
    </row>
    <row r="22" spans="1:9" ht="19.5" customHeight="1">
      <c r="A22" s="24">
        <v>42214</v>
      </c>
      <c r="B22" s="31" t="s">
        <v>340</v>
      </c>
      <c r="C22" s="26">
        <v>25000</v>
      </c>
      <c r="D22" s="27">
        <v>7</v>
      </c>
      <c r="E22" s="27">
        <f t="shared" si="0"/>
        <v>175000</v>
      </c>
      <c r="F22" s="29"/>
      <c r="G22" s="29"/>
      <c r="H22" s="27">
        <f t="shared" si="1"/>
        <v>455855.5</v>
      </c>
      <c r="I22" s="31" t="s">
        <v>341</v>
      </c>
    </row>
    <row r="23" spans="1:9" ht="20.25" customHeight="1">
      <c r="A23" s="24"/>
      <c r="B23" s="154" t="s">
        <v>17</v>
      </c>
      <c r="C23" s="26"/>
      <c r="D23" s="27"/>
      <c r="E23" s="45">
        <f t="shared" ref="E23:E24" si="3">C23*D23</f>
        <v>0</v>
      </c>
      <c r="F23" s="28"/>
      <c r="G23" s="152">
        <v>100000</v>
      </c>
      <c r="H23" s="27">
        <f t="shared" si="1"/>
        <v>355855.5</v>
      </c>
      <c r="I23" s="155">
        <v>42221</v>
      </c>
    </row>
    <row r="24" spans="1:9" ht="20.25" customHeight="1">
      <c r="A24" s="24"/>
      <c r="B24" s="154" t="s">
        <v>17</v>
      </c>
      <c r="C24" s="26"/>
      <c r="D24" s="27"/>
      <c r="E24" s="45">
        <f t="shared" si="3"/>
        <v>0</v>
      </c>
      <c r="F24" s="28"/>
      <c r="G24" s="152">
        <v>200000</v>
      </c>
      <c r="H24" s="27">
        <f t="shared" si="1"/>
        <v>155855.5</v>
      </c>
      <c r="I24" s="155">
        <v>42235</v>
      </c>
    </row>
    <row r="25" spans="1:9" ht="19.5" customHeight="1">
      <c r="A25" s="24"/>
      <c r="B25" s="154" t="s">
        <v>17</v>
      </c>
      <c r="C25" s="26"/>
      <c r="D25" s="27"/>
      <c r="E25" s="27">
        <f t="shared" si="0"/>
        <v>0</v>
      </c>
      <c r="F25" s="29"/>
      <c r="G25" s="29">
        <v>100000</v>
      </c>
      <c r="H25" s="27">
        <f t="shared" si="1"/>
        <v>55855.5</v>
      </c>
      <c r="I25" s="155">
        <v>42261</v>
      </c>
    </row>
    <row r="26" spans="1:9" ht="19.5" customHeight="1">
      <c r="A26" s="24"/>
      <c r="B26" s="154" t="s">
        <v>17</v>
      </c>
      <c r="C26" s="26"/>
      <c r="D26" s="27"/>
      <c r="E26" s="27">
        <f>C26*D26</f>
        <v>0</v>
      </c>
      <c r="F26" s="29"/>
      <c r="G26" s="29">
        <f>H25</f>
        <v>55855.5</v>
      </c>
      <c r="H26" s="27">
        <f t="shared" si="1"/>
        <v>0</v>
      </c>
      <c r="I26" s="155">
        <v>42268</v>
      </c>
    </row>
    <row r="27" spans="1:9" ht="19.5" customHeight="1">
      <c r="A27" s="24"/>
      <c r="B27" s="31"/>
      <c r="C27" s="26"/>
      <c r="D27" s="27"/>
      <c r="E27" s="27">
        <f t="shared" ref="E27:E32" si="4">C27*D27</f>
        <v>0</v>
      </c>
      <c r="F27" s="29"/>
      <c r="G27" s="29"/>
      <c r="H27" s="27">
        <f t="shared" si="1"/>
        <v>0</v>
      </c>
      <c r="I27" s="155"/>
    </row>
    <row r="28" spans="1:9" ht="19.5" customHeight="1">
      <c r="A28" s="24"/>
      <c r="B28" s="31"/>
      <c r="C28" s="26"/>
      <c r="D28" s="27"/>
      <c r="E28" s="27">
        <f t="shared" si="4"/>
        <v>0</v>
      </c>
      <c r="F28" s="29"/>
      <c r="G28" s="29"/>
      <c r="H28" s="27">
        <f t="shared" ref="H28:H32" si="5">IF(B28&lt;&gt;"",H27+E28-F28-G28,0)</f>
        <v>0</v>
      </c>
      <c r="I28" s="155"/>
    </row>
    <row r="29" spans="1:9" ht="19.5" customHeight="1">
      <c r="A29" s="24"/>
      <c r="B29" s="25"/>
      <c r="C29" s="26"/>
      <c r="D29" s="27"/>
      <c r="E29" s="27">
        <f>C29*D29</f>
        <v>0</v>
      </c>
      <c r="F29" s="29"/>
      <c r="G29" s="29"/>
      <c r="H29" s="27">
        <f>IF(B29&lt;&gt;"",H28+E29-F29-G29,0)</f>
        <v>0</v>
      </c>
      <c r="I29" s="155"/>
    </row>
    <row r="30" spans="1:9" ht="19.5" customHeight="1">
      <c r="A30" s="24"/>
      <c r="B30" s="31"/>
      <c r="C30" s="26"/>
      <c r="D30" s="27"/>
      <c r="E30" s="27">
        <f t="shared" si="4"/>
        <v>0</v>
      </c>
      <c r="F30" s="29"/>
      <c r="G30" s="29"/>
      <c r="H30" s="27">
        <f>IF(B30&lt;&gt;"",H29+E30-F30-G30,0)</f>
        <v>0</v>
      </c>
      <c r="I30" s="155"/>
    </row>
    <row r="31" spans="1:9" ht="19.5" customHeight="1">
      <c r="A31" s="24"/>
      <c r="B31" s="31"/>
      <c r="C31" s="26"/>
      <c r="D31" s="27"/>
      <c r="E31" s="27">
        <f t="shared" si="4"/>
        <v>0</v>
      </c>
      <c r="F31" s="29"/>
      <c r="G31" s="29"/>
      <c r="H31" s="27">
        <f t="shared" si="5"/>
        <v>0</v>
      </c>
      <c r="I31" s="155"/>
    </row>
    <row r="32" spans="1:9" ht="19.5" customHeight="1">
      <c r="A32" s="24"/>
      <c r="B32" s="31"/>
      <c r="C32" s="26"/>
      <c r="D32" s="27"/>
      <c r="E32" s="27">
        <f t="shared" si="4"/>
        <v>0</v>
      </c>
      <c r="F32" s="29"/>
      <c r="G32" s="29"/>
      <c r="H32" s="27">
        <f t="shared" si="5"/>
        <v>0</v>
      </c>
      <c r="I32" s="155"/>
    </row>
    <row r="33" spans="1:9" s="37" customFormat="1" ht="21.75" customHeight="1">
      <c r="A33" s="226" t="s">
        <v>14</v>
      </c>
      <c r="B33" s="226"/>
      <c r="C33" s="226"/>
      <c r="D33" s="226"/>
      <c r="E33" s="68">
        <f>SUM(E10:E32)</f>
        <v>756686.5</v>
      </c>
      <c r="F33" s="68">
        <f>SUM(F10:F32)</f>
        <v>0</v>
      </c>
      <c r="G33" s="68">
        <f>SUM(G10:G32)</f>
        <v>756686.5</v>
      </c>
      <c r="H33" s="82">
        <f>E33-F33-G33</f>
        <v>0</v>
      </c>
      <c r="I33" s="69"/>
    </row>
  </sheetData>
  <autoFilter ref="A9:I9"/>
  <mergeCells count="9">
    <mergeCell ref="A1:D1"/>
    <mergeCell ref="A2:F2"/>
    <mergeCell ref="A3:B3"/>
    <mergeCell ref="C3:E3"/>
    <mergeCell ref="A33:D33"/>
    <mergeCell ref="C7:D7"/>
    <mergeCell ref="E7:F7"/>
    <mergeCell ref="A5:I5"/>
    <mergeCell ref="A7:B7"/>
  </mergeCells>
  <phoneticPr fontId="5" type="noConversion"/>
  <pageMargins left="0.16" right="0.19" top="0.37" bottom="0.2" header="0.3" footer="0.3"/>
  <pageSetup paperSize="9" scale="87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0B050"/>
  </sheetPr>
  <dimension ref="A1:J25"/>
  <sheetViews>
    <sheetView topLeftCell="A7" workbookViewId="0">
      <pane ySplit="3" topLeftCell="A10" activePane="bottomLeft" state="frozen"/>
      <selection activeCell="B80" sqref="B80"/>
      <selection pane="bottomLeft" activeCell="G13" sqref="G13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27" t="s">
        <v>38</v>
      </c>
      <c r="B1" s="227"/>
      <c r="C1" s="227"/>
      <c r="D1" s="227"/>
      <c r="F1" s="92"/>
      <c r="H1" s="62"/>
      <c r="I1" s="62"/>
    </row>
    <row r="2" spans="1:10" s="60" customFormat="1" ht="18.75" customHeight="1">
      <c r="A2" s="227" t="s">
        <v>37</v>
      </c>
      <c r="B2" s="227"/>
      <c r="C2" s="227"/>
      <c r="D2" s="227"/>
      <c r="E2" s="227"/>
      <c r="F2" s="227"/>
      <c r="G2" s="227"/>
      <c r="H2" s="62"/>
      <c r="I2" s="62"/>
    </row>
    <row r="3" spans="1:10" s="60" customFormat="1" ht="18.75" customHeight="1">
      <c r="A3" s="227" t="s">
        <v>40</v>
      </c>
      <c r="B3" s="227"/>
      <c r="C3" s="227" t="s">
        <v>41</v>
      </c>
      <c r="D3" s="227"/>
      <c r="E3" s="227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28" t="s">
        <v>39</v>
      </c>
      <c r="B5" s="228"/>
      <c r="C5" s="228"/>
      <c r="D5" s="228"/>
      <c r="E5" s="228"/>
      <c r="F5" s="228"/>
      <c r="G5" s="228"/>
      <c r="H5" s="228"/>
      <c r="I5" s="228"/>
      <c r="J5" s="228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31" t="s">
        <v>398</v>
      </c>
      <c r="B7" s="231"/>
      <c r="C7" s="230" t="s">
        <v>399</v>
      </c>
      <c r="D7" s="230"/>
      <c r="E7" s="241" t="s">
        <v>29</v>
      </c>
      <c r="F7" s="241"/>
      <c r="G7" s="241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42288</v>
      </c>
      <c r="B10" s="16" t="s">
        <v>183</v>
      </c>
      <c r="C10" s="26">
        <v>2496</v>
      </c>
      <c r="D10" s="27">
        <v>32</v>
      </c>
      <c r="E10" s="27">
        <f t="shared" ref="E10:E12" si="0">C10*D10</f>
        <v>79872</v>
      </c>
      <c r="F10" s="28"/>
      <c r="G10" s="29"/>
      <c r="H10" s="27">
        <f>IF(B10&lt;&gt;"",E10-F10-G10,0)</f>
        <v>79872</v>
      </c>
      <c r="I10" s="30"/>
    </row>
    <row r="11" spans="1:10" ht="20.25" customHeight="1">
      <c r="A11" s="24">
        <v>42289</v>
      </c>
      <c r="B11" s="16" t="s">
        <v>183</v>
      </c>
      <c r="C11" s="26">
        <v>3707</v>
      </c>
      <c r="D11" s="27">
        <v>32</v>
      </c>
      <c r="E11" s="27">
        <f t="shared" si="0"/>
        <v>118624</v>
      </c>
      <c r="F11" s="28"/>
      <c r="G11" s="29"/>
      <c r="H11" s="27">
        <f t="shared" ref="H11:H21" si="1">IF(B11&lt;&gt;"",H10+E11-F11-G11,0)</f>
        <v>198496</v>
      </c>
      <c r="I11" s="30"/>
    </row>
    <row r="12" spans="1:10" s="8" customFormat="1" ht="20.25" customHeight="1">
      <c r="A12" s="18">
        <v>42318</v>
      </c>
      <c r="B12" s="16" t="s">
        <v>17</v>
      </c>
      <c r="C12" s="20"/>
      <c r="D12" s="27"/>
      <c r="E12" s="27">
        <f t="shared" si="0"/>
        <v>0</v>
      </c>
      <c r="F12" s="28"/>
      <c r="G12" s="19">
        <v>100000</v>
      </c>
      <c r="H12" s="27">
        <f t="shared" si="1"/>
        <v>98496</v>
      </c>
      <c r="I12" s="16"/>
    </row>
    <row r="13" spans="1:10" ht="20.25" customHeight="1">
      <c r="A13" s="24"/>
      <c r="B13" s="31"/>
      <c r="C13" s="26"/>
      <c r="D13" s="27"/>
      <c r="E13" s="27">
        <f t="shared" ref="E13:E24" si="2">C13*D13</f>
        <v>0</v>
      </c>
      <c r="F13" s="28"/>
      <c r="G13" s="29"/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2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2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2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2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2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2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2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2"/>
        <v>0</v>
      </c>
      <c r="F21" s="28"/>
      <c r="G21" s="29"/>
      <c r="H21" s="27">
        <f t="shared" si="1"/>
        <v>0</v>
      </c>
      <c r="I21" s="31"/>
    </row>
    <row r="22" spans="1:10" ht="20.25" customHeight="1">
      <c r="A22" s="24"/>
      <c r="B22" s="31"/>
      <c r="C22" s="26"/>
      <c r="D22" s="27"/>
      <c r="E22" s="27">
        <f t="shared" si="2"/>
        <v>0</v>
      </c>
      <c r="F22" s="28"/>
      <c r="G22" s="29"/>
      <c r="H22" s="27">
        <f t="shared" ref="H22:H24" si="3">IF(B22&lt;&gt;"",H21+E22-F22-G22,0)</f>
        <v>0</v>
      </c>
      <c r="I22" s="31"/>
    </row>
    <row r="23" spans="1:10" ht="20.25" customHeight="1">
      <c r="A23" s="24"/>
      <c r="B23" s="31"/>
      <c r="C23" s="26"/>
      <c r="D23" s="27"/>
      <c r="E23" s="27">
        <f t="shared" si="2"/>
        <v>0</v>
      </c>
      <c r="F23" s="28"/>
      <c r="G23" s="29"/>
      <c r="H23" s="27">
        <f t="shared" si="3"/>
        <v>0</v>
      </c>
      <c r="I23" s="31"/>
    </row>
    <row r="24" spans="1:10" ht="20.25" customHeight="1">
      <c r="A24" s="24"/>
      <c r="B24" s="31"/>
      <c r="C24" s="26"/>
      <c r="D24" s="27"/>
      <c r="E24" s="27">
        <f t="shared" si="2"/>
        <v>0</v>
      </c>
      <c r="F24" s="28"/>
      <c r="G24" s="29"/>
      <c r="H24" s="27">
        <f t="shared" si="3"/>
        <v>0</v>
      </c>
      <c r="I24" s="31"/>
    </row>
    <row r="25" spans="1:10" s="200" customFormat="1" ht="20.25" customHeight="1">
      <c r="A25" s="226" t="s">
        <v>14</v>
      </c>
      <c r="B25" s="226"/>
      <c r="C25" s="226"/>
      <c r="D25" s="226"/>
      <c r="E25" s="68">
        <f>SUM(E10:E24)</f>
        <v>198496</v>
      </c>
      <c r="F25" s="68">
        <f>SUM(F10:F24)</f>
        <v>0</v>
      </c>
      <c r="G25" s="68">
        <f>SUM(G10:G24)</f>
        <v>100000</v>
      </c>
      <c r="H25" s="68">
        <f>E25-F25-G25</f>
        <v>98496</v>
      </c>
      <c r="I25" s="68"/>
      <c r="J25" s="206"/>
    </row>
  </sheetData>
  <autoFilter ref="A9:I9"/>
  <mergeCells count="9">
    <mergeCell ref="A25:D2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0B050"/>
  </sheetPr>
  <dimension ref="A1:J18"/>
  <sheetViews>
    <sheetView topLeftCell="A7" workbookViewId="0">
      <pane ySplit="3" topLeftCell="A10" activePane="bottomLeft" state="frozen"/>
      <selection activeCell="B80" sqref="B80"/>
      <selection pane="bottomLeft" activeCell="B13" sqref="B13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27" t="s">
        <v>38</v>
      </c>
      <c r="B1" s="227"/>
      <c r="C1" s="227"/>
      <c r="D1" s="227"/>
      <c r="F1" s="92"/>
      <c r="H1" s="62"/>
      <c r="I1" s="62"/>
    </row>
    <row r="2" spans="1:10" s="60" customFormat="1" ht="18.75" customHeight="1">
      <c r="A2" s="227" t="s">
        <v>37</v>
      </c>
      <c r="B2" s="227"/>
      <c r="C2" s="227"/>
      <c r="D2" s="227"/>
      <c r="E2" s="227"/>
      <c r="F2" s="227"/>
      <c r="G2" s="227"/>
      <c r="H2" s="62"/>
      <c r="I2" s="62"/>
    </row>
    <row r="3" spans="1:10" s="60" customFormat="1" ht="18.75" customHeight="1">
      <c r="A3" s="227" t="s">
        <v>40</v>
      </c>
      <c r="B3" s="227"/>
      <c r="C3" s="227" t="s">
        <v>41</v>
      </c>
      <c r="D3" s="227"/>
      <c r="E3" s="227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28" t="s">
        <v>39</v>
      </c>
      <c r="B5" s="228"/>
      <c r="C5" s="228"/>
      <c r="D5" s="228"/>
      <c r="E5" s="228"/>
      <c r="F5" s="228"/>
      <c r="G5" s="228"/>
      <c r="H5" s="228"/>
      <c r="I5" s="228"/>
      <c r="J5" s="228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31" t="s">
        <v>400</v>
      </c>
      <c r="B7" s="231"/>
      <c r="C7" s="230" t="s">
        <v>31</v>
      </c>
      <c r="D7" s="230"/>
      <c r="E7" s="241" t="s">
        <v>29</v>
      </c>
      <c r="F7" s="241"/>
      <c r="G7" s="241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42287</v>
      </c>
      <c r="B10" s="31" t="s">
        <v>16</v>
      </c>
      <c r="C10" s="26">
        <v>2200</v>
      </c>
      <c r="D10" s="27">
        <v>13</v>
      </c>
      <c r="E10" s="27">
        <f t="shared" ref="E10:E17" si="0">C10*D10</f>
        <v>28600</v>
      </c>
      <c r="F10" s="28"/>
      <c r="G10" s="29"/>
      <c r="H10" s="27">
        <f>IF(B10&lt;&gt;"",E10-F10-G10,0)</f>
        <v>28600</v>
      </c>
      <c r="I10" s="31"/>
    </row>
    <row r="11" spans="1:10" ht="20.25" customHeight="1">
      <c r="A11" s="24"/>
      <c r="B11" s="31" t="s">
        <v>45</v>
      </c>
      <c r="C11" s="26">
        <v>4070</v>
      </c>
      <c r="D11" s="27">
        <v>12</v>
      </c>
      <c r="E11" s="27">
        <f t="shared" si="0"/>
        <v>48840</v>
      </c>
      <c r="F11" s="28"/>
      <c r="G11" s="29"/>
      <c r="H11" s="27">
        <f t="shared" ref="H11:H17" si="1">IF(B11&lt;&gt;"",H10+E11-F11-G11,0)</f>
        <v>77440</v>
      </c>
      <c r="I11" s="31"/>
    </row>
    <row r="12" spans="1:10" ht="20.25" customHeight="1">
      <c r="A12" s="24">
        <v>42318</v>
      </c>
      <c r="B12" s="31" t="s">
        <v>17</v>
      </c>
      <c r="C12" s="26"/>
      <c r="D12" s="27"/>
      <c r="E12" s="27">
        <f t="shared" si="0"/>
        <v>0</v>
      </c>
      <c r="F12" s="28"/>
      <c r="G12" s="29">
        <f>H11</f>
        <v>77440</v>
      </c>
      <c r="H12" s="27">
        <f t="shared" si="1"/>
        <v>0</v>
      </c>
      <c r="I12" s="31"/>
    </row>
    <row r="13" spans="1:10" ht="20.25" customHeight="1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s="200" customFormat="1" ht="20.25" customHeight="1">
      <c r="A18" s="226" t="s">
        <v>14</v>
      </c>
      <c r="B18" s="226"/>
      <c r="C18" s="226"/>
      <c r="D18" s="226"/>
      <c r="E18" s="68">
        <f>SUM(E10:E17)</f>
        <v>77440</v>
      </c>
      <c r="F18" s="68">
        <f>SUM(F10:F17)</f>
        <v>0</v>
      </c>
      <c r="G18" s="68">
        <f>SUM(G10:G17)</f>
        <v>77440</v>
      </c>
      <c r="H18" s="68">
        <f>E18-F18-G18</f>
        <v>0</v>
      </c>
      <c r="I18" s="68"/>
      <c r="J18" s="206"/>
    </row>
  </sheetData>
  <autoFilter ref="A9:I9"/>
  <mergeCells count="9">
    <mergeCell ref="A18:D18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27" t="s">
        <v>38</v>
      </c>
      <c r="B1" s="227"/>
      <c r="C1" s="227"/>
      <c r="D1" s="227"/>
      <c r="F1" s="92"/>
      <c r="H1" s="62"/>
      <c r="I1" s="62"/>
    </row>
    <row r="2" spans="1:10" s="60" customFormat="1" ht="18.75" customHeight="1">
      <c r="A2" s="227" t="s">
        <v>37</v>
      </c>
      <c r="B2" s="227"/>
      <c r="C2" s="227"/>
      <c r="D2" s="227"/>
      <c r="E2" s="227"/>
      <c r="F2" s="227"/>
      <c r="G2" s="227"/>
      <c r="H2" s="62"/>
      <c r="I2" s="62"/>
    </row>
    <row r="3" spans="1:10" s="60" customFormat="1" ht="18.75" customHeight="1">
      <c r="A3" s="227" t="s">
        <v>40</v>
      </c>
      <c r="B3" s="227"/>
      <c r="C3" s="227" t="s">
        <v>41</v>
      </c>
      <c r="D3" s="227"/>
      <c r="E3" s="227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28" t="s">
        <v>39</v>
      </c>
      <c r="B5" s="228"/>
      <c r="C5" s="228"/>
      <c r="D5" s="228"/>
      <c r="E5" s="228"/>
      <c r="F5" s="228"/>
      <c r="G5" s="228"/>
      <c r="H5" s="228"/>
      <c r="I5" s="228"/>
      <c r="J5" s="228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31" t="s">
        <v>401</v>
      </c>
      <c r="B7" s="231"/>
      <c r="C7" s="230" t="s">
        <v>28</v>
      </c>
      <c r="D7" s="230"/>
      <c r="E7" s="241" t="s">
        <v>29</v>
      </c>
      <c r="F7" s="241"/>
      <c r="G7" s="241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42285</v>
      </c>
      <c r="B10" s="31" t="s">
        <v>100</v>
      </c>
      <c r="C10" s="26">
        <v>2931</v>
      </c>
      <c r="D10" s="27">
        <v>31</v>
      </c>
      <c r="E10" s="27">
        <f t="shared" ref="E10:E21" si="0">C10*D10</f>
        <v>90861</v>
      </c>
      <c r="F10" s="28"/>
      <c r="G10" s="29"/>
      <c r="H10" s="27">
        <f>IF(B10&lt;&gt;"",E10-F10-G10,0)</f>
        <v>90861</v>
      </c>
      <c r="I10" s="31"/>
    </row>
    <row r="11" spans="1:10" ht="20.25" customHeight="1">
      <c r="A11" s="24">
        <v>42318</v>
      </c>
      <c r="B11" s="31" t="s">
        <v>17</v>
      </c>
      <c r="C11" s="26"/>
      <c r="D11" s="27"/>
      <c r="E11" s="27">
        <f t="shared" si="0"/>
        <v>0</v>
      </c>
      <c r="F11" s="28"/>
      <c r="G11" s="29">
        <f>H10</f>
        <v>90861</v>
      </c>
      <c r="H11" s="27">
        <f t="shared" ref="H11:H21" si="1">IF(B11&lt;&gt;"",H10+E11-F11-G11,0)</f>
        <v>0</v>
      </c>
      <c r="I11" s="31"/>
    </row>
    <row r="12" spans="1:10" ht="20.25" customHeight="1">
      <c r="A12" s="24"/>
      <c r="B12" s="31"/>
      <c r="C12" s="26"/>
      <c r="D12" s="27"/>
      <c r="E12" s="27">
        <f t="shared" si="0"/>
        <v>0</v>
      </c>
      <c r="F12" s="28"/>
      <c r="G12" s="29"/>
      <c r="H12" s="27">
        <f t="shared" si="1"/>
        <v>0</v>
      </c>
      <c r="I12" s="31"/>
    </row>
    <row r="13" spans="1:10" ht="20.25" customHeight="1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00" customFormat="1" ht="20.25" customHeight="1">
      <c r="A22" s="226" t="s">
        <v>14</v>
      </c>
      <c r="B22" s="226"/>
      <c r="C22" s="226"/>
      <c r="D22" s="226"/>
      <c r="E22" s="68">
        <f>SUM(E10:E21)</f>
        <v>90861</v>
      </c>
      <c r="F22" s="68">
        <f>SUM(F10:F21)</f>
        <v>0</v>
      </c>
      <c r="G22" s="68">
        <f>SUM(G10:G21)</f>
        <v>90861</v>
      </c>
      <c r="H22" s="68">
        <f>E22-F22-G22</f>
        <v>0</v>
      </c>
      <c r="I22" s="68"/>
      <c r="J22" s="206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1:K22"/>
  <sheetViews>
    <sheetView topLeftCell="A7" workbookViewId="0">
      <pane ySplit="3" topLeftCell="A10" activePane="bottomLeft" state="frozen"/>
      <selection activeCell="B80" sqref="B80"/>
      <selection pane="bottomLeft" activeCell="B19" sqref="B19"/>
    </sheetView>
  </sheetViews>
  <sheetFormatPr defaultRowHeight="21.75" customHeight="1"/>
  <cols>
    <col min="1" max="1" width="12.140625" style="4" customWidth="1"/>
    <col min="2" max="2" width="19.28515625" style="4" customWidth="1"/>
    <col min="3" max="3" width="12.140625" style="4" customWidth="1"/>
    <col min="4" max="4" width="10.7109375" style="209" customWidth="1"/>
    <col min="5" max="5" width="8.85546875" style="217" customWidth="1"/>
    <col min="6" max="6" width="16" style="217" customWidth="1"/>
    <col min="7" max="7" width="12.42578125" style="12" customWidth="1"/>
    <col min="8" max="8" width="15.7109375" style="9" customWidth="1"/>
    <col min="9" max="9" width="16.140625" style="217" customWidth="1"/>
    <col min="10" max="10" width="14.42578125" style="4" customWidth="1"/>
    <col min="11" max="16384" width="9.140625" style="4"/>
  </cols>
  <sheetData>
    <row r="1" spans="1:11" s="60" customFormat="1" ht="18.75" customHeight="1">
      <c r="A1" s="227" t="s">
        <v>38</v>
      </c>
      <c r="B1" s="227"/>
      <c r="C1" s="227"/>
      <c r="D1" s="227"/>
      <c r="E1" s="227"/>
      <c r="G1" s="92"/>
      <c r="I1" s="62"/>
      <c r="J1" s="62"/>
    </row>
    <row r="2" spans="1:11" s="60" customFormat="1" ht="18.75" customHeight="1">
      <c r="A2" s="227" t="s">
        <v>37</v>
      </c>
      <c r="B2" s="227"/>
      <c r="C2" s="227"/>
      <c r="D2" s="227"/>
      <c r="E2" s="227"/>
      <c r="F2" s="227"/>
      <c r="G2" s="227"/>
      <c r="H2" s="227"/>
      <c r="I2" s="62"/>
      <c r="J2" s="62"/>
    </row>
    <row r="3" spans="1:11" s="60" customFormat="1" ht="18.75" customHeight="1">
      <c r="A3" s="227" t="s">
        <v>40</v>
      </c>
      <c r="B3" s="227"/>
      <c r="C3" s="215"/>
      <c r="D3" s="227" t="s">
        <v>41</v>
      </c>
      <c r="E3" s="227"/>
      <c r="F3" s="227"/>
      <c r="G3" s="93"/>
      <c r="H3" s="215"/>
      <c r="I3" s="62"/>
      <c r="J3" s="62"/>
    </row>
    <row r="4" spans="1:11" ht="9.75" customHeight="1">
      <c r="D4" s="4"/>
      <c r="E4" s="4"/>
      <c r="F4" s="4"/>
      <c r="G4" s="65"/>
      <c r="H4" s="4"/>
      <c r="J4" s="217"/>
    </row>
    <row r="5" spans="1:11" s="50" customFormat="1" ht="29.25" customHeight="1">
      <c r="A5" s="228" t="s">
        <v>39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</row>
    <row r="6" spans="1:11" ht="9.75" customHeight="1">
      <c r="D6" s="4"/>
      <c r="E6" s="4"/>
      <c r="F6" s="4"/>
      <c r="G6" s="65"/>
      <c r="H6" s="4"/>
      <c r="J6" s="217"/>
    </row>
    <row r="7" spans="1:11" ht="21" customHeight="1">
      <c r="A7" s="231" t="s">
        <v>410</v>
      </c>
      <c r="B7" s="231"/>
      <c r="C7" s="214"/>
      <c r="D7" s="230" t="s">
        <v>28</v>
      </c>
      <c r="E7" s="230"/>
      <c r="F7" s="241" t="s">
        <v>29</v>
      </c>
      <c r="G7" s="241"/>
      <c r="H7" s="241"/>
      <c r="J7" s="217"/>
    </row>
    <row r="8" spans="1:11" s="55" customFormat="1" ht="18" customHeight="1">
      <c r="D8" s="57"/>
      <c r="E8" s="56"/>
      <c r="F8" s="56"/>
      <c r="G8" s="12"/>
      <c r="H8" s="56"/>
      <c r="I8" s="38"/>
    </row>
    <row r="9" spans="1:11" s="75" customFormat="1" ht="47.25" customHeight="1">
      <c r="A9" s="70" t="s">
        <v>0</v>
      </c>
      <c r="B9" s="71" t="s">
        <v>1</v>
      </c>
      <c r="C9" s="191" t="s">
        <v>70</v>
      </c>
      <c r="D9" s="72" t="s">
        <v>24</v>
      </c>
      <c r="E9" s="72" t="s">
        <v>25</v>
      </c>
      <c r="F9" s="83" t="s">
        <v>75</v>
      </c>
      <c r="G9" s="84" t="s">
        <v>76</v>
      </c>
      <c r="H9" s="84" t="s">
        <v>15</v>
      </c>
      <c r="I9" s="74" t="s">
        <v>2</v>
      </c>
      <c r="J9" s="70" t="s">
        <v>3</v>
      </c>
    </row>
    <row r="10" spans="1:11" ht="20.25" customHeight="1">
      <c r="A10" s="24"/>
      <c r="B10" s="31" t="s">
        <v>162</v>
      </c>
      <c r="C10" s="31" t="s">
        <v>341</v>
      </c>
      <c r="D10" s="26">
        <v>9290</v>
      </c>
      <c r="E10" s="27">
        <v>9.5</v>
      </c>
      <c r="F10" s="27">
        <f t="shared" ref="F10:F21" si="0">D10*E10</f>
        <v>88255</v>
      </c>
      <c r="G10" s="28"/>
      <c r="H10" s="29"/>
      <c r="I10" s="27">
        <f>IF(B10&lt;&gt;"",F10-G10-H10,0)</f>
        <v>88255</v>
      </c>
      <c r="J10" s="31"/>
    </row>
    <row r="11" spans="1:11" ht="20.25" customHeight="1">
      <c r="A11" s="24">
        <v>42275</v>
      </c>
      <c r="B11" s="154" t="s">
        <v>17</v>
      </c>
      <c r="C11" s="154"/>
      <c r="D11" s="26"/>
      <c r="E11" s="27"/>
      <c r="F11" s="45">
        <f t="shared" si="0"/>
        <v>0</v>
      </c>
      <c r="G11" s="28"/>
      <c r="H11" s="152">
        <f>I10</f>
        <v>88255</v>
      </c>
      <c r="I11" s="27">
        <f t="shared" ref="I11" si="1">IF(B11&lt;&gt;"",I10+F11-G11-H11,0)</f>
        <v>0</v>
      </c>
      <c r="J11" s="155"/>
    </row>
    <row r="12" spans="1:11" ht="20.25" customHeight="1">
      <c r="A12" s="24"/>
      <c r="B12" s="31" t="s">
        <v>162</v>
      </c>
      <c r="C12" s="31" t="s">
        <v>341</v>
      </c>
      <c r="D12" s="26">
        <v>12273</v>
      </c>
      <c r="E12" s="27">
        <v>8.6999999999999993</v>
      </c>
      <c r="F12" s="27">
        <f t="shared" si="0"/>
        <v>106775.09999999999</v>
      </c>
      <c r="G12" s="28"/>
      <c r="H12" s="29"/>
      <c r="I12" s="27">
        <f t="shared" ref="I12:I21" si="2">IF(B12&lt;&gt;"",I11+F12-G12-H12,0)</f>
        <v>106775.09999999999</v>
      </c>
      <c r="J12" s="155"/>
    </row>
    <row r="13" spans="1:11" ht="20.25" customHeight="1">
      <c r="A13" s="24">
        <v>42306</v>
      </c>
      <c r="B13" s="31" t="s">
        <v>411</v>
      </c>
      <c r="C13" s="31" t="s">
        <v>403</v>
      </c>
      <c r="D13" s="26">
        <v>6120</v>
      </c>
      <c r="E13" s="27">
        <v>46</v>
      </c>
      <c r="F13" s="27">
        <f t="shared" si="0"/>
        <v>281520</v>
      </c>
      <c r="G13" s="28"/>
      <c r="H13" s="29"/>
      <c r="I13" s="27">
        <f t="shared" si="2"/>
        <v>388295.1</v>
      </c>
      <c r="J13" s="155"/>
    </row>
    <row r="14" spans="1:11" ht="20.25" customHeight="1">
      <c r="A14" s="24">
        <v>42310</v>
      </c>
      <c r="B14" s="31" t="s">
        <v>162</v>
      </c>
      <c r="C14" s="31" t="s">
        <v>403</v>
      </c>
      <c r="D14" s="26">
        <v>8702</v>
      </c>
      <c r="E14" s="27">
        <v>8.5</v>
      </c>
      <c r="F14" s="27">
        <f t="shared" si="0"/>
        <v>73967</v>
      </c>
      <c r="G14" s="28"/>
      <c r="H14" s="29"/>
      <c r="I14" s="27">
        <f t="shared" si="2"/>
        <v>462262.1</v>
      </c>
      <c r="J14" s="155"/>
    </row>
    <row r="15" spans="1:11" ht="20.25" customHeight="1">
      <c r="A15" s="24"/>
      <c r="B15" s="31" t="s">
        <v>162</v>
      </c>
      <c r="C15" s="31" t="s">
        <v>341</v>
      </c>
      <c r="D15" s="26">
        <v>480</v>
      </c>
      <c r="E15" s="27">
        <v>8.5</v>
      </c>
      <c r="F15" s="27">
        <f t="shared" si="0"/>
        <v>4080</v>
      </c>
      <c r="G15" s="28"/>
      <c r="H15" s="29"/>
      <c r="I15" s="27">
        <f t="shared" si="2"/>
        <v>466342.1</v>
      </c>
      <c r="J15" s="155"/>
    </row>
    <row r="16" spans="1:11" ht="20.25" customHeight="1">
      <c r="A16" s="24">
        <v>42309</v>
      </c>
      <c r="B16" s="31" t="s">
        <v>162</v>
      </c>
      <c r="C16" s="31" t="s">
        <v>341</v>
      </c>
      <c r="D16" s="26">
        <v>7171</v>
      </c>
      <c r="E16" s="27">
        <v>9.1999999999999993</v>
      </c>
      <c r="F16" s="27">
        <f t="shared" si="0"/>
        <v>65973.2</v>
      </c>
      <c r="G16" s="28"/>
      <c r="H16" s="29"/>
      <c r="I16" s="27">
        <f t="shared" si="2"/>
        <v>532315.29999999993</v>
      </c>
      <c r="J16" s="155"/>
    </row>
    <row r="17" spans="1:11" ht="20.25" customHeight="1">
      <c r="A17" s="24"/>
      <c r="B17" s="31" t="s">
        <v>416</v>
      </c>
      <c r="C17" s="31" t="s">
        <v>341</v>
      </c>
      <c r="D17" s="26">
        <v>2604</v>
      </c>
      <c r="E17" s="27">
        <v>19</v>
      </c>
      <c r="F17" s="27">
        <f t="shared" si="0"/>
        <v>49476</v>
      </c>
      <c r="G17" s="28"/>
      <c r="H17" s="29"/>
      <c r="I17" s="27">
        <f t="shared" si="2"/>
        <v>581791.29999999993</v>
      </c>
      <c r="J17" s="155"/>
    </row>
    <row r="18" spans="1:11" ht="20.25" customHeight="1">
      <c r="A18" s="24">
        <v>42322</v>
      </c>
      <c r="B18" s="31" t="s">
        <v>17</v>
      </c>
      <c r="C18" s="31"/>
      <c r="D18" s="26"/>
      <c r="E18" s="27"/>
      <c r="F18" s="27">
        <f t="shared" si="0"/>
        <v>0</v>
      </c>
      <c r="G18" s="28"/>
      <c r="H18" s="29">
        <v>200000</v>
      </c>
      <c r="I18" s="27">
        <f t="shared" si="2"/>
        <v>381791.29999999993</v>
      </c>
      <c r="J18" s="155"/>
    </row>
    <row r="19" spans="1:11" ht="20.25" customHeight="1">
      <c r="A19" s="24"/>
      <c r="B19" s="31"/>
      <c r="C19" s="31"/>
      <c r="D19" s="26"/>
      <c r="E19" s="27"/>
      <c r="F19" s="27">
        <f t="shared" si="0"/>
        <v>0</v>
      </c>
      <c r="G19" s="28"/>
      <c r="H19" s="29"/>
      <c r="I19" s="27">
        <f t="shared" si="2"/>
        <v>0</v>
      </c>
      <c r="J19" s="155"/>
    </row>
    <row r="20" spans="1:11" ht="20.25" customHeight="1">
      <c r="A20" s="24"/>
      <c r="B20" s="31"/>
      <c r="C20" s="31"/>
      <c r="D20" s="26"/>
      <c r="E20" s="27"/>
      <c r="F20" s="27">
        <f t="shared" si="0"/>
        <v>0</v>
      </c>
      <c r="G20" s="28"/>
      <c r="H20" s="29"/>
      <c r="I20" s="27">
        <f t="shared" si="2"/>
        <v>0</v>
      </c>
      <c r="J20" s="155"/>
    </row>
    <row r="21" spans="1:11" ht="20.25" customHeight="1">
      <c r="A21" s="24"/>
      <c r="B21" s="31"/>
      <c r="C21" s="31"/>
      <c r="D21" s="26"/>
      <c r="E21" s="27"/>
      <c r="F21" s="27">
        <f t="shared" si="0"/>
        <v>0</v>
      </c>
      <c r="G21" s="28"/>
      <c r="H21" s="29"/>
      <c r="I21" s="27">
        <f t="shared" si="2"/>
        <v>0</v>
      </c>
      <c r="J21" s="155"/>
    </row>
    <row r="22" spans="1:11" s="214" customFormat="1" ht="20.25" customHeight="1">
      <c r="A22" s="226" t="s">
        <v>14</v>
      </c>
      <c r="B22" s="226"/>
      <c r="C22" s="226"/>
      <c r="D22" s="226"/>
      <c r="E22" s="226"/>
      <c r="F22" s="68">
        <f>SUM(F10:F21)</f>
        <v>670046.29999999993</v>
      </c>
      <c r="G22" s="68">
        <f>SUM(G10:G21)</f>
        <v>0</v>
      </c>
      <c r="H22" s="68">
        <f>SUM(H10:H21)</f>
        <v>288255</v>
      </c>
      <c r="I22" s="68">
        <f>F22-G22-H22</f>
        <v>381791.29999999993</v>
      </c>
      <c r="J22" s="68"/>
      <c r="K22" s="216"/>
    </row>
  </sheetData>
  <autoFilter ref="A9:J9">
    <filterColumn colId="2"/>
  </autoFilter>
  <mergeCells count="9">
    <mergeCell ref="A22:E22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B13" sqref="B13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27" t="s">
        <v>38</v>
      </c>
      <c r="B1" s="227"/>
      <c r="C1" s="227"/>
      <c r="D1" s="227"/>
      <c r="F1" s="92"/>
      <c r="H1" s="62"/>
      <c r="I1" s="62"/>
    </row>
    <row r="2" spans="1:10" s="60" customFormat="1" ht="18.75" customHeight="1">
      <c r="A2" s="227" t="s">
        <v>37</v>
      </c>
      <c r="B2" s="227"/>
      <c r="C2" s="227"/>
      <c r="D2" s="227"/>
      <c r="E2" s="227"/>
      <c r="F2" s="227"/>
      <c r="G2" s="227"/>
      <c r="H2" s="62"/>
      <c r="I2" s="62"/>
    </row>
    <row r="3" spans="1:10" s="60" customFormat="1" ht="18.75" customHeight="1">
      <c r="A3" s="227" t="s">
        <v>40</v>
      </c>
      <c r="B3" s="227"/>
      <c r="C3" s="227" t="s">
        <v>41</v>
      </c>
      <c r="D3" s="227"/>
      <c r="E3" s="227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28" t="s">
        <v>39</v>
      </c>
      <c r="B5" s="228"/>
      <c r="C5" s="228"/>
      <c r="D5" s="228"/>
      <c r="E5" s="228"/>
      <c r="F5" s="228"/>
      <c r="G5" s="228"/>
      <c r="H5" s="228"/>
      <c r="I5" s="228"/>
      <c r="J5" s="228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31" t="s">
        <v>417</v>
      </c>
      <c r="B7" s="231"/>
      <c r="C7" s="230" t="s">
        <v>28</v>
      </c>
      <c r="D7" s="230"/>
      <c r="E7" s="241" t="s">
        <v>29</v>
      </c>
      <c r="F7" s="241"/>
      <c r="G7" s="241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42306</v>
      </c>
      <c r="B10" s="31" t="s">
        <v>124</v>
      </c>
      <c r="C10" s="26">
        <v>5320</v>
      </c>
      <c r="D10" s="27">
        <v>40</v>
      </c>
      <c r="E10" s="27">
        <f t="shared" ref="E10:E21" si="0">C10*D10</f>
        <v>212800</v>
      </c>
      <c r="F10" s="28"/>
      <c r="G10" s="29"/>
      <c r="H10" s="27">
        <f>IF(B10&lt;&gt;"",E10-F10-G10,0)</f>
        <v>212800</v>
      </c>
      <c r="I10" s="31"/>
    </row>
    <row r="11" spans="1:10" ht="20.25" customHeight="1">
      <c r="A11" s="24">
        <v>42307</v>
      </c>
      <c r="B11" s="31" t="s">
        <v>124</v>
      </c>
      <c r="C11" s="26">
        <v>3164</v>
      </c>
      <c r="D11" s="27">
        <v>40</v>
      </c>
      <c r="E11" s="27">
        <f t="shared" si="0"/>
        <v>126560</v>
      </c>
      <c r="F11" s="28"/>
      <c r="G11" s="29"/>
      <c r="H11" s="27">
        <f t="shared" ref="H11:H21" si="1">IF(B11&lt;&gt;"",H10+E11-F11-G11,0)</f>
        <v>339360</v>
      </c>
      <c r="I11" s="31"/>
    </row>
    <row r="12" spans="1:10" ht="20.25" customHeight="1">
      <c r="A12" s="24">
        <v>42327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239360</v>
      </c>
      <c r="I12" s="31"/>
    </row>
    <row r="13" spans="1:10" ht="20.25" customHeight="1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>
      <c r="A22" s="226" t="s">
        <v>14</v>
      </c>
      <c r="B22" s="226"/>
      <c r="C22" s="226"/>
      <c r="D22" s="226"/>
      <c r="E22" s="68">
        <f>SUM(E10:E21)</f>
        <v>339360</v>
      </c>
      <c r="F22" s="68">
        <f>SUM(F10:F21)</f>
        <v>0</v>
      </c>
      <c r="G22" s="68">
        <f>SUM(G10:G21)</f>
        <v>100000</v>
      </c>
      <c r="H22" s="68">
        <f>E22-F22-G22</f>
        <v>239360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abSelected="1" topLeftCell="A7" workbookViewId="0">
      <pane ySplit="3" topLeftCell="A10" activePane="bottomLeft" state="frozen"/>
      <selection activeCell="B80" sqref="B80"/>
      <selection pane="bottomLeft" activeCell="G14" sqref="G14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27" t="s">
        <v>38</v>
      </c>
      <c r="B1" s="227"/>
      <c r="C1" s="227"/>
      <c r="D1" s="227"/>
      <c r="F1" s="92"/>
      <c r="H1" s="62"/>
      <c r="I1" s="62"/>
    </row>
    <row r="2" spans="1:10" s="60" customFormat="1" ht="18.75" customHeight="1">
      <c r="A2" s="227" t="s">
        <v>37</v>
      </c>
      <c r="B2" s="227"/>
      <c r="C2" s="227"/>
      <c r="D2" s="227"/>
      <c r="E2" s="227"/>
      <c r="F2" s="227"/>
      <c r="G2" s="227"/>
      <c r="H2" s="62"/>
      <c r="I2" s="62"/>
    </row>
    <row r="3" spans="1:10" s="60" customFormat="1" ht="18.75" customHeight="1">
      <c r="A3" s="227" t="s">
        <v>40</v>
      </c>
      <c r="B3" s="227"/>
      <c r="C3" s="227" t="s">
        <v>41</v>
      </c>
      <c r="D3" s="227"/>
      <c r="E3" s="227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28" t="s">
        <v>39</v>
      </c>
      <c r="B5" s="228"/>
      <c r="C5" s="228"/>
      <c r="D5" s="228"/>
      <c r="E5" s="228"/>
      <c r="F5" s="228"/>
      <c r="G5" s="228"/>
      <c r="H5" s="228"/>
      <c r="I5" s="228"/>
      <c r="J5" s="228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31" t="s">
        <v>418</v>
      </c>
      <c r="B7" s="231"/>
      <c r="C7" s="230" t="s">
        <v>28</v>
      </c>
      <c r="D7" s="230"/>
      <c r="E7" s="241" t="s">
        <v>29</v>
      </c>
      <c r="F7" s="241"/>
      <c r="G7" s="241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42307</v>
      </c>
      <c r="B10" s="31" t="s">
        <v>124</v>
      </c>
      <c r="C10" s="26">
        <v>5060</v>
      </c>
      <c r="D10" s="27">
        <v>40</v>
      </c>
      <c r="E10" s="27">
        <f t="shared" ref="E10:E21" si="0">C10*D10</f>
        <v>202400</v>
      </c>
      <c r="F10" s="28"/>
      <c r="G10" s="29"/>
      <c r="H10" s="27">
        <f>IF(B10&lt;&gt;"",E10-F10-G10,0)</f>
        <v>202400</v>
      </c>
      <c r="I10" s="31"/>
    </row>
    <row r="11" spans="1:10" ht="20.25" customHeight="1">
      <c r="A11" s="24">
        <v>42307</v>
      </c>
      <c r="B11" s="31" t="s">
        <v>17</v>
      </c>
      <c r="C11" s="26"/>
      <c r="D11" s="27"/>
      <c r="E11" s="27">
        <f t="shared" si="0"/>
        <v>0</v>
      </c>
      <c r="F11" s="28"/>
      <c r="G11" s="29">
        <v>50000</v>
      </c>
      <c r="H11" s="27">
        <f t="shared" ref="H11:H21" si="1">IF(B11&lt;&gt;"",H10+E11-F11-G11,0)</f>
        <v>152400</v>
      </c>
      <c r="I11" s="31"/>
    </row>
    <row r="12" spans="1:10" ht="20.25" customHeight="1">
      <c r="A12" s="24">
        <v>42311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52400</v>
      </c>
      <c r="I12" s="31"/>
    </row>
    <row r="13" spans="1:10" ht="20.25" customHeight="1">
      <c r="A13" s="24">
        <v>42318</v>
      </c>
      <c r="B13" s="31" t="s">
        <v>17</v>
      </c>
      <c r="C13" s="26"/>
      <c r="D13" s="27"/>
      <c r="E13" s="27">
        <f t="shared" si="0"/>
        <v>0</v>
      </c>
      <c r="F13" s="28"/>
      <c r="G13" s="29">
        <f>H12</f>
        <v>52400</v>
      </c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>
      <c r="A22" s="226" t="s">
        <v>14</v>
      </c>
      <c r="B22" s="226"/>
      <c r="C22" s="226"/>
      <c r="D22" s="226"/>
      <c r="E22" s="68">
        <f>SUM(E10:E21)</f>
        <v>202400</v>
      </c>
      <c r="F22" s="68">
        <f>SUM(F10:F21)</f>
        <v>0</v>
      </c>
      <c r="G22" s="68">
        <f>SUM(G10:G21)</f>
        <v>202400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32">
    <tabColor indexed="31"/>
  </sheetPr>
  <dimension ref="A1:BC38"/>
  <sheetViews>
    <sheetView topLeftCell="C7" workbookViewId="0">
      <selection activeCell="G19" sqref="G19"/>
    </sheetView>
  </sheetViews>
  <sheetFormatPr defaultColWidth="21.7109375" defaultRowHeight="15"/>
  <cols>
    <col min="1" max="1" width="25.42578125" style="80" hidden="1" customWidth="1"/>
    <col min="2" max="2" width="14.5703125" style="80" hidden="1" customWidth="1"/>
    <col min="3" max="7" width="10.28515625" style="80" customWidth="1"/>
    <col min="8" max="12" width="10.28515625" style="88" customWidth="1"/>
    <col min="13" max="13" width="9.5703125" style="88" customWidth="1"/>
    <col min="14" max="14" width="10.5703125" style="88" customWidth="1"/>
    <col min="15" max="15" width="30.5703125" style="88" customWidth="1"/>
    <col min="16" max="17" width="27.140625" style="88" customWidth="1"/>
    <col min="18" max="18" width="26.140625" style="80" customWidth="1"/>
    <col min="19" max="16384" width="21.7109375" style="80"/>
  </cols>
  <sheetData>
    <row r="1" spans="1:55" s="90" customFormat="1" ht="45" customHeight="1">
      <c r="A1" s="91" t="s">
        <v>49</v>
      </c>
      <c r="B1" s="89" t="s">
        <v>50</v>
      </c>
      <c r="C1" s="90" t="s">
        <v>293</v>
      </c>
      <c r="D1" s="90" t="s">
        <v>10</v>
      </c>
      <c r="E1" s="90" t="s">
        <v>185</v>
      </c>
      <c r="F1" s="90" t="s">
        <v>65</v>
      </c>
      <c r="G1" s="90" t="s">
        <v>52</v>
      </c>
      <c r="H1" s="90" t="s">
        <v>53</v>
      </c>
      <c r="I1" s="90" t="s">
        <v>54</v>
      </c>
      <c r="J1" s="90" t="s">
        <v>55</v>
      </c>
      <c r="K1" s="90" t="s">
        <v>287</v>
      </c>
      <c r="L1" s="90" t="s">
        <v>258</v>
      </c>
      <c r="Q1" s="90" t="s">
        <v>56</v>
      </c>
      <c r="R1" s="90" t="s">
        <v>57</v>
      </c>
      <c r="S1" s="90" t="s">
        <v>192</v>
      </c>
      <c r="T1" s="90" t="s">
        <v>104</v>
      </c>
      <c r="U1" s="90" t="s">
        <v>188</v>
      </c>
      <c r="V1" s="90" t="s">
        <v>189</v>
      </c>
      <c r="W1" s="90" t="s">
        <v>51</v>
      </c>
      <c r="X1" s="90" t="s">
        <v>182</v>
      </c>
      <c r="Y1" s="90" t="s">
        <v>58</v>
      </c>
      <c r="Z1" s="90" t="s">
        <v>59</v>
      </c>
      <c r="AA1" s="90" t="s">
        <v>60</v>
      </c>
      <c r="AB1" s="90" t="s">
        <v>7</v>
      </c>
      <c r="AC1" s="90" t="s">
        <v>66</v>
      </c>
      <c r="AD1" s="90" t="s">
        <v>68</v>
      </c>
      <c r="AE1" s="90" t="s">
        <v>73</v>
      </c>
      <c r="AF1" s="90" t="s">
        <v>87</v>
      </c>
      <c r="AG1" s="90" t="s">
        <v>91</v>
      </c>
      <c r="AH1" s="90" t="s">
        <v>94</v>
      </c>
      <c r="AI1" s="90" t="s">
        <v>95</v>
      </c>
      <c r="AJ1" s="90" t="s">
        <v>11</v>
      </c>
      <c r="AK1" s="90" t="s">
        <v>12</v>
      </c>
      <c r="AL1" s="90" t="s">
        <v>96</v>
      </c>
      <c r="AM1" s="90" t="s">
        <v>10</v>
      </c>
      <c r="AN1" s="90" t="s">
        <v>65</v>
      </c>
      <c r="AO1" s="90" t="s">
        <v>102</v>
      </c>
      <c r="AP1" s="90" t="s">
        <v>103</v>
      </c>
      <c r="AQ1" s="90" t="s">
        <v>109</v>
      </c>
      <c r="AR1" s="90" t="s">
        <v>114</v>
      </c>
      <c r="AS1" s="90" t="s">
        <v>118</v>
      </c>
      <c r="AT1" s="90" t="s">
        <v>121</v>
      </c>
      <c r="AU1" s="90" t="s">
        <v>120</v>
      </c>
      <c r="AV1" s="90" t="s">
        <v>123</v>
      </c>
      <c r="AW1" s="90" t="s">
        <v>153</v>
      </c>
      <c r="AX1" s="90" t="s">
        <v>151</v>
      </c>
      <c r="AY1" s="90" t="s">
        <v>152</v>
      </c>
      <c r="AZ1" s="90" t="s">
        <v>154</v>
      </c>
      <c r="BA1" s="90" t="s">
        <v>157</v>
      </c>
      <c r="BB1" s="90" t="s">
        <v>158</v>
      </c>
      <c r="BC1" s="90" t="s">
        <v>163</v>
      </c>
    </row>
    <row r="2" spans="1:55" s="156" customFormat="1" ht="62.25" hidden="1" customHeight="1">
      <c r="H2" s="157"/>
      <c r="I2" s="157"/>
      <c r="J2" s="157"/>
      <c r="K2" s="157"/>
      <c r="L2" s="157"/>
      <c r="M2" s="157"/>
      <c r="N2" s="157"/>
      <c r="O2" s="157"/>
      <c r="P2" s="157" t="s">
        <v>195</v>
      </c>
      <c r="Q2" s="157" t="s">
        <v>196</v>
      </c>
      <c r="R2" s="157"/>
      <c r="S2" s="157" t="s">
        <v>197</v>
      </c>
      <c r="AL2" s="156" t="s">
        <v>125</v>
      </c>
      <c r="AM2" s="156" t="s">
        <v>126</v>
      </c>
      <c r="AN2" s="157" t="s">
        <v>127</v>
      </c>
      <c r="AO2" s="157" t="s">
        <v>128</v>
      </c>
      <c r="AP2" s="157" t="s">
        <v>129</v>
      </c>
      <c r="AQ2" s="156" t="s">
        <v>130</v>
      </c>
      <c r="AR2" s="156" t="s">
        <v>125</v>
      </c>
      <c r="AS2" s="156" t="s">
        <v>126</v>
      </c>
      <c r="AT2" s="157" t="s">
        <v>127</v>
      </c>
      <c r="AU2" s="157" t="s">
        <v>128</v>
      </c>
      <c r="AV2" s="157" t="s">
        <v>129</v>
      </c>
      <c r="AW2" s="156" t="s">
        <v>130</v>
      </c>
    </row>
    <row r="3" spans="1:55" ht="18" customHeight="1"/>
    <row r="4" spans="1:55" s="133" customFormat="1" ht="45.75" customHeight="1">
      <c r="B4" s="90"/>
      <c r="C4" s="90" t="s">
        <v>214</v>
      </c>
      <c r="D4" s="90" t="s">
        <v>215</v>
      </c>
      <c r="E4" s="90" t="s">
        <v>223</v>
      </c>
      <c r="F4" s="90" t="s">
        <v>216</v>
      </c>
      <c r="G4" s="90" t="s">
        <v>104</v>
      </c>
      <c r="H4" s="90" t="s">
        <v>217</v>
      </c>
      <c r="I4" s="90" t="s">
        <v>218</v>
      </c>
      <c r="J4" s="90" t="s">
        <v>219</v>
      </c>
      <c r="K4" s="90" t="s">
        <v>12</v>
      </c>
      <c r="L4" s="90" t="s">
        <v>95</v>
      </c>
      <c r="M4" s="90"/>
      <c r="N4" s="90"/>
      <c r="O4" s="90"/>
      <c r="P4" s="90"/>
      <c r="Q4" s="90"/>
      <c r="AL4" s="133" t="s">
        <v>125</v>
      </c>
      <c r="AM4" s="133" t="s">
        <v>126</v>
      </c>
      <c r="AN4" s="90" t="s">
        <v>127</v>
      </c>
      <c r="AO4" s="90" t="s">
        <v>128</v>
      </c>
      <c r="AP4" s="90" t="s">
        <v>129</v>
      </c>
      <c r="AQ4" s="133" t="s">
        <v>130</v>
      </c>
      <c r="AR4" s="133" t="s">
        <v>125</v>
      </c>
      <c r="AS4" s="133" t="s">
        <v>126</v>
      </c>
      <c r="AT4" s="90" t="s">
        <v>127</v>
      </c>
      <c r="AU4" s="90" t="s">
        <v>128</v>
      </c>
      <c r="AV4" s="90" t="s">
        <v>129</v>
      </c>
      <c r="AW4" s="133" t="s">
        <v>130</v>
      </c>
    </row>
    <row r="5" spans="1:55" ht="18" customHeight="1"/>
    <row r="6" spans="1:55" s="133" customFormat="1" ht="45.75" customHeight="1">
      <c r="C6" s="90" t="s">
        <v>220</v>
      </c>
      <c r="D6" s="90" t="s">
        <v>221</v>
      </c>
      <c r="E6" s="90" t="s">
        <v>222</v>
      </c>
      <c r="F6" s="90" t="s">
        <v>224</v>
      </c>
      <c r="G6" s="90" t="s">
        <v>65</v>
      </c>
      <c r="H6" s="90" t="s">
        <v>225</v>
      </c>
      <c r="I6" s="90" t="s">
        <v>226</v>
      </c>
      <c r="J6" s="90" t="s">
        <v>227</v>
      </c>
      <c r="K6" s="90" t="s">
        <v>182</v>
      </c>
      <c r="L6" s="90" t="s">
        <v>87</v>
      </c>
      <c r="M6" s="90"/>
      <c r="N6" s="90"/>
      <c r="O6" s="90"/>
      <c r="P6" s="90"/>
      <c r="Q6" s="90"/>
      <c r="AL6" s="133" t="s">
        <v>125</v>
      </c>
      <c r="AM6" s="133" t="s">
        <v>126</v>
      </c>
      <c r="AN6" s="90" t="s">
        <v>127</v>
      </c>
      <c r="AO6" s="90" t="s">
        <v>128</v>
      </c>
      <c r="AP6" s="90" t="s">
        <v>129</v>
      </c>
      <c r="AQ6" s="133" t="s">
        <v>130</v>
      </c>
      <c r="AR6" s="133" t="s">
        <v>125</v>
      </c>
      <c r="AS6" s="133" t="s">
        <v>126</v>
      </c>
      <c r="AT6" s="90" t="s">
        <v>127</v>
      </c>
      <c r="AU6" s="90" t="s">
        <v>128</v>
      </c>
      <c r="AV6" s="90" t="s">
        <v>129</v>
      </c>
      <c r="AW6" s="133" t="s">
        <v>130</v>
      </c>
    </row>
    <row r="7" spans="1:55" ht="18" customHeight="1"/>
    <row r="8" spans="1:55" s="133" customFormat="1" ht="45.75" customHeight="1">
      <c r="C8" s="90" t="s">
        <v>228</v>
      </c>
      <c r="D8" s="90" t="s">
        <v>230</v>
      </c>
      <c r="E8" s="90" t="s">
        <v>231</v>
      </c>
      <c r="F8" s="90" t="s">
        <v>232</v>
      </c>
      <c r="G8" s="90" t="s">
        <v>233</v>
      </c>
      <c r="H8" s="90" t="s">
        <v>234</v>
      </c>
      <c r="I8" s="90" t="s">
        <v>235</v>
      </c>
      <c r="J8" s="90" t="s">
        <v>236</v>
      </c>
      <c r="K8" s="90" t="s">
        <v>237</v>
      </c>
      <c r="L8" s="90" t="s">
        <v>238</v>
      </c>
      <c r="M8" s="90"/>
      <c r="N8" s="90"/>
      <c r="O8" s="90"/>
      <c r="P8" s="90"/>
      <c r="Q8" s="90"/>
      <c r="AL8" s="133" t="s">
        <v>125</v>
      </c>
      <c r="AM8" s="133" t="s">
        <v>126</v>
      </c>
      <c r="AN8" s="90" t="s">
        <v>127</v>
      </c>
      <c r="AO8" s="90" t="s">
        <v>128</v>
      </c>
      <c r="AP8" s="90" t="s">
        <v>129</v>
      </c>
      <c r="AQ8" s="133" t="s">
        <v>130</v>
      </c>
      <c r="AR8" s="133" t="s">
        <v>125</v>
      </c>
      <c r="AS8" s="133" t="s">
        <v>126</v>
      </c>
      <c r="AT8" s="90" t="s">
        <v>127</v>
      </c>
      <c r="AU8" s="90" t="s">
        <v>128</v>
      </c>
      <c r="AV8" s="90" t="s">
        <v>129</v>
      </c>
      <c r="AW8" s="133" t="s">
        <v>130</v>
      </c>
    </row>
    <row r="9" spans="1:55" s="133" customFormat="1" ht="18" customHeight="1"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AN9" s="90"/>
      <c r="AO9" s="90"/>
      <c r="AP9" s="90"/>
      <c r="AT9" s="90"/>
      <c r="AU9" s="90"/>
      <c r="AV9" s="90"/>
    </row>
    <row r="10" spans="1:55" s="133" customFormat="1" ht="45.75" customHeight="1">
      <c r="C10" s="90" t="s">
        <v>269</v>
      </c>
      <c r="D10" s="90" t="s">
        <v>229</v>
      </c>
      <c r="E10" s="90" t="s">
        <v>241</v>
      </c>
      <c r="F10" s="90" t="s">
        <v>242</v>
      </c>
      <c r="G10" s="90" t="s">
        <v>243</v>
      </c>
      <c r="H10" s="90" t="s">
        <v>244</v>
      </c>
      <c r="I10" s="90" t="s">
        <v>245</v>
      </c>
      <c r="J10" s="90" t="s">
        <v>246</v>
      </c>
      <c r="K10" s="90" t="s">
        <v>247</v>
      </c>
      <c r="L10" s="90" t="s">
        <v>248</v>
      </c>
      <c r="M10" s="90"/>
      <c r="N10" s="90"/>
      <c r="O10" s="90"/>
      <c r="P10" s="90"/>
      <c r="Q10" s="90"/>
      <c r="AN10" s="90"/>
      <c r="AO10" s="90"/>
      <c r="AP10" s="90"/>
      <c r="AT10" s="90"/>
      <c r="AU10" s="90"/>
      <c r="AV10" s="90"/>
    </row>
    <row r="11" spans="1:55" ht="18" customHeight="1"/>
    <row r="12" spans="1:55" s="133" customFormat="1" ht="45.75" customHeight="1">
      <c r="C12" s="133" t="s">
        <v>239</v>
      </c>
      <c r="D12" s="90" t="s">
        <v>240</v>
      </c>
      <c r="E12" s="90" t="s">
        <v>254</v>
      </c>
      <c r="F12" s="90" t="s">
        <v>65</v>
      </c>
      <c r="G12" s="90" t="s">
        <v>255</v>
      </c>
      <c r="H12" s="90" t="s">
        <v>277</v>
      </c>
      <c r="I12" s="90" t="s">
        <v>271</v>
      </c>
      <c r="J12" s="90" t="s">
        <v>272</v>
      </c>
      <c r="K12" s="90" t="s">
        <v>256</v>
      </c>
      <c r="L12" s="90" t="s">
        <v>257</v>
      </c>
      <c r="M12" s="90"/>
      <c r="N12" s="90"/>
      <c r="O12" s="90"/>
      <c r="P12" s="90"/>
      <c r="Q12" s="90"/>
      <c r="AL12" s="133" t="s">
        <v>125</v>
      </c>
      <c r="AM12" s="133" t="s">
        <v>126</v>
      </c>
      <c r="AN12" s="90" t="s">
        <v>127</v>
      </c>
      <c r="AO12" s="90" t="s">
        <v>128</v>
      </c>
      <c r="AP12" s="90" t="s">
        <v>129</v>
      </c>
      <c r="AQ12" s="133" t="s">
        <v>130</v>
      </c>
      <c r="AR12" s="133" t="s">
        <v>125</v>
      </c>
      <c r="AS12" s="133" t="s">
        <v>126</v>
      </c>
      <c r="AT12" s="90" t="s">
        <v>127</v>
      </c>
      <c r="AU12" s="90" t="s">
        <v>128</v>
      </c>
      <c r="AV12" s="90" t="s">
        <v>129</v>
      </c>
      <c r="AW12" s="133" t="s">
        <v>130</v>
      </c>
    </row>
    <row r="13" spans="1:55" ht="18" customHeight="1"/>
    <row r="14" spans="1:55" ht="42" customHeight="1">
      <c r="C14" s="90" t="s">
        <v>294</v>
      </c>
      <c r="D14" s="90" t="s">
        <v>295</v>
      </c>
      <c r="E14" s="90" t="s">
        <v>227</v>
      </c>
      <c r="F14" s="90" t="s">
        <v>192</v>
      </c>
      <c r="G14" s="90" t="s">
        <v>296</v>
      </c>
      <c r="H14" s="90" t="s">
        <v>297</v>
      </c>
      <c r="I14" s="90" t="s">
        <v>298</v>
      </c>
      <c r="J14" s="90" t="s">
        <v>254</v>
      </c>
      <c r="K14" s="90" t="s">
        <v>299</v>
      </c>
      <c r="L14" s="90" t="s">
        <v>300</v>
      </c>
    </row>
    <row r="15" spans="1:55" ht="18" customHeight="1"/>
    <row r="16" spans="1:55" ht="42" customHeight="1">
      <c r="C16" s="90" t="s">
        <v>407</v>
      </c>
      <c r="D16" s="90" t="s">
        <v>408</v>
      </c>
      <c r="E16" s="90" t="s">
        <v>409</v>
      </c>
      <c r="F16" s="90" t="s">
        <v>407</v>
      </c>
      <c r="G16" s="90" t="s">
        <v>408</v>
      </c>
      <c r="H16" s="90" t="s">
        <v>409</v>
      </c>
      <c r="I16" s="90" t="s">
        <v>407</v>
      </c>
      <c r="J16" s="90" t="s">
        <v>408</v>
      </c>
      <c r="K16" s="90" t="s">
        <v>409</v>
      </c>
      <c r="L16" s="90" t="s">
        <v>363</v>
      </c>
    </row>
    <row r="17" spans="8:40" ht="18" customHeight="1"/>
    <row r="18" spans="8:40">
      <c r="AL18" s="134" t="s">
        <v>13</v>
      </c>
    </row>
    <row r="20" spans="8:40" ht="15.75" thickBot="1">
      <c r="AL20" s="135"/>
      <c r="AM20" s="135"/>
    </row>
    <row r="21" spans="8:40" s="139" customFormat="1" ht="80.25" customHeight="1" thickTop="1">
      <c r="O21" s="157" t="s">
        <v>289</v>
      </c>
      <c r="P21" s="157" t="s">
        <v>290</v>
      </c>
      <c r="Q21" s="157" t="s">
        <v>291</v>
      </c>
      <c r="AL21" s="136" t="s">
        <v>131</v>
      </c>
      <c r="AM21" s="136" t="s">
        <v>131</v>
      </c>
      <c r="AN21" s="136" t="s">
        <v>131</v>
      </c>
    </row>
    <row r="22" spans="8:40" s="139" customFormat="1" ht="19.5" customHeight="1">
      <c r="O22" s="183"/>
      <c r="P22" s="183"/>
      <c r="Q22" s="183"/>
      <c r="AL22" s="184"/>
      <c r="AM22" s="184"/>
      <c r="AN22" s="184"/>
    </row>
    <row r="23" spans="8:40" s="140" customFormat="1" ht="80.25" customHeight="1" thickBot="1">
      <c r="H23" s="141"/>
      <c r="I23" s="141"/>
      <c r="J23" s="141"/>
      <c r="K23" s="141"/>
      <c r="L23" s="141"/>
      <c r="M23" s="141"/>
      <c r="N23" s="141"/>
      <c r="O23" s="157" t="s">
        <v>292</v>
      </c>
      <c r="P23" s="157" t="s">
        <v>197</v>
      </c>
      <c r="Q23" s="141"/>
      <c r="AL23" s="137" t="s">
        <v>145</v>
      </c>
      <c r="AM23" s="137" t="s">
        <v>146</v>
      </c>
      <c r="AN23" s="137" t="s">
        <v>147</v>
      </c>
    </row>
    <row r="24" spans="8:40" s="139" customFormat="1" ht="42.75" customHeight="1" thickTop="1">
      <c r="AL24" s="136" t="s">
        <v>131</v>
      </c>
      <c r="AM24" s="136" t="s">
        <v>131</v>
      </c>
      <c r="AN24" s="136" t="s">
        <v>131</v>
      </c>
    </row>
    <row r="25" spans="8:40" s="140" customFormat="1" ht="33" customHeight="1" thickBot="1"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AL25" s="137" t="s">
        <v>150</v>
      </c>
      <c r="AM25" s="137" t="s">
        <v>149</v>
      </c>
      <c r="AN25" s="137" t="s">
        <v>148</v>
      </c>
    </row>
    <row r="26" spans="8:40" s="139" customFormat="1" ht="42.75" customHeight="1" thickTop="1">
      <c r="AL26" s="136" t="s">
        <v>132</v>
      </c>
      <c r="AM26" s="136" t="s">
        <v>132</v>
      </c>
      <c r="AN26" s="136" t="s">
        <v>132</v>
      </c>
    </row>
    <row r="27" spans="8:40" s="140" customFormat="1" ht="33" customHeight="1" thickBot="1"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AL27" s="137" t="s">
        <v>145</v>
      </c>
      <c r="AM27" s="137" t="s">
        <v>146</v>
      </c>
      <c r="AN27" s="137" t="s">
        <v>147</v>
      </c>
    </row>
    <row r="28" spans="8:40" s="138" customFormat="1" ht="42.75" customHeight="1" thickTop="1">
      <c r="AL28" s="136" t="s">
        <v>132</v>
      </c>
      <c r="AM28" s="136" t="s">
        <v>132</v>
      </c>
      <c r="AN28" s="136" t="s">
        <v>132</v>
      </c>
    </row>
    <row r="29" spans="8:40" s="140" customFormat="1" ht="33" customHeight="1" thickBot="1"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AL29" s="137" t="s">
        <v>150</v>
      </c>
      <c r="AM29" s="137" t="s">
        <v>149</v>
      </c>
      <c r="AN29" s="137" t="s">
        <v>148</v>
      </c>
    </row>
    <row r="30" spans="8:40" s="138" customFormat="1" ht="42.75" customHeight="1" thickTop="1">
      <c r="AL30" s="136" t="s">
        <v>132</v>
      </c>
      <c r="AM30" s="136" t="s">
        <v>132</v>
      </c>
      <c r="AN30" s="136" t="s">
        <v>132</v>
      </c>
    </row>
    <row r="31" spans="8:40" s="140" customFormat="1" ht="33" customHeight="1" thickBot="1"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AL31" s="137" t="s">
        <v>133</v>
      </c>
      <c r="AM31" s="137" t="s">
        <v>134</v>
      </c>
      <c r="AN31" s="137" t="s">
        <v>135</v>
      </c>
    </row>
    <row r="32" spans="8:40" s="138" customFormat="1" ht="42.75" customHeight="1" thickTop="1">
      <c r="AL32" s="136" t="s">
        <v>132</v>
      </c>
      <c r="AM32" s="136" t="s">
        <v>132</v>
      </c>
      <c r="AN32" s="136" t="s">
        <v>132</v>
      </c>
    </row>
    <row r="33" spans="8:40" s="140" customFormat="1" ht="33" customHeight="1" thickBot="1"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AL33" s="137" t="s">
        <v>136</v>
      </c>
      <c r="AM33" s="137" t="s">
        <v>137</v>
      </c>
      <c r="AN33" s="137" t="s">
        <v>138</v>
      </c>
    </row>
    <row r="34" spans="8:40" s="138" customFormat="1" ht="42.75" customHeight="1" thickTop="1">
      <c r="AL34" s="136" t="s">
        <v>132</v>
      </c>
      <c r="AM34" s="136" t="s">
        <v>132</v>
      </c>
      <c r="AN34" s="136" t="s">
        <v>132</v>
      </c>
    </row>
    <row r="35" spans="8:40" s="140" customFormat="1" ht="33" customHeight="1" thickBot="1"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AL35" s="137" t="s">
        <v>139</v>
      </c>
      <c r="AM35" s="137" t="s">
        <v>140</v>
      </c>
      <c r="AN35" s="137" t="s">
        <v>141</v>
      </c>
    </row>
    <row r="36" spans="8:40" s="138" customFormat="1" ht="42.75" customHeight="1" thickTop="1">
      <c r="AL36" s="136" t="s">
        <v>132</v>
      </c>
      <c r="AM36" s="136" t="s">
        <v>132</v>
      </c>
      <c r="AN36" s="136" t="s">
        <v>132</v>
      </c>
    </row>
    <row r="37" spans="8:40" s="140" customFormat="1" ht="33" customHeight="1" thickBot="1"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AL37" s="137" t="s">
        <v>142</v>
      </c>
      <c r="AM37" s="137" t="s">
        <v>143</v>
      </c>
      <c r="AN37" s="137" t="s">
        <v>144</v>
      </c>
    </row>
    <row r="38" spans="8:40" ht="15.75" thickTop="1"/>
  </sheetData>
  <phoneticPr fontId="5" type="noConversion"/>
  <pageMargins left="1.32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T.KẾT</vt:lpstr>
      <vt:lpstr>Q.TIÊN</vt:lpstr>
      <vt:lpstr>TỶ LIÊN</vt:lpstr>
      <vt:lpstr>DŨNG KG1</vt:lpstr>
      <vt:lpstr>CƠ HT</vt:lpstr>
      <vt:lpstr>SÁCH VT</vt:lpstr>
      <vt:lpstr>THANH KG</vt:lpstr>
      <vt:lpstr>NHÂN CM</vt:lpstr>
      <vt:lpstr>HIỆP (PT)</vt:lpstr>
      <vt:lpstr>THANHMN</vt:lpstr>
      <vt:lpstr>A.LỢI BC</vt:lpstr>
      <vt:lpstr>HƯƠNG ST</vt:lpstr>
      <vt:lpstr>TRÍ HẢO VT</vt:lpstr>
      <vt:lpstr>MẠNH VT</vt:lpstr>
      <vt:lpstr>D.ĐIỂM</vt:lpstr>
      <vt:lpstr>TRẮNG (VL)</vt:lpstr>
      <vt:lpstr>RUÔNG (CL)</vt:lpstr>
      <vt:lpstr>6 NHẦM</vt:lpstr>
      <vt:lpstr>DŨNG KG</vt:lpstr>
      <vt:lpstr>CÚC VT</vt:lpstr>
      <vt:lpstr>THỦY KG</vt:lpstr>
      <vt:lpstr>PHÁN VT</vt:lpstr>
      <vt:lpstr>7 NGHĨA</vt:lpstr>
      <vt:lpstr>8 LẬP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2015-11-03T01:56:38Z</cp:lastPrinted>
  <dcterms:created xsi:type="dcterms:W3CDTF">2012-03-15T06:52:24Z</dcterms:created>
  <dcterms:modified xsi:type="dcterms:W3CDTF">2015-11-23T02:31:00Z</dcterms:modified>
</cp:coreProperties>
</file>