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20" windowWidth="15135" windowHeight="9300" tabRatio="858" activeTab="1"/>
  </bookViews>
  <sheets>
    <sheet name="341" sheetId="20" r:id="rId1"/>
    <sheet name="TH-341" sheetId="23" r:id="rId2"/>
    <sheet name="CT-341" sheetId="25" r:id="rId3"/>
    <sheet name="141-BH" sheetId="4" r:id="rId4"/>
    <sheet name="141-TT" sheetId="6" r:id="rId5"/>
    <sheet name="141-TT-BH" sheetId="7" r:id="rId6"/>
    <sheet name="141-TT-TT" sheetId="19" r:id="rId7"/>
  </sheets>
  <externalReferences>
    <externalReference r:id="rId8"/>
  </externalReferences>
  <definedNames>
    <definedName name="_Dau1">IF(Loai1='141-TT-TT'!$D$3-1,ROW(Loai1)-1,"")</definedName>
    <definedName name="_Fill" hidden="1">#REF!</definedName>
    <definedName name="_xlnm._FilterDatabase" localSheetId="3" hidden="1">'141-BH'!$A$14:$N$205</definedName>
    <definedName name="_xlnm._FilterDatabase" localSheetId="4" hidden="1">'141-TT'!$A$14:$Q$138</definedName>
    <definedName name="_xlnm._FilterDatabase" localSheetId="1" hidden="1">'TH-341'!$A$4:$K$104</definedName>
    <definedName name="_TH1">'TH-341'!$H$5:$H$71</definedName>
    <definedName name="_TH2">'TH-341'!$I$5:$I$71</definedName>
    <definedName name="_TH3">'TH-341'!$J$5:$J$71</definedName>
    <definedName name="_TH4">'TH-341'!$K$5:$K$71</definedName>
    <definedName name="Dau">IF(Loai='141-TT-BH'!$D$3-1,ROW(Loai)-1,"")</definedName>
    <definedName name="Dong">IF(Loai='141-TT-BH'!$D$3,ROW(Loai)-1,"")</definedName>
    <definedName name="Dong01">IF(Loai01="111",ROW(Loai01)-1,"")</definedName>
    <definedName name="Dong02">IF(Loai01="331",ROW(Loai01)-1,"")</definedName>
    <definedName name="Dong03">IF(Loai02="111",ROW(Loai02)-1,"")</definedName>
    <definedName name="Dong04">IF(Loai02="331",ROW(Loai02)-1,"")</definedName>
    <definedName name="Dong1">IF(Loai1='141-TT-TT'!$D$3,ROW(Loai1)-1,"")</definedName>
    <definedName name="Dong4">IF(Loai4='CT-341'!$H$9,ROW(Loai4)-1,"")</definedName>
    <definedName name="DSKU">'341'!$B$5:$B$49</definedName>
    <definedName name="fghdfg">IF(Loai01="x",ROW(Loai01)-1,"")</definedName>
    <definedName name="ghf">IF(Loai01="x",ROW(Loai01)-1,"")</definedName>
    <definedName name="kbjgj">IF(Loai01="x",ROW(Loai01)-1,"")</definedName>
    <definedName name="KUTH">'TH-341'!$E$5:$E$114</definedName>
    <definedName name="Loai">OFFSET('141-BH'!$J$15,,,COUNTA('141-BH'!$J$15:$J$40058))</definedName>
    <definedName name="Loai01">OFFSET('141-BH'!$R$16,,,COUNTA('141-BH'!$R$16:$R$40058))</definedName>
    <definedName name="Loai02">OFFSET('141-TT'!$Q$16,,,COUNTA('141-TT'!$Q$16:$R$40061))</definedName>
    <definedName name="Loai1">OFFSET('141-TT'!$J$15,,,COUNTA('141-TT'!$J$15:$J$40060))</definedName>
    <definedName name="Loai4">OFFSET('TH-341'!$E$5,,,COUNTA('TH-341'!$E$5:$E$40100))</definedName>
    <definedName name="nbvnvb">IF(Loai01="x",ROW(Loai01)-1,"")</definedName>
    <definedName name="_xlnm.Print_Area" localSheetId="0">'341'!$A$1:$O$12</definedName>
  </definedNames>
  <calcPr calcId="124519"/>
</workbook>
</file>

<file path=xl/calcChain.xml><?xml version="1.0" encoding="utf-8"?>
<calcChain xmlns="http://schemas.openxmlformats.org/spreadsheetml/2006/main">
  <c r="A98" i="23"/>
  <c r="A95"/>
  <c r="A100"/>
  <c r="I100"/>
  <c r="H46" i="20"/>
  <c r="J46"/>
  <c r="K46"/>
  <c r="H47"/>
  <c r="J47"/>
  <c r="K47"/>
  <c r="H49"/>
  <c r="J49"/>
  <c r="K49"/>
  <c r="A92" i="23"/>
  <c r="I92"/>
  <c r="A90"/>
  <c r="I90"/>
  <c r="A87"/>
  <c r="I87"/>
  <c r="H40" i="20"/>
  <c r="J40"/>
  <c r="H41"/>
  <c r="J41"/>
  <c r="H42"/>
  <c r="J42"/>
  <c r="H43"/>
  <c r="J43"/>
  <c r="H44"/>
  <c r="J44"/>
  <c r="H48"/>
  <c r="J48"/>
  <c r="H45"/>
  <c r="J45"/>
  <c r="K45"/>
  <c r="A86" i="23"/>
  <c r="I86"/>
  <c r="K86"/>
  <c r="A88"/>
  <c r="I88"/>
  <c r="I44" i="20" s="1"/>
  <c r="K88" i="23"/>
  <c r="K44" i="20" s="1"/>
  <c r="A89" i="23"/>
  <c r="I89"/>
  <c r="K89"/>
  <c r="A91"/>
  <c r="I91"/>
  <c r="K91"/>
  <c r="A93"/>
  <c r="I93"/>
  <c r="I48" i="20" s="1"/>
  <c r="K93" i="23"/>
  <c r="K48" i="20" s="1"/>
  <c r="A94" i="23"/>
  <c r="I94"/>
  <c r="K94"/>
  <c r="A96"/>
  <c r="I96"/>
  <c r="K96"/>
  <c r="A97"/>
  <c r="I97"/>
  <c r="K97"/>
  <c r="A99"/>
  <c r="I99"/>
  <c r="K99"/>
  <c r="A101"/>
  <c r="I101"/>
  <c r="I45" i="20" s="1"/>
  <c r="A102" i="23"/>
  <c r="I102"/>
  <c r="I46" i="20" s="1"/>
  <c r="A103" i="23"/>
  <c r="I103"/>
  <c r="I47" i="20" s="1"/>
  <c r="A104" i="23"/>
  <c r="I104"/>
  <c r="I49" i="20" s="1"/>
  <c r="L46" l="1"/>
  <c r="L47"/>
  <c r="N46"/>
  <c r="L49"/>
  <c r="N45"/>
  <c r="N48"/>
  <c r="N44"/>
  <c r="N43"/>
  <c r="L42"/>
  <c r="L41"/>
  <c r="L40"/>
  <c r="N49"/>
  <c r="N47"/>
  <c r="M47"/>
  <c r="O47"/>
  <c r="M46"/>
  <c r="O46"/>
  <c r="M49"/>
  <c r="O49"/>
  <c r="M48"/>
  <c r="M44"/>
  <c r="M45"/>
  <c r="L44"/>
  <c r="L48"/>
  <c r="O48"/>
  <c r="O44"/>
  <c r="L43"/>
  <c r="N42"/>
  <c r="N41"/>
  <c r="N40"/>
  <c r="L45"/>
  <c r="O45"/>
  <c r="C121" i="6"/>
  <c r="C122"/>
  <c r="C123"/>
  <c r="C124"/>
  <c r="C125"/>
  <c r="C126"/>
  <c r="C127"/>
  <c r="C128"/>
  <c r="C120"/>
  <c r="C119"/>
  <c r="C118"/>
  <c r="C111"/>
  <c r="C112"/>
  <c r="C113"/>
  <c r="C114"/>
  <c r="C115"/>
  <c r="C116"/>
  <c r="C117"/>
  <c r="C110"/>
  <c r="C109"/>
  <c r="C108"/>
  <c r="C97" i="4"/>
  <c r="C98"/>
  <c r="C99"/>
  <c r="C100"/>
  <c r="C101"/>
  <c r="J95"/>
  <c r="J96"/>
  <c r="J97"/>
  <c r="J98"/>
  <c r="J99"/>
  <c r="J100"/>
  <c r="J101"/>
  <c r="J102"/>
  <c r="J103"/>
  <c r="J104"/>
  <c r="J105"/>
  <c r="J106"/>
  <c r="J107"/>
  <c r="J108"/>
  <c r="J109"/>
  <c r="J110"/>
  <c r="J111"/>
  <c r="H99" i="6"/>
  <c r="I99"/>
  <c r="H100"/>
  <c r="I101" s="1"/>
  <c r="I100"/>
  <c r="H101"/>
  <c r="C96" i="4"/>
  <c r="C95"/>
  <c r="J97" i="6"/>
  <c r="J98"/>
  <c r="J99"/>
  <c r="J100"/>
  <c r="J101"/>
  <c r="J102"/>
  <c r="J103"/>
  <c r="J104"/>
  <c r="J105"/>
  <c r="J106"/>
  <c r="J107"/>
  <c r="J108"/>
  <c r="J109"/>
  <c r="J110"/>
  <c r="J111"/>
  <c r="J112"/>
  <c r="C97"/>
  <c r="C98"/>
  <c r="C99"/>
  <c r="C100"/>
  <c r="C101"/>
  <c r="C102"/>
  <c r="C103"/>
  <c r="C104"/>
  <c r="C105"/>
  <c r="C106"/>
  <c r="C107"/>
  <c r="C94" i="4"/>
  <c r="C93"/>
  <c r="C92"/>
  <c r="C91"/>
  <c r="J64" i="6"/>
  <c r="C64"/>
  <c r="I102" l="1"/>
  <c r="I103" s="1"/>
  <c r="H102"/>
  <c r="A72" i="23"/>
  <c r="I72"/>
  <c r="K72"/>
  <c r="A73"/>
  <c r="I73"/>
  <c r="K73"/>
  <c r="A74"/>
  <c r="I74"/>
  <c r="I43" i="20" s="1"/>
  <c r="K74" i="23"/>
  <c r="K43" i="20" s="1"/>
  <c r="A75" i="23"/>
  <c r="I75"/>
  <c r="K75"/>
  <c r="A77"/>
  <c r="I77"/>
  <c r="A78"/>
  <c r="I78"/>
  <c r="A79"/>
  <c r="I79"/>
  <c r="A80"/>
  <c r="I80"/>
  <c r="A76"/>
  <c r="I76"/>
  <c r="A81"/>
  <c r="I81"/>
  <c r="A82"/>
  <c r="I82"/>
  <c r="A83"/>
  <c r="I83"/>
  <c r="A84"/>
  <c r="I84"/>
  <c r="A85"/>
  <c r="I85"/>
  <c r="K85"/>
  <c r="A67"/>
  <c r="K65"/>
  <c r="K41" i="20" s="1"/>
  <c r="A64" i="23"/>
  <c r="B20" i="25"/>
  <c r="C20"/>
  <c r="D20"/>
  <c r="E20"/>
  <c r="F20"/>
  <c r="G20"/>
  <c r="H20"/>
  <c r="I20"/>
  <c r="J20"/>
  <c r="A59" i="23"/>
  <c r="I59"/>
  <c r="A56"/>
  <c r="H38" i="20"/>
  <c r="J38"/>
  <c r="K38"/>
  <c r="H39"/>
  <c r="J39"/>
  <c r="A85" i="6"/>
  <c r="A86"/>
  <c r="A84"/>
  <c r="A83" i="4"/>
  <c r="A82"/>
  <c r="C87" i="6"/>
  <c r="C88"/>
  <c r="C89"/>
  <c r="C90"/>
  <c r="C91"/>
  <c r="C92"/>
  <c r="C93"/>
  <c r="C94"/>
  <c r="C95"/>
  <c r="C96"/>
  <c r="J86"/>
  <c r="C84" i="4"/>
  <c r="C85"/>
  <c r="C86"/>
  <c r="C87"/>
  <c r="C88"/>
  <c r="C89"/>
  <c r="C90"/>
  <c r="A53" i="23"/>
  <c r="H37" i="20"/>
  <c r="J37"/>
  <c r="J60" i="4"/>
  <c r="A20" i="25" l="1"/>
  <c r="M43" i="20"/>
  <c r="O43"/>
  <c r="I104" i="6"/>
  <c r="I105" s="1"/>
  <c r="H103"/>
  <c r="H104" s="1"/>
  <c r="L38" i="20"/>
  <c r="N38"/>
  <c r="N37"/>
  <c r="L39"/>
  <c r="L37"/>
  <c r="N39"/>
  <c r="H105" i="6" l="1"/>
  <c r="H106" s="1"/>
  <c r="G52" i="20"/>
  <c r="I106" i="6" l="1"/>
  <c r="I107" s="1"/>
  <c r="G47" i="23"/>
  <c r="G46"/>
  <c r="H107" i="6" l="1"/>
  <c r="H108" s="1"/>
  <c r="K45" i="23"/>
  <c r="I45"/>
  <c r="K44"/>
  <c r="I44"/>
  <c r="K43"/>
  <c r="I43"/>
  <c r="K42"/>
  <c r="I42"/>
  <c r="K41"/>
  <c r="I41"/>
  <c r="K40"/>
  <c r="I40"/>
  <c r="K39"/>
  <c r="I39"/>
  <c r="K38"/>
  <c r="I38"/>
  <c r="A42"/>
  <c r="A43"/>
  <c r="A44"/>
  <c r="A45"/>
  <c r="A46"/>
  <c r="I46"/>
  <c r="A47"/>
  <c r="I47"/>
  <c r="A48"/>
  <c r="I48"/>
  <c r="A49"/>
  <c r="I49"/>
  <c r="A50"/>
  <c r="I50"/>
  <c r="A51"/>
  <c r="I51"/>
  <c r="A52"/>
  <c r="I52"/>
  <c r="K52"/>
  <c r="A54"/>
  <c r="I54"/>
  <c r="I37" i="20" s="1"/>
  <c r="K54" i="23"/>
  <c r="K37" i="20" s="1"/>
  <c r="A55" i="23"/>
  <c r="I55"/>
  <c r="K55"/>
  <c r="A57"/>
  <c r="I57"/>
  <c r="I39" i="20" s="1"/>
  <c r="K57" i="23"/>
  <c r="K39" i="20" s="1"/>
  <c r="A60" i="23"/>
  <c r="I60"/>
  <c r="I38" i="20" s="1"/>
  <c r="A58" i="23"/>
  <c r="I58"/>
  <c r="K58"/>
  <c r="A61"/>
  <c r="I61"/>
  <c r="K61"/>
  <c r="A62"/>
  <c r="I62"/>
  <c r="I40" i="20" s="1"/>
  <c r="K62" i="23"/>
  <c r="K40" i="20" s="1"/>
  <c r="A63" i="23"/>
  <c r="I63"/>
  <c r="K63"/>
  <c r="A65"/>
  <c r="I65"/>
  <c r="I41" i="20" s="1"/>
  <c r="A66" i="23"/>
  <c r="I66"/>
  <c r="K66"/>
  <c r="C76" i="6"/>
  <c r="C77"/>
  <c r="C78"/>
  <c r="C79"/>
  <c r="C80"/>
  <c r="C81"/>
  <c r="C82"/>
  <c r="C83"/>
  <c r="C75"/>
  <c r="C73" i="4"/>
  <c r="C74"/>
  <c r="C75"/>
  <c r="C76"/>
  <c r="C77"/>
  <c r="C78"/>
  <c r="C79"/>
  <c r="C80"/>
  <c r="C81"/>
  <c r="C72"/>
  <c r="C73" i="6"/>
  <c r="C74"/>
  <c r="C69" i="4"/>
  <c r="C70"/>
  <c r="C71"/>
  <c r="M40" i="20" l="1"/>
  <c r="O40"/>
  <c r="M41"/>
  <c r="O41"/>
  <c r="I108" i="6"/>
  <c r="I109" s="1"/>
  <c r="M38" i="20"/>
  <c r="O38"/>
  <c r="M39"/>
  <c r="O39"/>
  <c r="M37"/>
  <c r="O37"/>
  <c r="C63" i="4"/>
  <c r="C64"/>
  <c r="C65"/>
  <c r="C66"/>
  <c r="C67"/>
  <c r="C68"/>
  <c r="C62"/>
  <c r="C68" i="6"/>
  <c r="C69"/>
  <c r="C70"/>
  <c r="C71"/>
  <c r="C72"/>
  <c r="C67"/>
  <c r="C66"/>
  <c r="C65"/>
  <c r="C61" i="4"/>
  <c r="C59"/>
  <c r="I110" i="6" l="1"/>
  <c r="I111" s="1"/>
  <c r="H109"/>
  <c r="H110" s="1"/>
  <c r="A39" i="23"/>
  <c r="A40"/>
  <c r="A41"/>
  <c r="A68"/>
  <c r="I68"/>
  <c r="K68"/>
  <c r="A69"/>
  <c r="I69"/>
  <c r="I42" i="20" s="1"/>
  <c r="K69" i="23"/>
  <c r="K42" i="20" s="1"/>
  <c r="A70" i="23"/>
  <c r="I70"/>
  <c r="K70"/>
  <c r="A71"/>
  <c r="I71"/>
  <c r="K71"/>
  <c r="A37"/>
  <c r="I37"/>
  <c r="A35"/>
  <c r="I35"/>
  <c r="A32"/>
  <c r="I32"/>
  <c r="A29"/>
  <c r="A18"/>
  <c r="A19"/>
  <c r="A20"/>
  <c r="A21"/>
  <c r="A22"/>
  <c r="A23"/>
  <c r="A24"/>
  <c r="A25"/>
  <c r="A26"/>
  <c r="A27"/>
  <c r="A30"/>
  <c r="A31"/>
  <c r="A33"/>
  <c r="A34"/>
  <c r="A36"/>
  <c r="A38"/>
  <c r="A6"/>
  <c r="A7"/>
  <c r="A8"/>
  <c r="A9"/>
  <c r="A10"/>
  <c r="A11"/>
  <c r="A12"/>
  <c r="A13"/>
  <c r="A14"/>
  <c r="A15"/>
  <c r="A16"/>
  <c r="A17"/>
  <c r="A5"/>
  <c r="B18" i="25"/>
  <c r="C18"/>
  <c r="D18"/>
  <c r="E18"/>
  <c r="F18"/>
  <c r="G18"/>
  <c r="H18"/>
  <c r="I18"/>
  <c r="J18"/>
  <c r="B19"/>
  <c r="C19"/>
  <c r="D19"/>
  <c r="E19"/>
  <c r="F19"/>
  <c r="G19"/>
  <c r="I19"/>
  <c r="F17"/>
  <c r="G17"/>
  <c r="I17"/>
  <c r="E17"/>
  <c r="D17"/>
  <c r="C17"/>
  <c r="B17"/>
  <c r="M42" i="20" l="1"/>
  <c r="O42"/>
  <c r="H111" i="6"/>
  <c r="H112" s="1"/>
  <c r="G22" i="25"/>
  <c r="I22"/>
  <c r="A18"/>
  <c r="A19"/>
  <c r="A17"/>
  <c r="I112" i="6" l="1"/>
  <c r="I113" s="1"/>
  <c r="C26" i="25"/>
  <c r="J9"/>
  <c r="N16"/>
  <c r="M16"/>
  <c r="L16"/>
  <c r="K16"/>
  <c r="K17" s="1"/>
  <c r="H113" i="6" l="1"/>
  <c r="H114" s="1"/>
  <c r="K23" i="25"/>
  <c r="M17"/>
  <c r="M18" s="1"/>
  <c r="I114" i="6" l="1"/>
  <c r="I115" s="1"/>
  <c r="K18" i="25"/>
  <c r="K19" s="1"/>
  <c r="A8"/>
  <c r="H20" i="20"/>
  <c r="J20"/>
  <c r="K20"/>
  <c r="H21"/>
  <c r="J21"/>
  <c r="H22"/>
  <c r="I22"/>
  <c r="J22"/>
  <c r="K22"/>
  <c r="H23"/>
  <c r="I23"/>
  <c r="J23"/>
  <c r="K23"/>
  <c r="H26"/>
  <c r="I26"/>
  <c r="J26"/>
  <c r="K26"/>
  <c r="H31"/>
  <c r="J31"/>
  <c r="H30"/>
  <c r="J30"/>
  <c r="H32"/>
  <c r="I32"/>
  <c r="J32"/>
  <c r="K32"/>
  <c r="H34"/>
  <c r="I34"/>
  <c r="J34"/>
  <c r="K34"/>
  <c r="H36"/>
  <c r="I36"/>
  <c r="J36"/>
  <c r="K36"/>
  <c r="H33"/>
  <c r="I33"/>
  <c r="J33"/>
  <c r="K33"/>
  <c r="H35"/>
  <c r="I35"/>
  <c r="J35"/>
  <c r="K35"/>
  <c r="H6"/>
  <c r="I6"/>
  <c r="J6"/>
  <c r="K6"/>
  <c r="H7"/>
  <c r="I7"/>
  <c r="J7"/>
  <c r="K7"/>
  <c r="H8"/>
  <c r="I8"/>
  <c r="J8"/>
  <c r="K8"/>
  <c r="H9"/>
  <c r="J9"/>
  <c r="H10"/>
  <c r="J10"/>
  <c r="H11"/>
  <c r="J11"/>
  <c r="H12"/>
  <c r="J12"/>
  <c r="H13"/>
  <c r="J13"/>
  <c r="H14"/>
  <c r="J14"/>
  <c r="H15"/>
  <c r="J15"/>
  <c r="H16"/>
  <c r="J16"/>
  <c r="H17"/>
  <c r="J17"/>
  <c r="H18"/>
  <c r="J18"/>
  <c r="H19"/>
  <c r="I19"/>
  <c r="J19"/>
  <c r="K19"/>
  <c r="H24"/>
  <c r="J24"/>
  <c r="H25"/>
  <c r="J25"/>
  <c r="H27"/>
  <c r="J27"/>
  <c r="H28"/>
  <c r="J28"/>
  <c r="H29"/>
  <c r="J29"/>
  <c r="K5"/>
  <c r="J5"/>
  <c r="I5"/>
  <c r="H5"/>
  <c r="H115" i="6" l="1"/>
  <c r="M19" i="25"/>
  <c r="M20" s="1"/>
  <c r="M23"/>
  <c r="K20" l="1"/>
  <c r="I25" i="23"/>
  <c r="I26"/>
  <c r="I28"/>
  <c r="I21" i="20" s="1"/>
  <c r="I30" i="23"/>
  <c r="I31" i="20" s="1"/>
  <c r="I31" i="23"/>
  <c r="I33"/>
  <c r="I34"/>
  <c r="I17" i="20" s="1"/>
  <c r="K28" i="23"/>
  <c r="K21" i="20" s="1"/>
  <c r="K33" i="23"/>
  <c r="K34"/>
  <c r="K17" i="20" s="1"/>
  <c r="K36" i="23"/>
  <c r="K18" i="20" s="1"/>
  <c r="K24" i="23"/>
  <c r="K29" i="20" s="1"/>
  <c r="K30" i="23"/>
  <c r="K31" i="20" s="1"/>
  <c r="K31" i="23"/>
  <c r="K21"/>
  <c r="K25" i="20" s="1"/>
  <c r="K22" i="23"/>
  <c r="K27" i="20" s="1"/>
  <c r="K23" i="23"/>
  <c r="K28" i="20" s="1"/>
  <c r="K20" i="23"/>
  <c r="K24" i="20" s="1"/>
  <c r="K18" i="23"/>
  <c r="K17"/>
  <c r="K15"/>
  <c r="K14" i="20" s="1"/>
  <c r="K13" i="23"/>
  <c r="K13" i="20" s="1"/>
  <c r="K11" i="23"/>
  <c r="K12" i="20" s="1"/>
  <c r="K9" i="23"/>
  <c r="K11" i="20" s="1"/>
  <c r="K7" i="23"/>
  <c r="K10" i="20" s="1"/>
  <c r="K5" i="23"/>
  <c r="K9" i="20" s="1"/>
  <c r="I6" i="23"/>
  <c r="I7"/>
  <c r="I8"/>
  <c r="I9"/>
  <c r="I10"/>
  <c r="I11"/>
  <c r="I12"/>
  <c r="I13"/>
  <c r="I14"/>
  <c r="I15"/>
  <c r="I16"/>
  <c r="I17"/>
  <c r="I18"/>
  <c r="I19"/>
  <c r="I20"/>
  <c r="I24" i="20" s="1"/>
  <c r="I21" i="23"/>
  <c r="I25" i="20" s="1"/>
  <c r="I22" i="23"/>
  <c r="I27" i="20" s="1"/>
  <c r="I23" i="23"/>
  <c r="I28" i="20" s="1"/>
  <c r="I24" i="23"/>
  <c r="I29" i="20" s="1"/>
  <c r="I36" i="23"/>
  <c r="I18" i="20" s="1"/>
  <c r="I5" i="23"/>
  <c r="I20" i="20" l="1"/>
  <c r="K15"/>
  <c r="J19" i="25"/>
  <c r="K30" i="20"/>
  <c r="I9"/>
  <c r="H19" i="25"/>
  <c r="I30" i="20"/>
  <c r="I15"/>
  <c r="I14"/>
  <c r="I13"/>
  <c r="I12"/>
  <c r="I11"/>
  <c r="I10"/>
  <c r="H17" i="25"/>
  <c r="H22" s="1"/>
  <c r="I16" i="20"/>
  <c r="J17" i="25"/>
  <c r="K16" i="20"/>
  <c r="O29"/>
  <c r="N29"/>
  <c r="C49" i="6"/>
  <c r="C50"/>
  <c r="C51"/>
  <c r="C52"/>
  <c r="C51" i="4"/>
  <c r="C52"/>
  <c r="C53"/>
  <c r="C54" i="6"/>
  <c r="C55"/>
  <c r="C56"/>
  <c r="C57"/>
  <c r="C58"/>
  <c r="C59"/>
  <c r="C60"/>
  <c r="C61"/>
  <c r="C62"/>
  <c r="C63"/>
  <c r="C53"/>
  <c r="H16" i="4"/>
  <c r="I17" s="1"/>
  <c r="I16"/>
  <c r="H17"/>
  <c r="H16" i="6"/>
  <c r="I16"/>
  <c r="H17" s="1"/>
  <c r="C55" i="4"/>
  <c r="C56"/>
  <c r="C57"/>
  <c r="C58"/>
  <c r="C54"/>
  <c r="J51"/>
  <c r="J52"/>
  <c r="J53"/>
  <c r="J54"/>
  <c r="J55"/>
  <c r="J56"/>
  <c r="J57"/>
  <c r="J58"/>
  <c r="J59"/>
  <c r="J61"/>
  <c r="J62"/>
  <c r="J63"/>
  <c r="G204"/>
  <c r="H205" s="1"/>
  <c r="F204"/>
  <c r="L31" i="20"/>
  <c r="M31"/>
  <c r="N31"/>
  <c r="O31"/>
  <c r="L30"/>
  <c r="N30"/>
  <c r="L32"/>
  <c r="M32"/>
  <c r="N32"/>
  <c r="O32"/>
  <c r="L34"/>
  <c r="M34"/>
  <c r="N34"/>
  <c r="O34"/>
  <c r="L36"/>
  <c r="M36"/>
  <c r="N36"/>
  <c r="O36"/>
  <c r="L33"/>
  <c r="M33"/>
  <c r="N33"/>
  <c r="O33"/>
  <c r="L35"/>
  <c r="M35"/>
  <c r="N35"/>
  <c r="O35"/>
  <c r="N6"/>
  <c r="Q6" s="1"/>
  <c r="O6"/>
  <c r="N7"/>
  <c r="Q7" s="1"/>
  <c r="O7"/>
  <c r="N8"/>
  <c r="Q8" s="1"/>
  <c r="O8"/>
  <c r="N23"/>
  <c r="J16" i="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7"/>
  <c r="J88"/>
  <c r="J89"/>
  <c r="J90"/>
  <c r="J91"/>
  <c r="J92"/>
  <c r="J93"/>
  <c r="J94"/>
  <c r="J95"/>
  <c r="J96"/>
  <c r="J113"/>
  <c r="J114"/>
  <c r="J115"/>
  <c r="J116"/>
  <c r="J117"/>
  <c r="J118"/>
  <c r="J119"/>
  <c r="J120"/>
  <c r="J121"/>
  <c r="S39" s="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6" i="4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C36" i="6"/>
  <c r="C37"/>
  <c r="C38"/>
  <c r="C39"/>
  <c r="C35"/>
  <c r="C40"/>
  <c r="C41"/>
  <c r="C42"/>
  <c r="C43"/>
  <c r="C44"/>
  <c r="C45"/>
  <c r="C46"/>
  <c r="C47"/>
  <c r="C48"/>
  <c r="S46"/>
  <c r="P22" i="4"/>
  <c r="P17"/>
  <c r="P18"/>
  <c r="P19"/>
  <c r="O20"/>
  <c r="O21"/>
  <c r="T17"/>
  <c r="T19"/>
  <c r="T24"/>
  <c r="T26"/>
  <c r="T28"/>
  <c r="T30"/>
  <c r="T32"/>
  <c r="T34"/>
  <c r="T36"/>
  <c r="T38"/>
  <c r="T40"/>
  <c r="T42"/>
  <c r="T44"/>
  <c r="T46"/>
  <c r="T48"/>
  <c r="T50"/>
  <c r="C22"/>
  <c r="C16"/>
  <c r="C17"/>
  <c r="C18"/>
  <c r="C19"/>
  <c r="C20"/>
  <c r="C21"/>
  <c r="Q23"/>
  <c r="Q21"/>
  <c r="Q24"/>
  <c r="Q25"/>
  <c r="Q26"/>
  <c r="Q27"/>
  <c r="Q28"/>
  <c r="Q29"/>
  <c r="Q30"/>
  <c r="Q31"/>
  <c r="Q32"/>
  <c r="Q33"/>
  <c r="Q34"/>
  <c r="U35"/>
  <c r="U37"/>
  <c r="U39"/>
  <c r="U41"/>
  <c r="U43"/>
  <c r="U45"/>
  <c r="U47"/>
  <c r="U49"/>
  <c r="U17"/>
  <c r="U19"/>
  <c r="S17"/>
  <c r="S19"/>
  <c r="S21"/>
  <c r="Q19"/>
  <c r="O23"/>
  <c r="C23"/>
  <c r="O24"/>
  <c r="C24"/>
  <c r="O25"/>
  <c r="C25"/>
  <c r="O26"/>
  <c r="C26"/>
  <c r="O27"/>
  <c r="C27"/>
  <c r="O28"/>
  <c r="C28"/>
  <c r="O29"/>
  <c r="C29"/>
  <c r="O30"/>
  <c r="C30"/>
  <c r="O31"/>
  <c r="C31"/>
  <c r="O32"/>
  <c r="C32"/>
  <c r="O33"/>
  <c r="C33"/>
  <c r="O34"/>
  <c r="C34"/>
  <c r="O35"/>
  <c r="Q35"/>
  <c r="O36"/>
  <c r="Q36"/>
  <c r="O37"/>
  <c r="Q37"/>
  <c r="O38"/>
  <c r="Q38"/>
  <c r="O39"/>
  <c r="Q39"/>
  <c r="O40"/>
  <c r="Q40"/>
  <c r="O41"/>
  <c r="Q41"/>
  <c r="O42"/>
  <c r="Q42"/>
  <c r="O43"/>
  <c r="Q43"/>
  <c r="O44"/>
  <c r="Q44"/>
  <c r="O45"/>
  <c r="Q45"/>
  <c r="O46"/>
  <c r="Q46"/>
  <c r="O47"/>
  <c r="Q47"/>
  <c r="O48"/>
  <c r="Q48"/>
  <c r="O49"/>
  <c r="Q49"/>
  <c r="O50"/>
  <c r="Q50"/>
  <c r="Q16"/>
  <c r="D78" i="7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C40" i="4"/>
  <c r="C41"/>
  <c r="C42"/>
  <c r="C43"/>
  <c r="C44"/>
  <c r="C45"/>
  <c r="C46"/>
  <c r="C47"/>
  <c r="C48"/>
  <c r="C49"/>
  <c r="C50"/>
  <c r="C35"/>
  <c r="C36"/>
  <c r="C37"/>
  <c r="C38"/>
  <c r="C39"/>
  <c r="C32" i="6"/>
  <c r="C33"/>
  <c r="C34"/>
  <c r="C16"/>
  <c r="C17"/>
  <c r="C18"/>
  <c r="C19"/>
  <c r="C20"/>
  <c r="C22"/>
  <c r="C23"/>
  <c r="C24"/>
  <c r="C25"/>
  <c r="C26"/>
  <c r="C27"/>
  <c r="C28"/>
  <c r="C29"/>
  <c r="C30"/>
  <c r="C31"/>
  <c r="C21"/>
  <c r="G140"/>
  <c r="F140"/>
  <c r="R8" i="20" l="1"/>
  <c r="R7"/>
  <c r="R6"/>
  <c r="S35" i="6"/>
  <c r="S48"/>
  <c r="S43"/>
  <c r="P17"/>
  <c r="S47"/>
  <c r="S45"/>
  <c r="S41"/>
  <c r="S37"/>
  <c r="O32"/>
  <c r="P20" i="4"/>
  <c r="D115" i="7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T16" i="4"/>
  <c r="S50"/>
  <c r="P50"/>
  <c r="S49"/>
  <c r="P49"/>
  <c r="S48"/>
  <c r="P48"/>
  <c r="S47"/>
  <c r="P47"/>
  <c r="S46"/>
  <c r="P46"/>
  <c r="S45"/>
  <c r="P45"/>
  <c r="S44"/>
  <c r="P44"/>
  <c r="S43"/>
  <c r="P43"/>
  <c r="S42"/>
  <c r="P42"/>
  <c r="S41"/>
  <c r="P41"/>
  <c r="S40"/>
  <c r="P40"/>
  <c r="S39"/>
  <c r="P39"/>
  <c r="S38"/>
  <c r="P38"/>
  <c r="S37"/>
  <c r="P37"/>
  <c r="S36"/>
  <c r="P36"/>
  <c r="S35"/>
  <c r="P35"/>
  <c r="S34"/>
  <c r="P34"/>
  <c r="S33"/>
  <c r="P33"/>
  <c r="S32"/>
  <c r="P32"/>
  <c r="S31"/>
  <c r="P31"/>
  <c r="S30"/>
  <c r="P30"/>
  <c r="S29"/>
  <c r="P29"/>
  <c r="S28"/>
  <c r="P28"/>
  <c r="S27"/>
  <c r="P27"/>
  <c r="S26"/>
  <c r="P26"/>
  <c r="S25"/>
  <c r="P25"/>
  <c r="S24"/>
  <c r="P24"/>
  <c r="S23"/>
  <c r="P23"/>
  <c r="S22"/>
  <c r="Q18"/>
  <c r="S20"/>
  <c r="S18"/>
  <c r="Q17"/>
  <c r="U18"/>
  <c r="U50"/>
  <c r="U48"/>
  <c r="U46"/>
  <c r="U44"/>
  <c r="U42"/>
  <c r="U40"/>
  <c r="U38"/>
  <c r="U36"/>
  <c r="U34"/>
  <c r="U33"/>
  <c r="U32"/>
  <c r="U31"/>
  <c r="U30"/>
  <c r="U29"/>
  <c r="U28"/>
  <c r="U27"/>
  <c r="U26"/>
  <c r="U25"/>
  <c r="U24"/>
  <c r="U21"/>
  <c r="U23"/>
  <c r="T49"/>
  <c r="T47"/>
  <c r="T45"/>
  <c r="T43"/>
  <c r="T41"/>
  <c r="T39"/>
  <c r="T37"/>
  <c r="T35"/>
  <c r="T33"/>
  <c r="T31"/>
  <c r="T29"/>
  <c r="T27"/>
  <c r="T25"/>
  <c r="T23"/>
  <c r="T18"/>
  <c r="O22"/>
  <c r="P21"/>
  <c r="O19"/>
  <c r="O18"/>
  <c r="O17"/>
  <c r="J22" i="25"/>
  <c r="P19" i="6"/>
  <c r="O48"/>
  <c r="O47"/>
  <c r="O46"/>
  <c r="S44"/>
  <c r="S42"/>
  <c r="S40"/>
  <c r="S38"/>
  <c r="S36"/>
  <c r="O34"/>
  <c r="O30"/>
  <c r="P18"/>
  <c r="P16"/>
  <c r="P48"/>
  <c r="N48"/>
  <c r="P47"/>
  <c r="N47"/>
  <c r="P46"/>
  <c r="N46"/>
  <c r="O45"/>
  <c r="O44"/>
  <c r="O43"/>
  <c r="O42"/>
  <c r="O41"/>
  <c r="O40"/>
  <c r="O39"/>
  <c r="O38"/>
  <c r="O37"/>
  <c r="O36"/>
  <c r="O35"/>
  <c r="O33"/>
  <c r="O31"/>
  <c r="O29"/>
  <c r="N29"/>
  <c r="O27"/>
  <c r="N27"/>
  <c r="O25"/>
  <c r="N25"/>
  <c r="O23"/>
  <c r="N23"/>
  <c r="O21"/>
  <c r="N21"/>
  <c r="N17"/>
  <c r="P45"/>
  <c r="N45"/>
  <c r="P44"/>
  <c r="N44"/>
  <c r="P43"/>
  <c r="N43"/>
  <c r="P42"/>
  <c r="N42"/>
  <c r="P41"/>
  <c r="N41"/>
  <c r="P40"/>
  <c r="N40"/>
  <c r="P39"/>
  <c r="N39"/>
  <c r="P38"/>
  <c r="N38"/>
  <c r="P37"/>
  <c r="N37"/>
  <c r="P36"/>
  <c r="N36"/>
  <c r="P35"/>
  <c r="N35"/>
  <c r="N34"/>
  <c r="N33"/>
  <c r="N32"/>
  <c r="N31"/>
  <c r="N30"/>
  <c r="O28"/>
  <c r="N28"/>
  <c r="O26"/>
  <c r="N26"/>
  <c r="O24"/>
  <c r="N24"/>
  <c r="O22"/>
  <c r="N22"/>
  <c r="S19"/>
  <c r="S18"/>
  <c r="S17"/>
  <c r="O16"/>
  <c r="N16"/>
  <c r="O19"/>
  <c r="N19"/>
  <c r="O17"/>
  <c r="Q20"/>
  <c r="T46"/>
  <c r="G206" i="4"/>
  <c r="F206"/>
  <c r="P16"/>
  <c r="M30" i="20"/>
  <c r="O30"/>
  <c r="T26" i="6"/>
  <c r="O20"/>
  <c r="N20"/>
  <c r="O18"/>
  <c r="N18"/>
  <c r="S16"/>
  <c r="S23"/>
  <c r="U20" i="4"/>
  <c r="S16"/>
  <c r="U16"/>
  <c r="T17" i="6"/>
  <c r="P20"/>
  <c r="P28"/>
  <c r="P27"/>
  <c r="P26"/>
  <c r="P25"/>
  <c r="P24"/>
  <c r="T22"/>
  <c r="T34"/>
  <c r="T33"/>
  <c r="T32"/>
  <c r="T31"/>
  <c r="T29"/>
  <c r="T30"/>
  <c r="Q34"/>
  <c r="T38"/>
  <c r="P32"/>
  <c r="Q26"/>
  <c r="U22" i="4"/>
  <c r="Q22"/>
  <c r="O16"/>
  <c r="Q20"/>
  <c r="T42" i="6"/>
  <c r="T18"/>
  <c r="P21"/>
  <c r="Q42"/>
  <c r="R19"/>
  <c r="T48"/>
  <c r="T44"/>
  <c r="T40"/>
  <c r="T36"/>
  <c r="T28"/>
  <c r="T24"/>
  <c r="P34"/>
  <c r="P29"/>
  <c r="S31"/>
  <c r="Q46"/>
  <c r="Q38"/>
  <c r="Q30"/>
  <c r="Q22"/>
  <c r="T16"/>
  <c r="T47"/>
  <c r="T45"/>
  <c r="T43"/>
  <c r="T41"/>
  <c r="T39"/>
  <c r="T37"/>
  <c r="T35"/>
  <c r="T20"/>
  <c r="T27"/>
  <c r="T25"/>
  <c r="T23"/>
  <c r="P22"/>
  <c r="P33"/>
  <c r="P31"/>
  <c r="P30"/>
  <c r="S20"/>
  <c r="S27"/>
  <c r="Q48"/>
  <c r="Q44"/>
  <c r="Q40"/>
  <c r="Q36"/>
  <c r="Q32"/>
  <c r="Q28"/>
  <c r="Q24"/>
  <c r="S33"/>
  <c r="S29"/>
  <c r="S25"/>
  <c r="S22"/>
  <c r="Q47"/>
  <c r="Q45"/>
  <c r="Q43"/>
  <c r="Q41"/>
  <c r="Q39"/>
  <c r="Q37"/>
  <c r="Q35"/>
  <c r="Q33"/>
  <c r="R17"/>
  <c r="T19"/>
  <c r="P23"/>
  <c r="Q31"/>
  <c r="Q29"/>
  <c r="Q27"/>
  <c r="Q25"/>
  <c r="Q23"/>
  <c r="Q21"/>
  <c r="Q19"/>
  <c r="Q18"/>
  <c r="Q17"/>
  <c r="Q16"/>
  <c r="T21"/>
  <c r="S34"/>
  <c r="S32"/>
  <c r="S30"/>
  <c r="S28"/>
  <c r="S26"/>
  <c r="S24"/>
  <c r="S21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8"/>
  <c r="R16"/>
  <c r="H18" i="4"/>
  <c r="I18"/>
  <c r="I205"/>
  <c r="N17" i="25"/>
  <c r="L17"/>
  <c r="N12" i="20"/>
  <c r="N10"/>
  <c r="M29"/>
  <c r="L29"/>
  <c r="N21"/>
  <c r="N14"/>
  <c r="N22"/>
  <c r="N20"/>
  <c r="N25"/>
  <c r="N18"/>
  <c r="N16"/>
  <c r="N28"/>
  <c r="N24"/>
  <c r="N19"/>
  <c r="N17"/>
  <c r="N15"/>
  <c r="R29" i="4"/>
  <c r="R45"/>
  <c r="H141" i="6"/>
  <c r="K207" i="4" s="1"/>
  <c r="R21"/>
  <c r="R37"/>
  <c r="R17"/>
  <c r="R49"/>
  <c r="R41"/>
  <c r="R33"/>
  <c r="R25"/>
  <c r="T21"/>
  <c r="I141" i="6"/>
  <c r="T22" i="4"/>
  <c r="R47"/>
  <c r="R43"/>
  <c r="R39"/>
  <c r="R35"/>
  <c r="R31"/>
  <c r="R27"/>
  <c r="R23"/>
  <c r="R19"/>
  <c r="R16"/>
  <c r="N27" i="20"/>
  <c r="I17" i="6"/>
  <c r="I18" s="1"/>
  <c r="L27" i="20"/>
  <c r="N5"/>
  <c r="Q5" s="1"/>
  <c r="L5"/>
  <c r="N26"/>
  <c r="F50"/>
  <c r="L26"/>
  <c r="D50"/>
  <c r="L23"/>
  <c r="L22"/>
  <c r="L21"/>
  <c r="L20"/>
  <c r="L28"/>
  <c r="L25"/>
  <c r="L24"/>
  <c r="L19"/>
  <c r="L18"/>
  <c r="L17"/>
  <c r="L16"/>
  <c r="L15"/>
  <c r="L14"/>
  <c r="L10"/>
  <c r="M8"/>
  <c r="M7"/>
  <c r="M6"/>
  <c r="O5"/>
  <c r="M5"/>
  <c r="G50"/>
  <c r="G54" s="1"/>
  <c r="E50"/>
  <c r="L12"/>
  <c r="L8"/>
  <c r="L7"/>
  <c r="L6"/>
  <c r="T20" i="4"/>
  <c r="R50"/>
  <c r="R48"/>
  <c r="R46"/>
  <c r="R44"/>
  <c r="R42"/>
  <c r="R40"/>
  <c r="R38"/>
  <c r="R36"/>
  <c r="R34"/>
  <c r="R32"/>
  <c r="R30"/>
  <c r="R28"/>
  <c r="R26"/>
  <c r="R24"/>
  <c r="R22"/>
  <c r="R20"/>
  <c r="R18"/>
  <c r="N13" i="20"/>
  <c r="N11"/>
  <c r="R5" l="1"/>
  <c r="S204" i="4"/>
  <c r="L23" i="25"/>
  <c r="H18" i="6"/>
  <c r="H19" s="1"/>
  <c r="L18" i="25"/>
  <c r="H19" i="4"/>
  <c r="B28" i="19"/>
  <c r="A27"/>
  <c r="B26"/>
  <c r="B40"/>
  <c r="B39"/>
  <c r="A18"/>
  <c r="B24"/>
  <c r="B33"/>
  <c r="A37"/>
  <c r="B22"/>
  <c r="A28"/>
  <c r="A17"/>
  <c r="B32"/>
  <c r="A25"/>
  <c r="B27"/>
  <c r="A24"/>
  <c r="B5"/>
  <c r="B21"/>
  <c r="A21"/>
  <c r="B18"/>
  <c r="A30"/>
  <c r="A20"/>
  <c r="A40"/>
  <c r="B17"/>
  <c r="B36"/>
  <c r="A41"/>
  <c r="B38"/>
  <c r="A34"/>
  <c r="A32"/>
  <c r="A16"/>
  <c r="A19"/>
  <c r="B29"/>
  <c r="B25"/>
  <c r="B30"/>
  <c r="B34"/>
  <c r="A33"/>
  <c r="B31"/>
  <c r="A26"/>
  <c r="A31"/>
  <c r="A22"/>
  <c r="A29"/>
  <c r="A35"/>
  <c r="A38"/>
  <c r="B19"/>
  <c r="B41"/>
  <c r="B37"/>
  <c r="B35"/>
  <c r="A36"/>
  <c r="A39"/>
  <c r="B20"/>
  <c r="B16"/>
  <c r="A4"/>
  <c r="I19" i="4"/>
  <c r="I20" s="1"/>
  <c r="N18" i="25"/>
  <c r="N23"/>
  <c r="T204" i="4"/>
  <c r="M27" i="20"/>
  <c r="L9"/>
  <c r="B24" i="7"/>
  <c r="O10" i="20"/>
  <c r="N9"/>
  <c r="L11"/>
  <c r="H50"/>
  <c r="J50"/>
  <c r="B26" i="7"/>
  <c r="A35"/>
  <c r="A31"/>
  <c r="A27"/>
  <c r="A21"/>
  <c r="B16"/>
  <c r="A28"/>
  <c r="A4"/>
  <c r="A20"/>
  <c r="A17"/>
  <c r="A16"/>
  <c r="O12" i="20"/>
  <c r="A32" i="7"/>
  <c r="A36"/>
  <c r="B27"/>
  <c r="B29"/>
  <c r="B31"/>
  <c r="B33"/>
  <c r="B35"/>
  <c r="B37"/>
  <c r="B22"/>
  <c r="A34"/>
  <c r="B25"/>
  <c r="B28"/>
  <c r="B30"/>
  <c r="B32"/>
  <c r="B34"/>
  <c r="B36"/>
  <c r="B17"/>
  <c r="B18"/>
  <c r="B19"/>
  <c r="B20"/>
  <c r="B21"/>
  <c r="M10" i="20"/>
  <c r="L13"/>
  <c r="O27"/>
  <c r="N50"/>
  <c r="A37" i="7"/>
  <c r="A33"/>
  <c r="A29"/>
  <c r="A25"/>
  <c r="A18"/>
  <c r="A30"/>
  <c r="A26"/>
  <c r="A22"/>
  <c r="A19"/>
  <c r="B5"/>
  <c r="A24"/>
  <c r="I19" i="6" l="1"/>
  <c r="I20" s="1"/>
  <c r="N19" i="25"/>
  <c r="B23" i="7"/>
  <c r="B23" i="19"/>
  <c r="B15"/>
  <c r="H20" i="4"/>
  <c r="H21" s="1"/>
  <c r="L19" i="25"/>
  <c r="M11" i="20"/>
  <c r="L50"/>
  <c r="M13"/>
  <c r="M22"/>
  <c r="O22"/>
  <c r="M25"/>
  <c r="O25"/>
  <c r="M17"/>
  <c r="O17"/>
  <c r="O23"/>
  <c r="M23"/>
  <c r="O28"/>
  <c r="M28"/>
  <c r="O18"/>
  <c r="M18"/>
  <c r="O14"/>
  <c r="M14"/>
  <c r="O26"/>
  <c r="M26"/>
  <c r="M20"/>
  <c r="O20"/>
  <c r="M19"/>
  <c r="O19"/>
  <c r="M15"/>
  <c r="O15"/>
  <c r="O21"/>
  <c r="M21"/>
  <c r="O24"/>
  <c r="M24"/>
  <c r="O16"/>
  <c r="M16"/>
  <c r="O9"/>
  <c r="M9"/>
  <c r="K50"/>
  <c r="B15" i="7"/>
  <c r="M12" i="20"/>
  <c r="O11"/>
  <c r="O13"/>
  <c r="I50"/>
  <c r="L20" i="25" l="1"/>
  <c r="I21" i="6"/>
  <c r="I22" s="1"/>
  <c r="H20"/>
  <c r="H21" s="1"/>
  <c r="N20" i="25"/>
  <c r="I21" i="4"/>
  <c r="I22" s="1"/>
  <c r="O50" i="20"/>
  <c r="M50"/>
  <c r="H22" i="6" l="1"/>
  <c r="H23" s="1"/>
  <c r="H22" i="4"/>
  <c r="H23" s="1"/>
  <c r="I23" i="6" l="1"/>
  <c r="I24" s="1"/>
  <c r="I23" i="4"/>
  <c r="I24" s="1"/>
  <c r="H24" i="6" l="1"/>
  <c r="H25" s="1"/>
  <c r="I25"/>
  <c r="I26" s="1"/>
  <c r="H24" i="4"/>
  <c r="H25" s="1"/>
  <c r="H26" i="6" l="1"/>
  <c r="H27" s="1"/>
  <c r="I25" i="4"/>
  <c r="I26" s="1"/>
  <c r="I27" i="6" l="1"/>
  <c r="I28" s="1"/>
  <c r="H26" i="4"/>
  <c r="H27" s="1"/>
  <c r="H28" i="6" l="1"/>
  <c r="H29" s="1"/>
  <c r="I27" i="4"/>
  <c r="I28" s="1"/>
  <c r="I29" i="6" l="1"/>
  <c r="I30" s="1"/>
  <c r="H28" i="4"/>
  <c r="H29" s="1"/>
  <c r="A28" i="23"/>
  <c r="I29" i="4" l="1"/>
  <c r="I30" s="1"/>
  <c r="H30" i="6"/>
  <c r="H31" s="1"/>
  <c r="I31" l="1"/>
  <c r="I32" s="1"/>
  <c r="H30" i="4"/>
  <c r="H31" s="1"/>
  <c r="H32" i="6" l="1"/>
  <c r="H33" s="1"/>
  <c r="I31" i="4"/>
  <c r="I32" s="1"/>
  <c r="I33" i="6"/>
  <c r="I34" s="1"/>
  <c r="H32" i="4" l="1"/>
  <c r="H33" s="1"/>
  <c r="H34" i="6"/>
  <c r="H35" s="1"/>
  <c r="I33" i="4" l="1"/>
  <c r="I34" s="1"/>
  <c r="I35" i="6"/>
  <c r="I36" s="1"/>
  <c r="H34" i="4" l="1"/>
  <c r="H35" s="1"/>
  <c r="H36" i="6"/>
  <c r="H37" s="1"/>
  <c r="I35" i="4" l="1"/>
  <c r="I36" s="1"/>
  <c r="I37" i="6"/>
  <c r="I38" s="1"/>
  <c r="H36" i="4" l="1"/>
  <c r="H37" s="1"/>
  <c r="H38" i="6"/>
  <c r="H39" s="1"/>
  <c r="I39" l="1"/>
  <c r="I40" s="1"/>
  <c r="I37" i="4"/>
  <c r="I38" s="1"/>
  <c r="H40" i="6"/>
  <c r="H41" s="1"/>
  <c r="H38" i="4" l="1"/>
  <c r="H39" s="1"/>
  <c r="I41" i="6"/>
  <c r="I42" s="1"/>
  <c r="I39" i="4" l="1"/>
  <c r="I40" s="1"/>
  <c r="H42" i="6"/>
  <c r="H43" s="1"/>
  <c r="H40" i="4" l="1"/>
  <c r="H41" s="1"/>
  <c r="I43" i="6"/>
  <c r="I44" s="1"/>
  <c r="H44" l="1"/>
  <c r="H45" s="1"/>
  <c r="I41" i="4"/>
  <c r="I42" s="1"/>
  <c r="I45" i="6" l="1"/>
  <c r="I46" s="1"/>
  <c r="H42" i="4"/>
  <c r="H43" s="1"/>
  <c r="H46" i="6" l="1"/>
  <c r="H47" s="1"/>
  <c r="I43" i="4"/>
  <c r="I44" s="1"/>
  <c r="I47" i="6" l="1"/>
  <c r="I48" s="1"/>
  <c r="H44" i="4"/>
  <c r="H45" s="1"/>
  <c r="H48" i="6" l="1"/>
  <c r="H49" s="1"/>
  <c r="I45" i="4"/>
  <c r="I46" s="1"/>
  <c r="I49" i="6" l="1"/>
  <c r="I50" s="1"/>
  <c r="H46" i="4"/>
  <c r="H47" s="1"/>
  <c r="H50" i="6" l="1"/>
  <c r="H51" s="1"/>
  <c r="I51"/>
  <c r="I47" i="4"/>
  <c r="I48" s="1"/>
  <c r="I52" i="6" l="1"/>
  <c r="H52"/>
  <c r="H48" i="4"/>
  <c r="H49" s="1"/>
  <c r="I53" i="6" l="1"/>
  <c r="H53"/>
  <c r="H54" s="1"/>
  <c r="I49" i="4"/>
  <c r="I50" s="1"/>
  <c r="I54" i="6" l="1"/>
  <c r="I55" s="1"/>
  <c r="H50" i="4"/>
  <c r="H51" s="1"/>
  <c r="H55" i="6" l="1"/>
  <c r="I51" i="4"/>
  <c r="I52" s="1"/>
  <c r="I56" i="6" l="1"/>
  <c r="I57" s="1"/>
  <c r="H56"/>
  <c r="H52" i="4"/>
  <c r="H53" s="1"/>
  <c r="H57" i="6" l="1"/>
  <c r="H58" s="1"/>
  <c r="I53" i="4"/>
  <c r="I54" s="1"/>
  <c r="I58" i="6" l="1"/>
  <c r="I59" s="1"/>
  <c r="I60" s="1"/>
  <c r="I61" s="1"/>
  <c r="H59"/>
  <c r="H60" s="1"/>
  <c r="H54" i="4"/>
  <c r="H55" s="1"/>
  <c r="H61" i="6" l="1"/>
  <c r="H62" s="1"/>
  <c r="I55" i="4"/>
  <c r="I56" s="1"/>
  <c r="I62" i="6" l="1"/>
  <c r="I63" s="1"/>
  <c r="H56" i="4"/>
  <c r="H57" s="1"/>
  <c r="H63" i="6" l="1"/>
  <c r="H64" s="1"/>
  <c r="I57" i="4"/>
  <c r="I58" s="1"/>
  <c r="I64" i="6" l="1"/>
  <c r="I65" s="1"/>
  <c r="H58" i="4"/>
  <c r="H59" s="1"/>
  <c r="H65" i="6" l="1"/>
  <c r="H66" s="1"/>
  <c r="I59" i="4"/>
  <c r="I60" s="1"/>
  <c r="I66" i="6" l="1"/>
  <c r="I67" s="1"/>
  <c r="H60" i="4"/>
  <c r="H61" s="1"/>
  <c r="H67" i="6" l="1"/>
  <c r="H68" s="1"/>
  <c r="I61" i="4"/>
  <c r="I62" s="1"/>
  <c r="H69" i="6" l="1"/>
  <c r="H70" s="1"/>
  <c r="I68"/>
  <c r="I69" s="1"/>
  <c r="H62" i="4"/>
  <c r="H63" s="1"/>
  <c r="I70" i="6" l="1"/>
  <c r="I71" s="1"/>
  <c r="I63" i="4"/>
  <c r="I64" s="1"/>
  <c r="H71" i="6" l="1"/>
  <c r="H72" s="1"/>
  <c r="H64" i="4"/>
  <c r="H65" s="1"/>
  <c r="I72" i="6" l="1"/>
  <c r="I73" s="1"/>
  <c r="I65" i="4"/>
  <c r="I66" s="1"/>
  <c r="H73" i="6" l="1"/>
  <c r="H74" s="1"/>
  <c r="H66" i="4"/>
  <c r="H67" s="1"/>
  <c r="I74" i="6" l="1"/>
  <c r="I75" s="1"/>
  <c r="I67" i="4"/>
  <c r="I68" s="1"/>
  <c r="H75" i="6" l="1"/>
  <c r="H68" i="4"/>
  <c r="H69" s="1"/>
  <c r="H76" i="6" l="1"/>
  <c r="I76"/>
  <c r="I69" i="4"/>
  <c r="I70" s="1"/>
  <c r="I77" i="6" l="1"/>
  <c r="H77"/>
  <c r="H70" i="4"/>
  <c r="H71" s="1"/>
  <c r="H78" i="6" l="1"/>
  <c r="I78"/>
  <c r="H72" i="4"/>
  <c r="H73" s="1"/>
  <c r="I71"/>
  <c r="I72" s="1"/>
  <c r="I79" i="6" l="1"/>
  <c r="H79"/>
  <c r="I73" i="4"/>
  <c r="H80" i="6" l="1"/>
  <c r="I80"/>
  <c r="H74" i="4"/>
  <c r="I74"/>
  <c r="I81" i="6" l="1"/>
  <c r="H81"/>
  <c r="I75" i="4"/>
  <c r="I76" s="1"/>
  <c r="H75"/>
  <c r="H82" i="6" l="1"/>
  <c r="I82"/>
  <c r="I77" i="4"/>
  <c r="I78" s="1"/>
  <c r="H76"/>
  <c r="H77" s="1"/>
  <c r="I83" i="6" l="1"/>
  <c r="H83"/>
  <c r="I79" i="4"/>
  <c r="H78"/>
  <c r="H79"/>
  <c r="I84" i="6" l="1"/>
  <c r="B14" i="19"/>
  <c r="B13" s="1"/>
  <c r="B42" s="1"/>
  <c r="B43" s="1"/>
  <c r="H84" i="6"/>
  <c r="H85" s="1"/>
  <c r="H80" i="4"/>
  <c r="I80"/>
  <c r="I85" i="6" l="1"/>
  <c r="I86" s="1"/>
  <c r="I81" i="4"/>
  <c r="H81"/>
  <c r="B14" i="7" s="1"/>
  <c r="B13" s="1"/>
  <c r="B38" s="1"/>
  <c r="B39" s="1"/>
  <c r="H86" i="6" l="1"/>
  <c r="H87" s="1"/>
  <c r="I82" i="4"/>
  <c r="H82"/>
  <c r="I87" i="6" l="1"/>
  <c r="H88" s="1"/>
  <c r="H83" i="4"/>
  <c r="H84" s="1"/>
  <c r="I83"/>
  <c r="I88" i="6" l="1"/>
  <c r="I89" s="1"/>
  <c r="I84" i="4"/>
  <c r="H85" s="1"/>
  <c r="H89" i="6" l="1"/>
  <c r="H90" s="1"/>
  <c r="I85" i="4"/>
  <c r="I86" s="1"/>
  <c r="H91" i="6" l="1"/>
  <c r="I92" s="1"/>
  <c r="I90"/>
  <c r="I91" s="1"/>
  <c r="H86" i="4"/>
  <c r="H87" s="1"/>
  <c r="H92" i="6" l="1"/>
  <c r="H93" s="1"/>
  <c r="I87" i="4"/>
  <c r="I88" s="1"/>
  <c r="H94" i="6" l="1"/>
  <c r="H95" s="1"/>
  <c r="I93"/>
  <c r="I94" s="1"/>
  <c r="H88" i="4"/>
  <c r="H89" s="1"/>
  <c r="H96" i="6" l="1"/>
  <c r="H97" s="1"/>
  <c r="I95"/>
  <c r="I96" s="1"/>
  <c r="I89" i="4"/>
  <c r="I90" s="1"/>
  <c r="I97" i="6" l="1"/>
  <c r="I98" s="1"/>
  <c r="H90" i="4"/>
  <c r="H91" s="1"/>
  <c r="H98" i="6" l="1"/>
  <c r="I91" i="4"/>
  <c r="I92" s="1"/>
  <c r="H92" l="1"/>
  <c r="H93" s="1"/>
  <c r="I93" l="1"/>
  <c r="I94" s="1"/>
  <c r="H94" l="1"/>
  <c r="H95" s="1"/>
  <c r="I95" l="1"/>
  <c r="I96" s="1"/>
  <c r="H96" l="1"/>
  <c r="H97" s="1"/>
  <c r="I97" l="1"/>
  <c r="I98" s="1"/>
  <c r="H98" l="1"/>
  <c r="H99" s="1"/>
  <c r="I99" l="1"/>
  <c r="I100" s="1"/>
  <c r="H100" l="1"/>
  <c r="H101" l="1"/>
  <c r="I101"/>
  <c r="H102" l="1"/>
  <c r="I102"/>
  <c r="I103" l="1"/>
  <c r="H103"/>
  <c r="I104" l="1"/>
  <c r="H104"/>
  <c r="H105" l="1"/>
  <c r="I105"/>
  <c r="I106" l="1"/>
  <c r="H106"/>
  <c r="I116" i="6"/>
  <c r="H107" i="4" l="1"/>
  <c r="I107"/>
  <c r="H116" i="6"/>
  <c r="H117" s="1"/>
  <c r="I117" l="1"/>
  <c r="I118" s="1"/>
  <c r="I108" i="4"/>
  <c r="H108"/>
  <c r="H118" i="6" l="1"/>
  <c r="H119" s="1"/>
  <c r="H109" i="4"/>
  <c r="I109"/>
  <c r="I119" i="6" l="1"/>
  <c r="I120" s="1"/>
  <c r="I110" i="4"/>
  <c r="H110"/>
  <c r="H120" i="6" l="1"/>
  <c r="H121" s="1"/>
  <c r="H111" i="4"/>
  <c r="I111"/>
  <c r="I121" i="6" l="1"/>
  <c r="I122" s="1"/>
  <c r="H112" i="4"/>
  <c r="I112"/>
  <c r="H122" i="6" l="1"/>
  <c r="H123" s="1"/>
  <c r="H113" i="4"/>
  <c r="I113"/>
  <c r="I123" i="6" l="1"/>
  <c r="I124" s="1"/>
  <c r="H114" i="4"/>
  <c r="I114"/>
  <c r="H124" i="6" l="1"/>
  <c r="I125" s="1"/>
  <c r="H115" i="4"/>
  <c r="I115"/>
  <c r="H125" i="6" l="1"/>
  <c r="I126" s="1"/>
  <c r="H116" i="4"/>
  <c r="I116"/>
  <c r="H126" i="6" l="1"/>
  <c r="H127" s="1"/>
  <c r="H117" i="4"/>
  <c r="I117"/>
  <c r="I127" i="6" l="1"/>
  <c r="I128" s="1"/>
  <c r="I118" i="4"/>
  <c r="H118"/>
  <c r="H128" i="6" l="1"/>
  <c r="H129" s="1"/>
  <c r="H119" i="4"/>
  <c r="I119"/>
  <c r="I129" i="6" l="1"/>
  <c r="I130" s="1"/>
  <c r="I120" i="4"/>
  <c r="H120"/>
  <c r="H130" i="6" l="1"/>
  <c r="I131" s="1"/>
  <c r="I121" i="4"/>
  <c r="H121"/>
  <c r="H131" i="6" l="1"/>
  <c r="H132" s="1"/>
  <c r="H122" i="4"/>
  <c r="I122"/>
  <c r="I132" i="6" l="1"/>
  <c r="I133" s="1"/>
  <c r="I123" i="4"/>
  <c r="H123"/>
  <c r="H133" i="6" l="1"/>
  <c r="H134" s="1"/>
  <c r="H124" i="4"/>
  <c r="I124"/>
  <c r="I134" i="6" l="1"/>
  <c r="I135" s="1"/>
  <c r="I125" i="4"/>
  <c r="H125"/>
  <c r="H135" i="6" l="1"/>
  <c r="H136" s="1"/>
  <c r="I126" i="4"/>
  <c r="H126"/>
  <c r="I136" i="6" l="1"/>
  <c r="I137" s="1"/>
  <c r="H127" i="4"/>
  <c r="I127"/>
  <c r="H137" i="6" l="1"/>
  <c r="H138" s="1"/>
  <c r="I128" i="4"/>
  <c r="H128"/>
  <c r="I138" i="6" l="1"/>
  <c r="H129" i="4"/>
  <c r="I129"/>
  <c r="I130" l="1"/>
  <c r="H130"/>
  <c r="H131" l="1"/>
  <c r="I131"/>
  <c r="I132" l="1"/>
  <c r="H132"/>
  <c r="H133" l="1"/>
  <c r="I133"/>
  <c r="I134" l="1"/>
  <c r="H134"/>
  <c r="H135" l="1"/>
  <c r="I135"/>
  <c r="I136" l="1"/>
  <c r="H136"/>
  <c r="H137" l="1"/>
  <c r="I137"/>
  <c r="I138" l="1"/>
  <c r="H138"/>
  <c r="H139" l="1"/>
  <c r="I139"/>
  <c r="I140" l="1"/>
  <c r="H140"/>
  <c r="H141" l="1"/>
  <c r="I141"/>
  <c r="I142" l="1"/>
  <c r="H142"/>
  <c r="H143" l="1"/>
  <c r="I143"/>
  <c r="I144" l="1"/>
  <c r="H144"/>
  <c r="H145" l="1"/>
  <c r="I145"/>
  <c r="I146" l="1"/>
  <c r="H146"/>
  <c r="H147" l="1"/>
  <c r="I147"/>
  <c r="I148" l="1"/>
  <c r="H148"/>
  <c r="H149" l="1"/>
  <c r="I149"/>
  <c r="I150" l="1"/>
  <c r="H150"/>
  <c r="H151" l="1"/>
  <c r="I151"/>
  <c r="I152" l="1"/>
  <c r="H152"/>
  <c r="H153" l="1"/>
  <c r="I153"/>
  <c r="I154" l="1"/>
  <c r="H154"/>
  <c r="H155" l="1"/>
  <c r="I155"/>
  <c r="I156" l="1"/>
  <c r="H156"/>
  <c r="H157" l="1"/>
  <c r="I157"/>
  <c r="I158" l="1"/>
  <c r="H158"/>
  <c r="H159" l="1"/>
  <c r="I159"/>
  <c r="I160" l="1"/>
  <c r="H160"/>
  <c r="H161" l="1"/>
  <c r="I161"/>
  <c r="I162" l="1"/>
  <c r="H162"/>
  <c r="H163" s="1"/>
  <c r="I163" l="1"/>
  <c r="I164" s="1"/>
  <c r="H164" l="1"/>
  <c r="H165" s="1"/>
  <c r="I165" l="1"/>
  <c r="I166" s="1"/>
  <c r="H166" l="1"/>
  <c r="H167" s="1"/>
  <c r="I167" l="1"/>
  <c r="I168" s="1"/>
  <c r="H168" l="1"/>
  <c r="H169" s="1"/>
  <c r="I169" l="1"/>
  <c r="I170" s="1"/>
  <c r="H170" l="1"/>
  <c r="H171" s="1"/>
  <c r="I171" l="1"/>
  <c r="I172" s="1"/>
  <c r="H172" l="1"/>
  <c r="H173" s="1"/>
  <c r="H174" l="1"/>
  <c r="I175" s="1"/>
  <c r="I173"/>
  <c r="I174" s="1"/>
  <c r="H175" l="1"/>
  <c r="I176" s="1"/>
  <c r="H176" l="1"/>
  <c r="H177" s="1"/>
  <c r="I177" l="1"/>
  <c r="I178" s="1"/>
  <c r="H178" l="1"/>
  <c r="H179" s="1"/>
  <c r="I179" l="1"/>
  <c r="I180" s="1"/>
  <c r="H180" l="1"/>
  <c r="H181" s="1"/>
  <c r="I181" l="1"/>
  <c r="I182" s="1"/>
  <c r="H182" l="1"/>
  <c r="H183" s="1"/>
  <c r="I183" l="1"/>
  <c r="I184" s="1"/>
  <c r="H184" l="1"/>
  <c r="H185" s="1"/>
  <c r="I185" l="1"/>
  <c r="I186" s="1"/>
  <c r="H186" l="1"/>
  <c r="H187" s="1"/>
  <c r="I187" l="1"/>
  <c r="I188" s="1"/>
  <c r="H188" l="1"/>
  <c r="H189" s="1"/>
  <c r="I189" l="1"/>
  <c r="I190" s="1"/>
  <c r="H190" l="1"/>
  <c r="H191" s="1"/>
  <c r="I191" l="1"/>
  <c r="I192" s="1"/>
  <c r="H192" l="1"/>
  <c r="H193" s="1"/>
  <c r="I193" l="1"/>
  <c r="I194" s="1"/>
  <c r="H194" l="1"/>
  <c r="H195" s="1"/>
  <c r="I195" l="1"/>
  <c r="I196" s="1"/>
  <c r="H196" l="1"/>
  <c r="H197" s="1"/>
  <c r="I197" l="1"/>
  <c r="I198" s="1"/>
  <c r="H198" l="1"/>
  <c r="H199" s="1"/>
  <c r="I199" l="1"/>
  <c r="I200" s="1"/>
  <c r="H200" l="1"/>
  <c r="H201" s="1"/>
  <c r="I201" l="1"/>
  <c r="I202" s="1"/>
  <c r="H202" l="1"/>
  <c r="I52" i="20" l="1"/>
  <c r="I54" s="1"/>
  <c r="K52"/>
  <c r="K54" s="1"/>
</calcChain>
</file>

<file path=xl/sharedStrings.xml><?xml version="1.0" encoding="utf-8"?>
<sst xmlns="http://schemas.openxmlformats.org/spreadsheetml/2006/main" count="1389" uniqueCount="379">
  <si>
    <t>Đơn vị: CÔNG TY TNHH HẢI SẢN AN LẠC</t>
  </si>
  <si>
    <t>Địa chỉ: Lô A14, Đường 4A, KCN Hải Sơn, Đức Hòa, Long An</t>
  </si>
  <si>
    <t>SỔ CHI TIẾT CÁC TÀI KHOẢN</t>
  </si>
  <si>
    <t>(Dùng cho các TK 136.138.141.142.144.221.222.223.242.333.334.335.336.338.344.411.421.431.441…)</t>
  </si>
  <si>
    <t>Tên, quy cách nhãn hiệu, vật liệu, công cụ, dụng cụ (sản phẩm, hàng hóa):………………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</si>
  <si>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</si>
  <si>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</si>
  <si>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</si>
  <si>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</si>
  <si>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</si>
  <si>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</si>
  <si>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</si>
  <si>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</si>
  <si>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</si>
  <si>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</si>
  <si>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</si>
  <si>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</si>
  <si>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</si>
  <si>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</si>
  <si>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</si>
  <si>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</si>
  <si>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</si>
  <si>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 trong kỳ</t>
  </si>
  <si>
    <t>x</t>
  </si>
  <si>
    <t>- Số dư cuối kỳ</t>
  </si>
  <si>
    <t>Người ghi sổ</t>
  </si>
  <si>
    <t>Kế toán trưởng</t>
  </si>
  <si>
    <t>(Ký, họ tên)</t>
  </si>
  <si>
    <t>- Tài khoản: 141</t>
  </si>
  <si>
    <t>Lê Thị Thiện Em</t>
  </si>
  <si>
    <t>Trần Văn An</t>
  </si>
  <si>
    <t>Nguyễn Thanh Bình</t>
  </si>
  <si>
    <t>Nguyễn Văn Hạnh</t>
  </si>
  <si>
    <t>Trương Quốc Tuấn</t>
  </si>
  <si>
    <t>Lê Thị Kim Liên</t>
  </si>
  <si>
    <t>Lê Văn Thành</t>
  </si>
  <si>
    <t>Nguyễn Văn Lắm</t>
  </si>
  <si>
    <t>Phạm Thị Chính</t>
  </si>
  <si>
    <t>Trần Thị Lang</t>
  </si>
  <si>
    <t>Lê Thị Kim Thanh</t>
  </si>
  <si>
    <t>Nguyễn Thị Mộng Tuyền</t>
  </si>
  <si>
    <t>Đỗ Thị Hoàng Mai</t>
  </si>
  <si>
    <t>331</t>
  </si>
  <si>
    <t>Đối tượng: Nguyễn Văn Bé Hai</t>
  </si>
  <si>
    <t>Tạm ứng mua NL</t>
  </si>
  <si>
    <t>111</t>
  </si>
  <si>
    <t>Nguyễn Thị Tuyết Đang</t>
  </si>
  <si>
    <t>Nguyễn Văn Tha</t>
  </si>
  <si>
    <t>- Sổ này có …04…..trang, đánh số từ trang 01 đến trang 04.</t>
  </si>
  <si>
    <t>Lý Thị Thảo</t>
  </si>
  <si>
    <t>Nguyễn Văn Phong</t>
  </si>
  <si>
    <t>Trần Thị Thu Hiếu</t>
  </si>
  <si>
    <t>Nguyễn Văn Hải</t>
  </si>
  <si>
    <t>Vũ Thị Lan</t>
  </si>
  <si>
    <t>C13</t>
  </si>
  <si>
    <t>C25</t>
  </si>
  <si>
    <t>C35</t>
  </si>
  <si>
    <t>C09</t>
  </si>
  <si>
    <t>C29</t>
  </si>
  <si>
    <t>C14</t>
  </si>
  <si>
    <t>C28</t>
  </si>
  <si>
    <t>C16</t>
  </si>
  <si>
    <t>C20</t>
  </si>
  <si>
    <t>C24</t>
  </si>
  <si>
    <t>C26</t>
  </si>
  <si>
    <t>C07</t>
  </si>
  <si>
    <t>C19</t>
  </si>
  <si>
    <t>C31</t>
  </si>
  <si>
    <t>C34</t>
  </si>
  <si>
    <t>C41</t>
  </si>
  <si>
    <t>C40</t>
  </si>
  <si>
    <t>TU01</t>
  </si>
  <si>
    <t>TU02</t>
  </si>
  <si>
    <t>TU03</t>
  </si>
  <si>
    <t>TU04</t>
  </si>
  <si>
    <t>Đối tượng: Thạch Tiền</t>
  </si>
  <si>
    <t>GIẤY THANH TOÁN TIỀN TẠM ỨNG</t>
  </si>
  <si>
    <t>Nợ: 331</t>
  </si>
  <si>
    <t>Có:  141</t>
  </si>
  <si>
    <t>- Họ và tên người thanh toán: Nguyễn Văn Bé Hai</t>
  </si>
  <si>
    <t>- Bộ phận (hoặc địa chỉ): Tiếp nhận - thu mua NL</t>
  </si>
  <si>
    <t>- Số tiền tạm ứng được thanh toán theo bảng dưới đây:</t>
  </si>
  <si>
    <t>Số tiền</t>
  </si>
  <si>
    <t>1</t>
  </si>
  <si>
    <t>I- Số tiền tạm ứng</t>
  </si>
  <si>
    <t>1         Số tạm ứng các kỳ trước chưa chi hết</t>
  </si>
  <si>
    <t>2         Số tạm ứng kỳ này:</t>
  </si>
  <si>
    <t>II- Số tiền đã chi</t>
  </si>
  <si>
    <t>III- Chênh lệch</t>
  </si>
  <si>
    <t>5         Số tạm ứng chi không hết (I – II)</t>
  </si>
  <si>
    <t>6         Chi quá số tạm ứng (II – I)</t>
  </si>
  <si>
    <t>Giám đốc                         Kế toán trưởng                   Kế toán thanh toán</t>
  </si>
  <si>
    <t>Người đề nghị thanh toán</t>
  </si>
  <si>
    <t xml:space="preserve">          (Ký, họ tên)                           (Ký, họ tên)                              (Ký, họ tên)            </t>
  </si>
  <si>
    <t>- Họ và tên người thanh toán: Thạch Tiền</t>
  </si>
  <si>
    <t xml:space="preserve">              (Ký, họ tên)                           (Ký, họ tên)                              (Ký, họ tên)            </t>
  </si>
  <si>
    <t>Lê Thị Diệu</t>
  </si>
  <si>
    <t>Nguyễn Thị Hội</t>
  </si>
  <si>
    <t>Nguyễn Văn Nhân</t>
  </si>
  <si>
    <t>Nguyễn Thành Phong</t>
  </si>
  <si>
    <t>Nguyễn Thị Hồng Hoa</t>
  </si>
  <si>
    <t>Lâm Thị Loan</t>
  </si>
  <si>
    <t>Võ Thị Huyền</t>
  </si>
  <si>
    <t>Nguyễn Thị Bé Hai</t>
  </si>
  <si>
    <t>C32</t>
  </si>
  <si>
    <t>Võ Văn Thắng</t>
  </si>
  <si>
    <t>Tháng</t>
  </si>
  <si>
    <t>TỔNG HỢP TÀI KHOẢN 341 - 2015</t>
  </si>
  <si>
    <t>STT</t>
  </si>
  <si>
    <t>KHẾ ƯỚC VAY</t>
  </si>
  <si>
    <t>ĐẦU KỲ</t>
  </si>
  <si>
    <t>PHÁT SINH</t>
  </si>
  <si>
    <t>SỐ DƯ CUỐI KỲ</t>
  </si>
  <si>
    <t>NỢ</t>
  </si>
  <si>
    <t>CÓ</t>
  </si>
  <si>
    <t>Ngoại tệ</t>
  </si>
  <si>
    <t>Quy ra VNĐ</t>
  </si>
  <si>
    <t xml:space="preserve">KU 1015LDS201000102 </t>
  </si>
  <si>
    <t>KU 1015LDS201100376</t>
  </si>
  <si>
    <t>KU 1015LDS201100377</t>
  </si>
  <si>
    <t xml:space="preserve">KU 1015LDS201100378 </t>
  </si>
  <si>
    <t>KU 1015LDS201401292</t>
  </si>
  <si>
    <t>KU 1015LDS201401534</t>
  </si>
  <si>
    <t>KU 1015LDS201401631</t>
  </si>
  <si>
    <t>KU 1015LDS201401746</t>
  </si>
  <si>
    <t>KU 1015LDS201401772</t>
  </si>
  <si>
    <t>KU 1015LDS201401879</t>
  </si>
  <si>
    <t>KU 1015LDS201402000</t>
  </si>
  <si>
    <t>KU 1015LDS201402368</t>
  </si>
  <si>
    <t>KU 1015LDS201402775</t>
  </si>
  <si>
    <t>KU 1015LDS201402807</t>
  </si>
  <si>
    <t>KU 1015LDS201402868</t>
  </si>
  <si>
    <t>KU 1015LDS201500010</t>
  </si>
  <si>
    <t>KU 1015LDS201500118</t>
  </si>
  <si>
    <t>KU 1015LDS201500488</t>
  </si>
  <si>
    <t>TỔNG CỘNG</t>
  </si>
  <si>
    <t>SỔ THEO DÕI THANH TOÁN BẰNG NGOẠI TỆ</t>
  </si>
  <si>
    <t>(Dùng cho TK: 138, 141, 244, 334, 338, 341)</t>
  </si>
  <si>
    <t>Loại ngoại tệ: USD</t>
  </si>
  <si>
    <t>Tỷ giá hối đoái</t>
  </si>
  <si>
    <t>Quy ra VND</t>
  </si>
  <si>
    <t>- Cộng số phát sinh</t>
  </si>
  <si>
    <t>- Sổ này có …1..trang, đánh số từ trang 01 đến trang ..01</t>
  </si>
  <si>
    <t>Ngày   31   tháng    12    năm   2015</t>
  </si>
  <si>
    <t>Tài khoản: 3411</t>
  </si>
  <si>
    <t>GBN</t>
  </si>
  <si>
    <t>Tất toán KU 1015LDS201401292</t>
  </si>
  <si>
    <t>1122</t>
  </si>
  <si>
    <t>CTGS</t>
  </si>
  <si>
    <t>Chênh lệch tỷ giá vay NH</t>
  </si>
  <si>
    <t>635</t>
  </si>
  <si>
    <t>- Ngày mở sổ: 02/01/2015</t>
  </si>
  <si>
    <t>Tất toán KU 1015LDS201401631</t>
  </si>
  <si>
    <t>Tất toán KU 1015LDS201401746</t>
  </si>
  <si>
    <t>Tất toán KU 1015LDS201401772</t>
  </si>
  <si>
    <t>Tất toán KU 1015LDS201401879</t>
  </si>
  <si>
    <t>GBC</t>
  </si>
  <si>
    <t>Vay KU 1015LDS201500010</t>
  </si>
  <si>
    <t>Vay KU 1015LDS201500118</t>
  </si>
  <si>
    <t>Vay KU 1015LDS201500488</t>
  </si>
  <si>
    <t>Tất toán KU 1402LDS201401704</t>
  </si>
  <si>
    <t>Vay KU 1402LDS201500635</t>
  </si>
  <si>
    <t>1121</t>
  </si>
  <si>
    <t>Vay KU 1015LDS201500437</t>
  </si>
  <si>
    <t>KU 1015LDS201500437</t>
  </si>
  <si>
    <t>Mẫu số S38-DN</t>
  </si>
  <si>
    <t>(Ban hành theo Thông tư số 200/2014/TT-BTC 
 Ngày 22/12/2014 của Bộ Tài chính)</t>
  </si>
  <si>
    <t>Ngày    31      tháng     12      năm      2015</t>
  </si>
  <si>
    <t>N05</t>
  </si>
  <si>
    <t>N06</t>
  </si>
  <si>
    <t>N23</t>
  </si>
  <si>
    <t>N07 &amp; N23</t>
  </si>
  <si>
    <t>N12 &amp; N24</t>
  </si>
  <si>
    <t>N13</t>
  </si>
  <si>
    <t>N14</t>
  </si>
  <si>
    <t>N01</t>
  </si>
  <si>
    <t>N02</t>
  </si>
  <si>
    <t>N19</t>
  </si>
  <si>
    <t>N03 &amp; N19</t>
  </si>
  <si>
    <t>N20</t>
  </si>
  <si>
    <t>N08</t>
  </si>
  <si>
    <t>N09</t>
  </si>
  <si>
    <t>N10</t>
  </si>
  <si>
    <t>N11</t>
  </si>
  <si>
    <t>N15</t>
  </si>
  <si>
    <t>N16</t>
  </si>
  <si>
    <t>N18</t>
  </si>
  <si>
    <t>N04 &amp; N20</t>
  </si>
  <si>
    <t>N21</t>
  </si>
  <si>
    <t>N22</t>
  </si>
  <si>
    <t>N17 &amp; N25</t>
  </si>
  <si>
    <t>N26</t>
  </si>
  <si>
    <t>N18 &amp; N26</t>
  </si>
  <si>
    <t>N27</t>
  </si>
  <si>
    <t>N28</t>
  </si>
  <si>
    <t>N12 &amp; N37</t>
  </si>
  <si>
    <t>N13 &amp; N38</t>
  </si>
  <si>
    <t>N35</t>
  </si>
  <si>
    <t>N36</t>
  </si>
  <si>
    <t>N31</t>
  </si>
  <si>
    <t>N32</t>
  </si>
  <si>
    <t>N33</t>
  </si>
  <si>
    <t>N34</t>
  </si>
  <si>
    <t>N09 &amp; N39</t>
  </si>
  <si>
    <t>N10 &amp; N40</t>
  </si>
  <si>
    <t>N11 &amp; N28 &amp; N41</t>
  </si>
  <si>
    <t>N16 &amp; N29</t>
  </si>
  <si>
    <t>N17 &amp; N30</t>
  </si>
  <si>
    <t>N24 &amp; N02 &amp; N06</t>
  </si>
  <si>
    <t>N25 &amp; N03 &amp; N07</t>
  </si>
  <si>
    <t>N27 &amp; N04</t>
  </si>
  <si>
    <t>N01 &amp; N05</t>
  </si>
  <si>
    <t>N04</t>
  </si>
  <si>
    <t>Nguyễn Đức Tiến</t>
  </si>
  <si>
    <t>Nguyễn Thanh Vân</t>
  </si>
  <si>
    <t>Nguyễn Thanh Vinh</t>
  </si>
  <si>
    <t>Phạm Thị Ngọc</t>
  </si>
  <si>
    <t>Võ Thị Bảy</t>
  </si>
  <si>
    <t>Võ Văn Bá</t>
  </si>
  <si>
    <t>C03</t>
  </si>
  <si>
    <t>C12</t>
  </si>
  <si>
    <t>C04</t>
  </si>
  <si>
    <t>C10</t>
  </si>
  <si>
    <t>N06 &amp; N18</t>
  </si>
  <si>
    <t>N09 &amp; N12</t>
  </si>
  <si>
    <t>N17</t>
  </si>
  <si>
    <t>N03 &amp; N14</t>
  </si>
  <si>
    <t>N07 &amp; N13</t>
  </si>
  <si>
    <t>N02 &amp; N08</t>
  </si>
  <si>
    <t>Trả 1 phần gốc KU 1015LDS201402000</t>
  </si>
  <si>
    <t>Tất toán KU 1015LDS201402000</t>
  </si>
  <si>
    <t>Vay KU 1015LDS201500719</t>
  </si>
  <si>
    <t>KU 1015LDS201500719</t>
  </si>
  <si>
    <t>Ngày vay</t>
  </si>
  <si>
    <t>KU 1402LDS201401704</t>
  </si>
  <si>
    <t>KU 1402LDS201402734</t>
  </si>
  <si>
    <t>KU 1402LDS201403120</t>
  </si>
  <si>
    <t>KU 1402LDS201403271</t>
  </si>
  <si>
    <t>KU 1402LDS201500635</t>
  </si>
  <si>
    <t>Số KU</t>
  </si>
  <si>
    <t xml:space="preserve">Khế ước vay: Số </t>
  </si>
  <si>
    <t>Mẫu số S33-DN</t>
  </si>
  <si>
    <t xml:space="preserve">(Ban hành theo Thông tư số 200/2014/TT-BTC
 Ngày 22/12/2014 của Bộ Tài chính)
</t>
  </si>
  <si>
    <t>Tất toán  KU 1402LDS201402734</t>
  </si>
  <si>
    <t>Vay KU 1402LDS201501662</t>
  </si>
  <si>
    <t>KU 1402LDS201501662</t>
  </si>
  <si>
    <t>Tất toán KU 1015LDS02368</t>
  </si>
  <si>
    <t>KU 1015LDS201501179</t>
  </si>
  <si>
    <t>Tất toán KU 1015LDS201402775</t>
  </si>
  <si>
    <t>Tất toán KU 1015LDS201402807</t>
  </si>
  <si>
    <t>Tất toán KU 1015LDS201401534</t>
  </si>
  <si>
    <t>Vay KU 1015LDS201501179</t>
  </si>
  <si>
    <t>TU05</t>
  </si>
  <si>
    <t>TU06</t>
  </si>
  <si>
    <t>N04 &amp; N13 &amp; N25</t>
  </si>
  <si>
    <t>N05 &amp; N14 &amp; N16 &amp; N20</t>
  </si>
  <si>
    <t>N03</t>
  </si>
  <si>
    <t>N19 &amp; N24</t>
  </si>
  <si>
    <t>N06 &amp;N15 &amp; N17</t>
  </si>
  <si>
    <t>Huỳnh Thị Kiều</t>
  </si>
  <si>
    <t>N07</t>
  </si>
  <si>
    <t>N07 &amp; N18</t>
  </si>
  <si>
    <t>N12</t>
  </si>
  <si>
    <t>Nguyễn Thị Kim Vân</t>
  </si>
  <si>
    <t>N10 &amp; N22</t>
  </si>
  <si>
    <t>N09 &amp; N21</t>
  </si>
  <si>
    <t>N11 &amp; N23</t>
  </si>
  <si>
    <t>C22</t>
  </si>
  <si>
    <t>C33</t>
  </si>
  <si>
    <t>TU08</t>
  </si>
  <si>
    <t>TU07</t>
  </si>
  <si>
    <t>N10 &amp; N16</t>
  </si>
  <si>
    <t>N13 &amp; N22</t>
  </si>
  <si>
    <t>C05</t>
  </si>
  <si>
    <t>C06</t>
  </si>
  <si>
    <t>TU09</t>
  </si>
  <si>
    <t>TU10</t>
  </si>
  <si>
    <t>KU 1015LDS201501308</t>
  </si>
  <si>
    <t>KU 1015LDS201501560</t>
  </si>
  <si>
    <t>KU 1015LDS201501587</t>
  </si>
  <si>
    <t>Q11 - Vay  KU 1015LDS201501308</t>
  </si>
  <si>
    <t>Q11 - Tất toán KU 1015LDS201402868</t>
  </si>
  <si>
    <t>Q11 - Trả 1 phần gốc KU 1015LDS201500010</t>
  </si>
  <si>
    <t>Q11 - Vay KU 1015LDS201501560</t>
  </si>
  <si>
    <t>Q11 - Tất toán KU 1015LDS201500010</t>
  </si>
  <si>
    <t>Q11 - Vay KU 1015LD201501587</t>
  </si>
  <si>
    <t>Q4 - Tất toán  KU 1402LDS201403120</t>
  </si>
  <si>
    <t>Q4 - Tất toán  KU 1402LDS201403271</t>
  </si>
  <si>
    <t>Q4 - Vay KU 1402LDS201501740</t>
  </si>
  <si>
    <t>Q4 - Vay KU 1402LDS201502032</t>
  </si>
  <si>
    <t>KU 1402LDS201501740</t>
  </si>
  <si>
    <t>KU 1402LDS201502032</t>
  </si>
  <si>
    <t>Q11 - Tất toán KU 1015LDS201500118</t>
  </si>
  <si>
    <t>Q11 - Vay KU 1015LDS201501790</t>
  </si>
  <si>
    <t>KU 1015LDS201501790</t>
  </si>
  <si>
    <t>Hồ Thị Mỹ</t>
  </si>
  <si>
    <t>Đỗ Văn Tâm</t>
  </si>
  <si>
    <t>Trương Văn Minh</t>
  </si>
  <si>
    <t>C01</t>
  </si>
  <si>
    <t>C02</t>
  </si>
  <si>
    <t>Tất toán KU 1015LDS201500437</t>
  </si>
  <si>
    <t>Vay KU 1015LDS201502189</t>
  </si>
  <si>
    <t>KU 1015LDS201502189</t>
  </si>
  <si>
    <t>Vay KU 1402LDS201502638</t>
  </si>
  <si>
    <t>KU 1402LDS201502638</t>
  </si>
  <si>
    <t>Trả gốc KU 1402LDS201500635</t>
  </si>
  <si>
    <t>Trả 1 phần gốc KU 1015LDS201500488</t>
  </si>
  <si>
    <t>Vay KU 1015LDS201502216</t>
  </si>
  <si>
    <t>Tất toán KU 1015LDS201500488</t>
  </si>
  <si>
    <t>Vay KU 1015LDS201502226</t>
  </si>
  <si>
    <t>Tất toán KU 1015LDS201500719</t>
  </si>
  <si>
    <t>KU 1015LDS201502216</t>
  </si>
  <si>
    <t>KU 1015LDS201502226</t>
  </si>
  <si>
    <t>Trả 1 phần gốc KU 1015LDS201100376</t>
  </si>
  <si>
    <t>Vay KU 1015LDS201502514</t>
  </si>
  <si>
    <t>Trả gốc KU 1015LDS201000102</t>
  </si>
  <si>
    <t>Trả gốc KU 1015LDS201100376</t>
  </si>
  <si>
    <t>Trả gốc KU 1015LDS201100377</t>
  </si>
  <si>
    <t>Vay KU 1015LDS201502531</t>
  </si>
  <si>
    <t>KU 1015LDS201502514</t>
  </si>
  <si>
    <t>KU 1015LDS201502531</t>
  </si>
  <si>
    <t>Trả gốc KU 1015LDS201100378</t>
  </si>
  <si>
    <t>N02 &amp; N14 &amp; N32</t>
  </si>
  <si>
    <t>N03 &amp; N15 &amp; N33</t>
  </si>
  <si>
    <t>N08 &amp; N16 &amp; N34</t>
  </si>
  <si>
    <t>N04 &amp; N23</t>
  </si>
  <si>
    <t>N05 &amp; N24 &amp; N25</t>
  </si>
  <si>
    <t>N06 &amp; N26 &amp; N28</t>
  </si>
  <si>
    <t>N07 &amp; N27 &amp; N29</t>
  </si>
  <si>
    <t>N10 &amp; N18 &amp; N30</t>
  </si>
  <si>
    <t>N11 &amp; N19 &amp; N31</t>
  </si>
  <si>
    <t>N12 &amp; N20</t>
  </si>
  <si>
    <t>N13 &amp; N21</t>
  </si>
  <si>
    <t>N17 &amp; N22</t>
  </si>
  <si>
    <t>N37</t>
  </si>
  <si>
    <t>N16 &amp; N12</t>
  </si>
  <si>
    <t>N18 &amp; N14</t>
  </si>
  <si>
    <t>N03 &amp; N07 &amp; N20</t>
  </si>
  <si>
    <t>N08 &amp; N04</t>
  </si>
  <si>
    <t>N17 &amp; N13</t>
  </si>
  <si>
    <t>N02 &amp; N06 &amp; N19</t>
  </si>
  <si>
    <t>Q11 - Tất toán KU 1015LDS201501179</t>
  </si>
  <si>
    <t>N11 &amp; N21</t>
  </si>
  <si>
    <t>N12 &amp; N23</t>
  </si>
  <si>
    <t>N01 &amp; N13 &amp; N14 &amp; N20 &amp; N24</t>
  </si>
  <si>
    <t>N02 &amp; N08 &amp; N15 &amp; N25</t>
  </si>
  <si>
    <t>N03 &amp; N09 &amp; N16</t>
  </si>
  <si>
    <t>N05 &amp; N17</t>
  </si>
  <si>
    <t>N07 &amp; N19</t>
  </si>
  <si>
    <t>BTĐC</t>
  </si>
  <si>
    <t>4211</t>
  </si>
  <si>
    <t>CLTG vay KU 1015LDS201000102 (2010-2014)</t>
  </si>
  <si>
    <t>CLTG vay KU  1015LDS201100376 (2012-2014)</t>
  </si>
  <si>
    <t>CLTG vay KU 1015LDS201100378 (2012-2014)</t>
  </si>
  <si>
    <t>CLTG vay KU 1015LDS201100377 (2012-2014)</t>
  </si>
  <si>
    <t>CLTG vay KU 1015LDS201000102 (2015)</t>
  </si>
  <si>
    <t>CLTG vay KU  1015LDS201100376 (2015)</t>
  </si>
  <si>
    <t>CLTG vay KU 1015LDS201100377 (2015)</t>
  </si>
  <si>
    <t>CLTG vay KU 1015LDS201100378 (2015)</t>
  </si>
  <si>
    <t>Trả 1 phần gốc KU 1015LDS201501308</t>
  </si>
  <si>
    <t>Trả gốc KU 1015LDS201501308</t>
  </si>
  <si>
    <t>Vay KU 1015LDS201503206</t>
  </si>
  <si>
    <t>Trả gốc KU 1015LDS201501560</t>
  </si>
  <si>
    <t>Trả gốc KU 1015LDS201501587</t>
  </si>
  <si>
    <t>Vay KU 1015LDS201503420</t>
  </si>
  <si>
    <t>KU 1015LDS201503206</t>
  </si>
  <si>
    <t>KU 1015LDS201503420</t>
  </si>
  <si>
    <t>Trả gốc KU 1402LDS201501662</t>
  </si>
  <si>
    <t>Trả gốc KU 1402LDS201501740</t>
  </si>
  <si>
    <t>Trả gốc KU 1402LDS201502032</t>
  </si>
  <si>
    <t>Vay KU 1402LDS201503829</t>
  </si>
  <si>
    <t>Vay KU 1402LDS201503901</t>
  </si>
  <si>
    <t>Vay KU 1402LDS201503946</t>
  </si>
  <si>
    <t>Vay KU 1402LDS201504121</t>
  </si>
  <si>
    <t>KU 1402LDS201503829</t>
  </si>
  <si>
    <t>KU 1402LDS201503901</t>
  </si>
  <si>
    <t>KU 1402LDS201503946</t>
  </si>
  <si>
    <t>KU 1402LDS201504121</t>
  </si>
  <si>
    <t>Trả 1 phần gốc KU 1402LDS201501740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</si>
</sst>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60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5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sz val="11"/>
      <color indexed="10"/>
      <name val="Times New Roman"/>
      <family val="1"/>
    </font>
    <font>
      <sz val="11"/>
      <color indexed="12"/>
      <name val="Times New Roman"/>
      <family val="1"/>
    </font>
    <font>
      <sz val="9"/>
      <name val="Arial"/>
      <family val="2"/>
    </font>
    <font>
      <sz val="10"/>
      <name val="VNI-Times"/>
    </font>
    <font>
      <sz val="8"/>
      <name val="VNI-Times"/>
    </font>
    <font>
      <b/>
      <sz val="10"/>
      <name val="Times New Roman"/>
      <family val="1"/>
    </font>
    <font>
      <sz val="10"/>
      <name val="Times New Roman"/>
      <family val="1"/>
    </font>
    <font>
      <b/>
      <sz val="18"/>
      <color indexed="63"/>
      <name val="Times New Roman"/>
      <family val="1"/>
    </font>
    <font>
      <sz val="11"/>
      <name val="VNI-Times"/>
    </font>
    <font>
      <sz val="11"/>
      <color indexed="63"/>
      <name val="Helvetica"/>
    </font>
    <font>
      <sz val="11"/>
      <color indexed="63"/>
      <name val="Times New Roman"/>
      <family val="1"/>
    </font>
    <font>
      <b/>
      <sz val="11"/>
      <color indexed="63"/>
      <name val="Times New Roman"/>
      <family val="1"/>
    </font>
    <font>
      <b/>
      <sz val="11"/>
      <name val="VNI-Times"/>
    </font>
    <font>
      <i/>
      <sz val="11"/>
      <color indexed="63"/>
      <name val="Times New Roman"/>
      <family val="1"/>
    </font>
    <font>
      <i/>
      <sz val="11"/>
      <name val="VNI-Times"/>
    </font>
    <font>
      <sz val="9"/>
      <name val="Times New Roman"/>
      <family val="1"/>
    </font>
    <font>
      <b/>
      <sz val="10"/>
      <color indexed="63"/>
      <name val="Verdana"/>
      <family val="2"/>
    </font>
    <font>
      <sz val="10"/>
      <color indexed="63"/>
      <name val="Verdana"/>
      <family val="2"/>
    </font>
    <font>
      <b/>
      <sz val="18"/>
      <name val="Arial"/>
      <family val="2"/>
    </font>
    <font>
      <b/>
      <sz val="14"/>
      <name val="Times New Roman"/>
      <family val="1"/>
    </font>
    <font>
      <sz val="10"/>
      <color indexed="12"/>
      <name val="Times New Roman"/>
      <family val="1"/>
    </font>
    <font>
      <b/>
      <sz val="14"/>
      <name val="Times New Roman"/>
      <family val="1"/>
    </font>
    <font>
      <sz val="10"/>
      <color rgb="FF0000FF"/>
      <name val="Times New Roman"/>
      <family val="1"/>
    </font>
    <font>
      <sz val="12"/>
      <name val="VNI-Times"/>
    </font>
    <font>
      <sz val="11"/>
      <color rgb="FFFF0000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38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38" fillId="0" borderId="0"/>
    <xf numFmtId="0" fontId="1" fillId="24" borderId="13" applyNumberFormat="0" applyFont="0" applyAlignment="0" applyProtection="0"/>
    <xf numFmtId="0" fontId="20" fillId="20" borderId="14" applyNumberFormat="0" applyAlignment="0" applyProtection="0"/>
    <xf numFmtId="0" fontId="21" fillId="0" borderId="0">
      <alignment horizontal="centerContinuous"/>
    </xf>
    <xf numFmtId="0" fontId="22" fillId="0" borderId="0" applyNumberFormat="0" applyFill="0" applyBorder="0" applyAlignment="0" applyProtection="0"/>
    <xf numFmtId="0" fontId="23" fillId="0" borderId="15" applyNumberFormat="0" applyFill="0" applyAlignment="0" applyProtection="0"/>
    <xf numFmtId="0" fontId="53" fillId="0" borderId="0">
      <alignment horizontal="center"/>
    </xf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6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8" fillId="0" borderId="0"/>
    <xf numFmtId="0" fontId="1" fillId="0" borderId="0"/>
    <xf numFmtId="0" fontId="58" fillId="0" borderId="0"/>
  </cellStyleXfs>
  <cellXfs count="323">
    <xf numFmtId="0" fontId="0" fillId="0" borderId="0" xfId="0"/>
    <xf numFmtId="0" fontId="30" fillId="0" borderId="0" xfId="53" applyFont="1"/>
    <xf numFmtId="0" fontId="30" fillId="0" borderId="0" xfId="53" applyFont="1" applyAlignment="1">
      <alignment horizontal="center"/>
    </xf>
    <xf numFmtId="164" fontId="30" fillId="0" borderId="0" xfId="57" applyNumberFormat="1" applyFont="1" applyAlignment="1">
      <alignment horizontal="center" vertical="center" wrapText="1"/>
    </xf>
    <xf numFmtId="164" fontId="30" fillId="0" borderId="16" xfId="57" applyNumberFormat="1" applyFont="1" applyBorder="1" applyAlignment="1">
      <alignment horizontal="center" vertical="center"/>
    </xf>
    <xf numFmtId="164" fontId="30" fillId="0" borderId="16" xfId="29" applyNumberFormat="1" applyFont="1" applyBorder="1" applyAlignment="1">
      <alignment horizontal="center" vertical="center"/>
    </xf>
    <xf numFmtId="164" fontId="30" fillId="0" borderId="17" xfId="57" applyNumberFormat="1" applyFont="1" applyBorder="1" applyAlignment="1">
      <alignment horizontal="center" vertical="center"/>
    </xf>
    <xf numFmtId="164" fontId="30" fillId="0" borderId="18" xfId="57" applyNumberFormat="1" applyFont="1" applyBorder="1" applyAlignment="1">
      <alignment horizontal="center" vertical="center"/>
    </xf>
    <xf numFmtId="164" fontId="30" fillId="0" borderId="17" xfId="29" applyNumberFormat="1" applyFont="1" applyBorder="1" applyAlignment="1">
      <alignment horizontal="center" vertical="center"/>
    </xf>
    <xf numFmtId="164" fontId="30" fillId="0" borderId="16" xfId="0" applyNumberFormat="1" applyFont="1" applyBorder="1" applyAlignment="1">
      <alignment horizontal="left" vertical="center" wrapText="1"/>
    </xf>
    <xf numFmtId="0" fontId="30" fillId="0" borderId="16" xfId="0" applyFont="1" applyBorder="1"/>
    <xf numFmtId="14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horizontal="center"/>
    </xf>
    <xf numFmtId="164" fontId="30" fillId="0" borderId="0" xfId="29" applyNumberFormat="1" applyFont="1" applyAlignment="1">
      <alignment horizontal="center"/>
    </xf>
    <xf numFmtId="14" fontId="30" fillId="0" borderId="16" xfId="0" applyNumberFormat="1" applyFont="1" applyBorder="1" applyAlignment="1">
      <alignment horizontal="center" vertical="center" wrapText="1"/>
    </xf>
    <xf numFmtId="0" fontId="30" fillId="0" borderId="0" xfId="57" applyFont="1" applyAlignment="1">
      <alignment horizontal="left" vertical="center"/>
    </xf>
    <xf numFmtId="164" fontId="30" fillId="0" borderId="16" xfId="29" applyNumberFormat="1" applyFont="1" applyBorder="1"/>
    <xf numFmtId="0" fontId="30" fillId="0" borderId="16" xfId="53" applyFont="1" applyBorder="1" applyAlignment="1">
      <alignment vertical="center"/>
    </xf>
    <xf numFmtId="49" fontId="30" fillId="0" borderId="16" xfId="0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 vertical="center"/>
    </xf>
    <xf numFmtId="164" fontId="30" fillId="0" borderId="16" xfId="29" applyNumberFormat="1" applyFont="1" applyBorder="1" applyAlignment="1">
      <alignment vertical="center"/>
    </xf>
    <xf numFmtId="164" fontId="30" fillId="0" borderId="12" xfId="29" applyNumberFormat="1" applyFont="1" applyBorder="1" applyAlignment="1">
      <alignment horizontal="center" vertical="center"/>
    </xf>
    <xf numFmtId="164" fontId="30" fillId="0" borderId="12" xfId="57" applyNumberFormat="1" applyFont="1" applyBorder="1" applyAlignment="1">
      <alignment horizontal="center" vertical="center"/>
    </xf>
    <xf numFmtId="49" fontId="34" fillId="0" borderId="0" xfId="0" applyNumberFormat="1" applyFont="1" applyBorder="1"/>
    <xf numFmtId="164" fontId="30" fillId="0" borderId="16" xfId="0" applyNumberFormat="1" applyFont="1" applyBorder="1" applyAlignment="1">
      <alignment horizontal="center" vertical="center"/>
    </xf>
    <xf numFmtId="164" fontId="30" fillId="0" borderId="18" xfId="29" applyNumberFormat="1" applyFont="1" applyBorder="1" applyAlignment="1">
      <alignment vertical="center"/>
    </xf>
    <xf numFmtId="0" fontId="30" fillId="0" borderId="16" xfId="53" applyFont="1" applyBorder="1" applyAlignment="1">
      <alignment horizontal="center" vertical="center"/>
    </xf>
    <xf numFmtId="49" fontId="30" fillId="0" borderId="0" xfId="53" applyNumberFormat="1" applyFont="1" applyAlignment="1">
      <alignment horizontal="center" vertical="center"/>
    </xf>
    <xf numFmtId="0" fontId="30" fillId="0" borderId="0" xfId="53" applyFont="1" applyAlignment="1">
      <alignment horizontal="center" vertical="center"/>
    </xf>
    <xf numFmtId="0" fontId="30" fillId="0" borderId="0" xfId="53" applyFont="1" applyAlignment="1">
      <alignment vertical="center"/>
    </xf>
    <xf numFmtId="0" fontId="30" fillId="0" borderId="2" xfId="53" applyFont="1" applyBorder="1" applyAlignment="1">
      <alignment horizontal="center" vertical="center"/>
    </xf>
    <xf numFmtId="49" fontId="30" fillId="0" borderId="19" xfId="53" applyNumberFormat="1" applyFont="1" applyBorder="1" applyAlignment="1">
      <alignment horizontal="center" vertical="center"/>
    </xf>
    <xf numFmtId="164" fontId="30" fillId="0" borderId="2" xfId="29" applyNumberFormat="1" applyFont="1" applyBorder="1" applyAlignment="1">
      <alignment horizontal="center" vertical="center"/>
    </xf>
    <xf numFmtId="14" fontId="30" fillId="0" borderId="12" xfId="53" applyNumberFormat="1" applyFont="1" applyBorder="1" applyAlignment="1">
      <alignment horizontal="center" vertical="center"/>
    </xf>
    <xf numFmtId="49" fontId="30" fillId="0" borderId="12" xfId="53" applyNumberFormat="1" applyFont="1" applyBorder="1" applyAlignment="1">
      <alignment horizontal="center" vertical="center"/>
    </xf>
    <xf numFmtId="0" fontId="30" fillId="0" borderId="12" xfId="53" quotePrefix="1" applyFont="1" applyBorder="1" applyAlignment="1">
      <alignment vertical="center"/>
    </xf>
    <xf numFmtId="0" fontId="30" fillId="0" borderId="12" xfId="53" applyFont="1" applyBorder="1" applyAlignment="1">
      <alignment horizontal="center" vertical="center"/>
    </xf>
    <xf numFmtId="164" fontId="30" fillId="0" borderId="0" xfId="53" applyNumberFormat="1" applyFont="1" applyAlignment="1">
      <alignment vertical="center"/>
    </xf>
    <xf numFmtId="0" fontId="30" fillId="0" borderId="16" xfId="53" quotePrefix="1" applyFont="1" applyBorder="1" applyAlignment="1">
      <alignment horizontal="center" vertical="center"/>
    </xf>
    <xf numFmtId="49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vertical="center"/>
    </xf>
    <xf numFmtId="14" fontId="30" fillId="0" borderId="17" xfId="53" applyNumberFormat="1" applyFont="1" applyBorder="1" applyAlignment="1">
      <alignment horizontal="center" vertical="center"/>
    </xf>
    <xf numFmtId="49" fontId="30" fillId="0" borderId="17" xfId="53" applyNumberFormat="1" applyFont="1" applyBorder="1" applyAlignment="1">
      <alignment horizontal="center" vertical="center"/>
    </xf>
    <xf numFmtId="0" fontId="30" fillId="0" borderId="17" xfId="53" quotePrefix="1" applyFont="1" applyBorder="1" applyAlignment="1">
      <alignment vertical="center"/>
    </xf>
    <xf numFmtId="0" fontId="30" fillId="0" borderId="17" xfId="53" applyFont="1" applyBorder="1" applyAlignment="1">
      <alignment horizontal="center" vertical="center"/>
    </xf>
    <xf numFmtId="164" fontId="30" fillId="0" borderId="0" xfId="29" applyNumberFormat="1" applyFont="1" applyAlignment="1">
      <alignment horizontal="center" vertical="center"/>
    </xf>
    <xf numFmtId="164" fontId="30" fillId="0" borderId="0" xfId="53" applyNumberFormat="1" applyFont="1" applyAlignment="1">
      <alignment horizontal="center" vertical="center"/>
    </xf>
    <xf numFmtId="0" fontId="30" fillId="0" borderId="0" xfId="53" quotePrefix="1" applyFont="1" applyAlignment="1">
      <alignment horizontal="left" vertical="center"/>
    </xf>
    <xf numFmtId="0" fontId="30" fillId="0" borderId="19" xfId="53" applyFont="1" applyBorder="1" applyAlignment="1">
      <alignment horizontal="center" vertical="center"/>
    </xf>
    <xf numFmtId="0" fontId="30" fillId="0" borderId="18" xfId="53" quotePrefix="1" applyFont="1" applyBorder="1" applyAlignment="1">
      <alignment vertical="center"/>
    </xf>
    <xf numFmtId="0" fontId="30" fillId="0" borderId="18" xfId="53" applyFont="1" applyBorder="1" applyAlignment="1">
      <alignment horizontal="center" vertical="center"/>
    </xf>
    <xf numFmtId="14" fontId="30" fillId="0" borderId="0" xfId="53" applyNumberFormat="1" applyFont="1" applyBorder="1" applyAlignment="1">
      <alignment horizontal="center" vertical="center"/>
    </xf>
    <xf numFmtId="14" fontId="30" fillId="0" borderId="0" xfId="53" applyNumberFormat="1" applyFont="1" applyAlignment="1">
      <alignment horizontal="center"/>
    </xf>
    <xf numFmtId="0" fontId="35" fillId="0" borderId="0" xfId="53" applyFont="1" applyAlignment="1">
      <alignment vertical="center"/>
    </xf>
    <xf numFmtId="0" fontId="30" fillId="0" borderId="0" xfId="53" applyFont="1" applyBorder="1" applyAlignment="1">
      <alignment vertical="center"/>
    </xf>
    <xf numFmtId="164" fontId="36" fillId="0" borderId="16" xfId="0" applyNumberFormat="1" applyFont="1" applyBorder="1" applyAlignment="1">
      <alignment horizontal="left" vertical="center" wrapText="1"/>
    </xf>
    <xf numFmtId="164" fontId="37" fillId="0" borderId="0" xfId="29" applyNumberFormat="1" applyFont="1" applyBorder="1"/>
    <xf numFmtId="164" fontId="30" fillId="0" borderId="0" xfId="53" applyNumberFormat="1" applyFont="1"/>
    <xf numFmtId="164" fontId="30" fillId="0" borderId="18" xfId="0" applyNumberFormat="1" applyFont="1" applyBorder="1" applyAlignment="1">
      <alignment horizontal="left" vertical="center" wrapText="1"/>
    </xf>
    <xf numFmtId="0" fontId="30" fillId="0" borderId="0" xfId="53" applyFont="1" applyBorder="1"/>
    <xf numFmtId="164" fontId="36" fillId="0" borderId="16" xfId="29" applyNumberFormat="1" applyFont="1" applyBorder="1" applyAlignment="1">
      <alignment horizontal="left" vertical="center" wrapText="1"/>
    </xf>
    <xf numFmtId="164" fontId="30" fillId="0" borderId="0" xfId="29" applyNumberFormat="1" applyFont="1" applyBorder="1" applyAlignment="1">
      <alignment vertical="center"/>
    </xf>
    <xf numFmtId="164" fontId="30" fillId="0" borderId="0" xfId="29" applyNumberFormat="1" applyFont="1" applyBorder="1" applyAlignment="1">
      <alignment horizontal="center" vertical="center"/>
    </xf>
    <xf numFmtId="0" fontId="30" fillId="0" borderId="16" xfId="0" applyFont="1" applyBorder="1" applyAlignment="1">
      <alignment horizontal="left"/>
    </xf>
    <xf numFmtId="14" fontId="30" fillId="0" borderId="20" xfId="53" applyNumberFormat="1" applyFont="1" applyBorder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0" fontId="38" fillId="0" borderId="0" xfId="58" applyFont="1" applyAlignment="1">
      <alignment vertical="center"/>
    </xf>
    <xf numFmtId="164" fontId="41" fillId="0" borderId="0" xfId="57" applyNumberFormat="1" applyFont="1" applyAlignment="1">
      <alignment horizontal="center" vertical="center" wrapText="1"/>
    </xf>
    <xf numFmtId="0" fontId="43" fillId="0" borderId="0" xfId="58" applyFont="1" applyAlignment="1">
      <alignment vertical="center"/>
    </xf>
    <xf numFmtId="0" fontId="45" fillId="25" borderId="0" xfId="58" applyFont="1" applyFill="1" applyAlignment="1">
      <alignment horizontal="left" vertical="center" wrapText="1"/>
    </xf>
    <xf numFmtId="0" fontId="45" fillId="25" borderId="0" xfId="58" quotePrefix="1" applyFont="1" applyFill="1" applyAlignment="1">
      <alignment vertical="center"/>
    </xf>
    <xf numFmtId="0" fontId="45" fillId="25" borderId="0" xfId="58" applyFont="1" applyFill="1" applyAlignment="1">
      <alignment vertical="center"/>
    </xf>
    <xf numFmtId="0" fontId="46" fillId="25" borderId="2" xfId="58" applyFont="1" applyFill="1" applyBorder="1" applyAlignment="1">
      <alignment horizontal="center" vertical="center" wrapText="1"/>
    </xf>
    <xf numFmtId="0" fontId="47" fillId="0" borderId="0" xfId="58" applyFont="1" applyAlignment="1">
      <alignment vertical="center"/>
    </xf>
    <xf numFmtId="0" fontId="45" fillId="25" borderId="21" xfId="58" applyFont="1" applyFill="1" applyBorder="1" applyAlignment="1">
      <alignment horizontal="center" vertical="center" wrapText="1"/>
    </xf>
    <xf numFmtId="0" fontId="46" fillId="25" borderId="16" xfId="58" applyFont="1" applyFill="1" applyBorder="1" applyAlignment="1">
      <alignment vertical="center" wrapText="1"/>
    </xf>
    <xf numFmtId="164" fontId="46" fillId="25" borderId="16" xfId="29" applyNumberFormat="1" applyFont="1" applyFill="1" applyBorder="1" applyAlignment="1">
      <alignment horizontal="center" vertical="center" wrapText="1"/>
    </xf>
    <xf numFmtId="0" fontId="45" fillId="25" borderId="16" xfId="58" applyFont="1" applyFill="1" applyBorder="1" applyAlignment="1">
      <alignment horizontal="left" vertical="center" wrapText="1"/>
    </xf>
    <xf numFmtId="164" fontId="45" fillId="25" borderId="16" xfId="29" applyNumberFormat="1" applyFont="1" applyFill="1" applyBorder="1" applyAlignment="1">
      <alignment horizontal="center" vertical="center" wrapText="1"/>
    </xf>
    <xf numFmtId="0" fontId="48" fillId="25" borderId="16" xfId="58" quotePrefix="1" applyFont="1" applyFill="1" applyBorder="1" applyAlignment="1">
      <alignment horizontal="left" vertical="center" wrapText="1"/>
    </xf>
    <xf numFmtId="164" fontId="48" fillId="25" borderId="16" xfId="29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/>
    </xf>
    <xf numFmtId="0" fontId="49" fillId="0" borderId="0" xfId="58" applyFont="1" applyAlignment="1">
      <alignment vertical="center"/>
    </xf>
    <xf numFmtId="0" fontId="47" fillId="0" borderId="0" xfId="58" applyFont="1" applyBorder="1" applyAlignment="1">
      <alignment vertical="center"/>
    </xf>
    <xf numFmtId="0" fontId="48" fillId="25" borderId="16" xfId="58" quotePrefix="1" applyFont="1" applyFill="1" applyBorder="1" applyAlignment="1">
      <alignment vertical="center" wrapText="1"/>
    </xf>
    <xf numFmtId="164" fontId="48" fillId="25" borderId="16" xfId="29" applyNumberFormat="1" applyFont="1" applyFill="1" applyBorder="1" applyAlignment="1">
      <alignment vertical="center" wrapText="1"/>
    </xf>
    <xf numFmtId="0" fontId="46" fillId="25" borderId="0" xfId="58" applyFont="1" applyFill="1" applyAlignment="1">
      <alignment horizontal="center" vertical="center" wrapText="1"/>
    </xf>
    <xf numFmtId="0" fontId="45" fillId="25" borderId="0" xfId="58" applyFont="1" applyFill="1" applyAlignment="1">
      <alignment horizontal="center" vertical="center" wrapText="1"/>
    </xf>
    <xf numFmtId="0" fontId="30" fillId="0" borderId="0" xfId="58" applyFont="1" applyAlignment="1">
      <alignment vertical="center"/>
    </xf>
    <xf numFmtId="0" fontId="51" fillId="25" borderId="0" xfId="58" applyFont="1" applyFill="1" applyAlignment="1">
      <alignment horizontal="center" wrapText="1"/>
    </xf>
    <xf numFmtId="0" fontId="52" fillId="25" borderId="0" xfId="58" applyFont="1" applyFill="1" applyAlignment="1">
      <alignment horizontal="center" wrapText="1"/>
    </xf>
    <xf numFmtId="0" fontId="44" fillId="25" borderId="0" xfId="58" applyFont="1" applyFill="1" applyAlignment="1">
      <alignment vertical="center"/>
    </xf>
    <xf numFmtId="0" fontId="30" fillId="0" borderId="0" xfId="56" applyFont="1" applyBorder="1"/>
    <xf numFmtId="164" fontId="30" fillId="0" borderId="0" xfId="0" applyNumberFormat="1" applyFont="1" applyBorder="1" applyAlignment="1">
      <alignment horizontal="center" vertical="center"/>
    </xf>
    <xf numFmtId="0" fontId="43" fillId="26" borderId="2" xfId="58" applyFont="1" applyFill="1" applyBorder="1" applyAlignment="1">
      <alignment vertical="center"/>
    </xf>
    <xf numFmtId="164" fontId="30" fillId="0" borderId="20" xfId="29" applyNumberFormat="1" applyFont="1" applyBorder="1" applyAlignment="1">
      <alignment horizontal="center" vertical="center"/>
    </xf>
    <xf numFmtId="49" fontId="30" fillId="0" borderId="20" xfId="0" applyNumberFormat="1" applyFont="1" applyFill="1" applyBorder="1" applyAlignment="1">
      <alignment horizontal="center" vertical="center" wrapText="1"/>
    </xf>
    <xf numFmtId="14" fontId="30" fillId="0" borderId="20" xfId="0" applyNumberFormat="1" applyFont="1" applyBorder="1" applyAlignment="1">
      <alignment horizontal="center" vertical="center" wrapText="1"/>
    </xf>
    <xf numFmtId="0" fontId="30" fillId="0" borderId="20" xfId="53" applyFont="1" applyBorder="1" applyAlignment="1">
      <alignment vertical="center"/>
    </xf>
    <xf numFmtId="0" fontId="30" fillId="0" borderId="20" xfId="53" quotePrefix="1" applyFont="1" applyBorder="1" applyAlignment="1">
      <alignment horizontal="center" vertical="center"/>
    </xf>
    <xf numFmtId="164" fontId="30" fillId="0" borderId="20" xfId="0" applyNumberFormat="1" applyFont="1" applyBorder="1" applyAlignment="1">
      <alignment horizontal="left" vertical="center" wrapText="1"/>
    </xf>
    <xf numFmtId="164" fontId="30" fillId="0" borderId="20" xfId="29" applyNumberFormat="1" applyFont="1" applyBorder="1" applyAlignment="1">
      <alignment vertical="center"/>
    </xf>
    <xf numFmtId="14" fontId="30" fillId="0" borderId="20" xfId="53" applyNumberFormat="1" applyFont="1" applyBorder="1" applyAlignment="1">
      <alignment horizontal="left" vertical="center"/>
    </xf>
    <xf numFmtId="14" fontId="30" fillId="0" borderId="22" xfId="53" applyNumberFormat="1" applyFont="1" applyBorder="1" applyAlignment="1">
      <alignment horizontal="center" vertical="center"/>
    </xf>
    <xf numFmtId="14" fontId="30" fillId="0" borderId="22" xfId="53" applyNumberFormat="1" applyFont="1" applyBorder="1" applyAlignment="1">
      <alignment horizontal="left" vertical="center"/>
    </xf>
    <xf numFmtId="164" fontId="30" fillId="0" borderId="22" xfId="29" applyNumberFormat="1" applyFont="1" applyBorder="1" applyAlignment="1">
      <alignment horizontal="center" vertical="center"/>
    </xf>
    <xf numFmtId="49" fontId="30" fillId="0" borderId="0" xfId="53" applyNumberFormat="1" applyFont="1" applyBorder="1" applyAlignment="1">
      <alignment horizontal="center" vertical="center"/>
    </xf>
    <xf numFmtId="0" fontId="30" fillId="0" borderId="0" xfId="53" quotePrefix="1" applyFont="1" applyBorder="1" applyAlignment="1">
      <alignment vertical="center"/>
    </xf>
    <xf numFmtId="164" fontId="30" fillId="0" borderId="0" xfId="57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 wrapText="1"/>
    </xf>
    <xf numFmtId="0" fontId="30" fillId="0" borderId="0" xfId="53" quotePrefix="1" applyFont="1" applyBorder="1" applyAlignment="1">
      <alignment horizontal="center" vertical="center"/>
    </xf>
    <xf numFmtId="164" fontId="30" fillId="0" borderId="0" xfId="0" applyNumberFormat="1" applyFont="1" applyBorder="1" applyAlignment="1">
      <alignment horizontal="left" vertical="center" wrapText="1"/>
    </xf>
    <xf numFmtId="164" fontId="30" fillId="0" borderId="0" xfId="0" applyNumberFormat="1" applyFont="1" applyBorder="1" applyAlignment="1">
      <alignment vertical="center" wrapText="1"/>
    </xf>
    <xf numFmtId="0" fontId="30" fillId="0" borderId="0" xfId="0" applyFont="1" applyBorder="1"/>
    <xf numFmtId="14" fontId="36" fillId="0" borderId="0" xfId="0" applyNumberFormat="1" applyFont="1" applyBorder="1" applyAlignment="1">
      <alignment horizontal="center" vertical="center" wrapText="1"/>
    </xf>
    <xf numFmtId="49" fontId="30" fillId="0" borderId="0" xfId="0" applyNumberFormat="1" applyFont="1" applyFill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left" vertical="center" wrapText="1"/>
    </xf>
    <xf numFmtId="164" fontId="36" fillId="0" borderId="0" xfId="29" applyNumberFormat="1" applyFont="1" applyBorder="1" applyAlignment="1">
      <alignment horizontal="left" vertical="center" wrapText="1"/>
    </xf>
    <xf numFmtId="164" fontId="30" fillId="0" borderId="0" xfId="29" applyNumberFormat="1" applyFont="1" applyBorder="1"/>
    <xf numFmtId="0" fontId="30" fillId="0" borderId="0" xfId="0" applyFont="1" applyBorder="1" applyAlignment="1">
      <alignment horizontal="left"/>
    </xf>
    <xf numFmtId="0" fontId="30" fillId="0" borderId="0" xfId="53" quotePrefix="1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center" vertical="center"/>
    </xf>
    <xf numFmtId="0" fontId="30" fillId="0" borderId="23" xfId="53" applyFont="1" applyBorder="1" applyAlignment="1">
      <alignment horizontal="center" vertical="center" wrapText="1"/>
    </xf>
    <xf numFmtId="0" fontId="41" fillId="0" borderId="0" xfId="53" applyFont="1" applyBorder="1" applyAlignment="1">
      <alignment horizontal="center" vertical="center"/>
    </xf>
    <xf numFmtId="0" fontId="41" fillId="0" borderId="0" xfId="53" applyFont="1" applyBorder="1" applyAlignment="1">
      <alignment vertical="center"/>
    </xf>
    <xf numFmtId="0" fontId="38" fillId="0" borderId="0" xfId="58" applyFont="1" applyBorder="1" applyAlignment="1">
      <alignment vertical="center"/>
    </xf>
    <xf numFmtId="0" fontId="40" fillId="0" borderId="0" xfId="53" applyFont="1" applyBorder="1" applyAlignment="1">
      <alignment horizontal="center" vertical="center"/>
    </xf>
    <xf numFmtId="0" fontId="43" fillId="0" borderId="0" xfId="58" applyFont="1" applyBorder="1" applyAlignment="1">
      <alignment vertical="center"/>
    </xf>
    <xf numFmtId="164" fontId="30" fillId="0" borderId="0" xfId="58" applyNumberFormat="1" applyFont="1" applyBorder="1" applyAlignment="1">
      <alignment horizontal="center" vertical="center"/>
    </xf>
    <xf numFmtId="14" fontId="30" fillId="0" borderId="0" xfId="29" applyNumberFormat="1" applyFont="1" applyBorder="1" applyAlignment="1">
      <alignment horizontal="center" vertical="center"/>
    </xf>
    <xf numFmtId="1" fontId="30" fillId="0" borderId="0" xfId="53" applyNumberFormat="1" applyFont="1" applyBorder="1" applyAlignment="1">
      <alignment horizontal="center"/>
    </xf>
    <xf numFmtId="0" fontId="49" fillId="0" borderId="0" xfId="58" applyFont="1" applyBorder="1" applyAlignment="1">
      <alignment vertical="center"/>
    </xf>
    <xf numFmtId="14" fontId="30" fillId="0" borderId="0" xfId="53" applyNumberFormat="1" applyFont="1" applyBorder="1" applyAlignment="1">
      <alignment horizontal="center"/>
    </xf>
    <xf numFmtId="14" fontId="30" fillId="0" borderId="0" xfId="53" applyNumberFormat="1" applyFont="1" applyBorder="1" applyAlignment="1">
      <alignment vertical="center"/>
    </xf>
    <xf numFmtId="3" fontId="16" fillId="0" borderId="0" xfId="46" applyFont="1" applyBorder="1"/>
    <xf numFmtId="0" fontId="30" fillId="0" borderId="0" xfId="58" applyFont="1" applyBorder="1"/>
    <xf numFmtId="14" fontId="30" fillId="0" borderId="0" xfId="53" applyNumberFormat="1" applyFont="1" applyBorder="1" applyAlignment="1">
      <alignment horizontal="left" vertical="center"/>
    </xf>
    <xf numFmtId="3" fontId="16" fillId="0" borderId="0" xfId="46" applyBorder="1"/>
    <xf numFmtId="164" fontId="30" fillId="0" borderId="0" xfId="58" applyNumberFormat="1" applyFont="1" applyFill="1" applyBorder="1" applyAlignment="1">
      <alignment horizontal="center" vertical="center" wrapText="1"/>
    </xf>
    <xf numFmtId="3" fontId="50" fillId="0" borderId="0" xfId="58" applyNumberFormat="1" applyFont="1" applyBorder="1" applyAlignment="1">
      <alignment horizontal="center"/>
    </xf>
    <xf numFmtId="49" fontId="30" fillId="0" borderId="0" xfId="53" applyNumberFormat="1" applyFont="1" applyAlignment="1">
      <alignment vertical="center"/>
    </xf>
    <xf numFmtId="49" fontId="30" fillId="0" borderId="0" xfId="53" applyNumberFormat="1" applyFont="1" applyBorder="1"/>
    <xf numFmtId="49" fontId="30" fillId="0" borderId="0" xfId="56" applyNumberFormat="1" applyFont="1" applyBorder="1"/>
    <xf numFmtId="49" fontId="30" fillId="0" borderId="0" xfId="53" applyNumberFormat="1" applyFont="1" applyBorder="1" applyAlignment="1">
      <alignment vertical="center"/>
    </xf>
    <xf numFmtId="0" fontId="30" fillId="0" borderId="0" xfId="53" applyNumberFormat="1" applyFont="1" applyAlignment="1">
      <alignment vertical="center"/>
    </xf>
    <xf numFmtId="0" fontId="30" fillId="0" borderId="0" xfId="53" applyNumberFormat="1" applyFont="1" applyAlignment="1">
      <alignment horizontal="center" vertical="center"/>
    </xf>
    <xf numFmtId="0" fontId="30" fillId="0" borderId="20" xfId="29" applyNumberFormat="1" applyFont="1" applyBorder="1" applyAlignment="1">
      <alignment horizontal="center" vertical="center"/>
    </xf>
    <xf numFmtId="0" fontId="35" fillId="0" borderId="0" xfId="53" applyNumberFormat="1" applyFont="1" applyAlignment="1">
      <alignment vertical="center"/>
    </xf>
    <xf numFmtId="0" fontId="30" fillId="0" borderId="0" xfId="53" applyNumberFormat="1" applyFont="1"/>
    <xf numFmtId="0" fontId="30" fillId="0" borderId="0" xfId="53" quotePrefix="1" applyFont="1" applyBorder="1" applyAlignment="1">
      <alignment horizontal="center"/>
    </xf>
    <xf numFmtId="14" fontId="30" fillId="0" borderId="16" xfId="0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/>
    </xf>
    <xf numFmtId="14" fontId="30" fillId="0" borderId="0" xfId="58" applyNumberFormat="1" applyFont="1" applyBorder="1" applyAlignment="1">
      <alignment horizontal="center" vertical="center" wrapText="1"/>
    </xf>
    <xf numFmtId="0" fontId="16" fillId="0" borderId="0" xfId="55" applyFont="1" applyAlignment="1">
      <alignment vertical="center"/>
    </xf>
    <xf numFmtId="0" fontId="40" fillId="21" borderId="2" xfId="34" applyFont="1" applyBorder="1" applyAlignment="1">
      <alignment horizontal="centerContinuous" vertical="center" wrapText="1"/>
    </xf>
    <xf numFmtId="164" fontId="40" fillId="21" borderId="2" xfId="29" applyNumberFormat="1" applyFont="1" applyFill="1" applyBorder="1" applyAlignment="1">
      <alignment horizontal="centerContinuous" vertical="center" wrapText="1"/>
    </xf>
    <xf numFmtId="0" fontId="41" fillId="0" borderId="0" xfId="55" applyFont="1" applyAlignment="1">
      <alignment vertical="center"/>
    </xf>
    <xf numFmtId="0" fontId="40" fillId="21" borderId="2" xfId="34" applyFont="1" applyBorder="1" applyAlignment="1">
      <alignment horizontal="center" vertical="center" wrapText="1"/>
    </xf>
    <xf numFmtId="164" fontId="40" fillId="21" borderId="2" xfId="29" applyNumberFormat="1" applyFont="1" applyFill="1" applyBorder="1" applyAlignment="1">
      <alignment horizontal="center" vertical="center" wrapText="1"/>
    </xf>
    <xf numFmtId="3" fontId="41" fillId="0" borderId="16" xfId="46" applyFont="1" applyBorder="1" applyAlignment="1">
      <alignment horizontal="center" vertical="center"/>
    </xf>
    <xf numFmtId="3" fontId="41" fillId="0" borderId="16" xfId="46" applyFont="1" applyBorder="1" applyAlignment="1">
      <alignment vertical="center"/>
    </xf>
    <xf numFmtId="43" fontId="41" fillId="0" borderId="16" xfId="29" applyFont="1" applyBorder="1" applyAlignment="1">
      <alignment vertical="center"/>
    </xf>
    <xf numFmtId="164" fontId="41" fillId="0" borderId="16" xfId="29" applyNumberFormat="1" applyFont="1" applyBorder="1" applyAlignment="1">
      <alignment vertical="center"/>
    </xf>
    <xf numFmtId="43" fontId="41" fillId="0" borderId="20" xfId="29" applyFont="1" applyBorder="1" applyAlignment="1">
      <alignment horizontal="center"/>
    </xf>
    <xf numFmtId="164" fontId="41" fillId="0" borderId="20" xfId="29" applyNumberFormat="1" applyFont="1" applyBorder="1" applyAlignment="1">
      <alignment horizontal="center"/>
    </xf>
    <xf numFmtId="3" fontId="41" fillId="0" borderId="16" xfId="46" applyFont="1" applyFill="1" applyBorder="1" applyAlignment="1">
      <alignment vertical="center"/>
    </xf>
    <xf numFmtId="0" fontId="41" fillId="25" borderId="24" xfId="54" applyFont="1" applyFill="1" applyBorder="1" applyAlignment="1">
      <alignment vertical="center" wrapText="1"/>
    </xf>
    <xf numFmtId="3" fontId="41" fillId="0" borderId="16" xfId="46" applyFont="1" applyBorder="1" applyAlignment="1">
      <alignment vertical="center" wrapText="1"/>
    </xf>
    <xf numFmtId="0" fontId="41" fillId="21" borderId="2" xfId="55" applyFont="1" applyFill="1" applyBorder="1" applyAlignment="1">
      <alignment vertical="center"/>
    </xf>
    <xf numFmtId="3" fontId="41" fillId="21" borderId="2" xfId="27" applyFont="1" applyFill="1" applyBorder="1" applyAlignment="1">
      <alignment vertical="center"/>
    </xf>
    <xf numFmtId="43" fontId="41" fillId="21" borderId="2" xfId="29" applyNumberFormat="1" applyFont="1" applyFill="1" applyBorder="1" applyAlignment="1">
      <alignment vertical="center"/>
    </xf>
    <xf numFmtId="164" fontId="41" fillId="21" borderId="2" xfId="29" applyNumberFormat="1" applyFont="1" applyFill="1" applyBorder="1" applyAlignment="1">
      <alignment vertical="center"/>
    </xf>
    <xf numFmtId="0" fontId="41" fillId="21" borderId="0" xfId="55" applyFont="1" applyFill="1" applyAlignment="1">
      <alignment vertical="center"/>
    </xf>
    <xf numFmtId="164" fontId="16" fillId="0" borderId="0" xfId="29" applyNumberFormat="1" applyFont="1" applyAlignment="1">
      <alignment vertical="center"/>
    </xf>
    <xf numFmtId="43" fontId="41" fillId="0" borderId="16" xfId="29" applyFont="1" applyFill="1" applyBorder="1" applyAlignment="1">
      <alignment horizontal="center" vertical="center" wrapText="1"/>
    </xf>
    <xf numFmtId="0" fontId="41" fillId="0" borderId="0" xfId="57" applyFont="1" applyAlignment="1">
      <alignment horizontal="left" vertical="center"/>
    </xf>
    <xf numFmtId="164" fontId="40" fillId="0" borderId="0" xfId="57" applyNumberFormat="1" applyFont="1" applyAlignment="1">
      <alignment vertical="center" wrapText="1"/>
    </xf>
    <xf numFmtId="164" fontId="41" fillId="0" borderId="0" xfId="57" applyNumberFormat="1" applyFont="1" applyAlignment="1">
      <alignment horizontal="center" vertical="center"/>
    </xf>
    <xf numFmtId="164" fontId="41" fillId="0" borderId="0" xfId="57" applyNumberFormat="1" applyFont="1" applyAlignment="1">
      <alignment vertical="center" wrapText="1"/>
    </xf>
    <xf numFmtId="0" fontId="41" fillId="0" borderId="0" xfId="53" applyFont="1" applyAlignment="1">
      <alignment vertical="center"/>
    </xf>
    <xf numFmtId="0" fontId="41" fillId="0" borderId="2" xfId="53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center" vertical="center"/>
    </xf>
    <xf numFmtId="0" fontId="41" fillId="0" borderId="12" xfId="53" applyFont="1" applyBorder="1" applyAlignment="1">
      <alignment vertical="center"/>
    </xf>
    <xf numFmtId="0" fontId="41" fillId="0" borderId="12" xfId="53" quotePrefix="1" applyFont="1" applyBorder="1" applyAlignment="1">
      <alignment vertical="center"/>
    </xf>
    <xf numFmtId="0" fontId="41" fillId="0" borderId="12" xfId="53" applyFont="1" applyBorder="1" applyAlignment="1">
      <alignment horizontal="center" vertical="center"/>
    </xf>
    <xf numFmtId="43" fontId="41" fillId="0" borderId="12" xfId="29" applyFont="1" applyBorder="1" applyAlignment="1">
      <alignment vertical="center"/>
    </xf>
    <xf numFmtId="164" fontId="41" fillId="0" borderId="12" xfId="29" applyNumberFormat="1" applyFont="1" applyBorder="1" applyAlignment="1">
      <alignment vertical="center"/>
    </xf>
    <xf numFmtId="14" fontId="41" fillId="0" borderId="16" xfId="53" applyNumberFormat="1" applyFont="1" applyBorder="1" applyAlignment="1">
      <alignment horizontal="center" vertical="center"/>
    </xf>
    <xf numFmtId="14" fontId="41" fillId="0" borderId="16" xfId="57" applyNumberFormat="1" applyFont="1" applyFill="1" applyBorder="1" applyAlignment="1">
      <alignment horizontal="center" vertical="center"/>
    </xf>
    <xf numFmtId="0" fontId="41" fillId="0" borderId="16" xfId="53" quotePrefix="1" applyFont="1" applyBorder="1" applyAlignment="1">
      <alignment horizontal="center" vertical="center"/>
    </xf>
    <xf numFmtId="164" fontId="41" fillId="25" borderId="16" xfId="29" applyNumberFormat="1" applyFont="1" applyFill="1" applyBorder="1" applyAlignment="1">
      <alignment horizontal="center" vertical="center" wrapText="1"/>
    </xf>
    <xf numFmtId="14" fontId="55" fillId="0" borderId="16" xfId="57" applyNumberFormat="1" applyFont="1" applyFill="1" applyBorder="1" applyAlignment="1">
      <alignment horizontal="center" vertical="center"/>
    </xf>
    <xf numFmtId="0" fontId="55" fillId="0" borderId="16" xfId="53" applyFont="1" applyBorder="1" applyAlignment="1">
      <alignment vertical="center"/>
    </xf>
    <xf numFmtId="0" fontId="55" fillId="0" borderId="16" xfId="53" quotePrefix="1" applyFont="1" applyBorder="1" applyAlignment="1">
      <alignment horizontal="center" vertical="center"/>
    </xf>
    <xf numFmtId="0" fontId="55" fillId="0" borderId="16" xfId="53" applyFont="1" applyBorder="1" applyAlignment="1">
      <alignment horizontal="center" vertical="center"/>
    </xf>
    <xf numFmtId="164" fontId="55" fillId="0" borderId="16" xfId="29" applyNumberFormat="1" applyFont="1" applyBorder="1" applyAlignment="1">
      <alignment vertical="center"/>
    </xf>
    <xf numFmtId="0" fontId="55" fillId="0" borderId="0" xfId="53" applyFont="1" applyAlignment="1">
      <alignment vertical="center"/>
    </xf>
    <xf numFmtId="0" fontId="41" fillId="0" borderId="16" xfId="53" quotePrefix="1" applyFont="1" applyBorder="1" applyAlignment="1">
      <alignment vertical="center"/>
    </xf>
    <xf numFmtId="0" fontId="41" fillId="0" borderId="16" xfId="53" applyFont="1" applyBorder="1" applyAlignment="1">
      <alignment horizontal="center" vertical="center"/>
    </xf>
    <xf numFmtId="164" fontId="41" fillId="0" borderId="16" xfId="53" applyNumberFormat="1" applyFont="1" applyBorder="1" applyAlignment="1">
      <alignment horizontal="center" vertical="center"/>
    </xf>
    <xf numFmtId="0" fontId="41" fillId="0" borderId="17" xfId="53" applyFont="1" applyBorder="1" applyAlignment="1">
      <alignment vertical="center"/>
    </xf>
    <xf numFmtId="0" fontId="41" fillId="0" borderId="17" xfId="53" quotePrefix="1" applyFont="1" applyBorder="1" applyAlignment="1">
      <alignment vertical="center"/>
    </xf>
    <xf numFmtId="0" fontId="41" fillId="0" borderId="17" xfId="53" applyFont="1" applyBorder="1" applyAlignment="1">
      <alignment horizontal="center" vertical="center"/>
    </xf>
    <xf numFmtId="43" fontId="41" fillId="0" borderId="17" xfId="29" applyFont="1" applyBorder="1" applyAlignment="1">
      <alignment horizontal="center" vertical="center"/>
    </xf>
    <xf numFmtId="164" fontId="41" fillId="0" borderId="17" xfId="53" applyNumberFormat="1" applyFont="1" applyBorder="1" applyAlignment="1">
      <alignment horizontal="center" vertical="center"/>
    </xf>
    <xf numFmtId="0" fontId="41" fillId="0" borderId="0" xfId="53" quotePrefix="1" applyFont="1" applyAlignment="1">
      <alignment vertical="center"/>
    </xf>
    <xf numFmtId="0" fontId="30" fillId="0" borderId="0" xfId="53" applyFont="1" applyBorder="1" applyAlignment="1">
      <alignment horizontal="left"/>
    </xf>
    <xf numFmtId="0" fontId="30" fillId="0" borderId="0" xfId="56" applyFont="1" applyBorder="1" applyAlignment="1">
      <alignment horizontal="left"/>
    </xf>
    <xf numFmtId="164" fontId="30" fillId="0" borderId="0" xfId="0" applyNumberFormat="1" applyFont="1" applyBorder="1" applyAlignment="1">
      <alignment horizontal="left" vertical="center"/>
    </xf>
    <xf numFmtId="0" fontId="30" fillId="0" borderId="0" xfId="53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left"/>
    </xf>
    <xf numFmtId="49" fontId="41" fillId="0" borderId="0" xfId="0" applyNumberFormat="1" applyFont="1" applyBorder="1" applyAlignment="1">
      <alignment horizontal="left"/>
    </xf>
    <xf numFmtId="41" fontId="41" fillId="0" borderId="0" xfId="0" applyNumberFormat="1" applyFont="1" applyBorder="1" applyAlignment="1">
      <alignment horizontal="left"/>
    </xf>
    <xf numFmtId="164" fontId="30" fillId="0" borderId="0" xfId="53" applyNumberFormat="1" applyFont="1" applyBorder="1" applyAlignment="1">
      <alignment horizontal="left" vertical="center"/>
    </xf>
    <xf numFmtId="164" fontId="30" fillId="0" borderId="0" xfId="56" applyNumberFormat="1" applyFont="1" applyBorder="1" applyAlignment="1">
      <alignment horizontal="left"/>
    </xf>
    <xf numFmtId="164" fontId="30" fillId="0" borderId="0" xfId="29" applyNumberFormat="1" applyFont="1" applyAlignment="1">
      <alignment vertical="center"/>
    </xf>
    <xf numFmtId="0" fontId="41" fillId="0" borderId="19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41" fillId="25" borderId="25" xfId="54" applyFont="1" applyFill="1" applyBorder="1" applyAlignment="1">
      <alignment vertical="center" wrapText="1"/>
    </xf>
    <xf numFmtId="14" fontId="41" fillId="0" borderId="16" xfId="46" applyNumberFormat="1" applyFont="1" applyBorder="1" applyAlignment="1">
      <alignment horizontal="center" vertical="center"/>
    </xf>
    <xf numFmtId="14" fontId="41" fillId="0" borderId="16" xfId="46" applyNumberFormat="1" applyFont="1" applyFill="1" applyBorder="1" applyAlignment="1">
      <alignment horizontal="center" vertical="center"/>
    </xf>
    <xf numFmtId="14" fontId="41" fillId="25" borderId="25" xfId="54" applyNumberFormat="1" applyFont="1" applyFill="1" applyBorder="1" applyAlignment="1">
      <alignment horizontal="center" vertical="center" wrapText="1"/>
    </xf>
    <xf numFmtId="14" fontId="41" fillId="0" borderId="16" xfId="46" applyNumberFormat="1" applyFont="1" applyBorder="1" applyAlignment="1">
      <alignment horizontal="center" vertical="center" wrapText="1"/>
    </xf>
    <xf numFmtId="0" fontId="55" fillId="0" borderId="18" xfId="52" applyFont="1" applyFill="1" applyBorder="1" applyAlignment="1">
      <alignment vertical="center" wrapText="1"/>
    </xf>
    <xf numFmtId="0" fontId="41" fillId="25" borderId="16" xfId="54" applyFont="1" applyFill="1" applyBorder="1" applyAlignment="1">
      <alignment vertical="center" wrapText="1"/>
    </xf>
    <xf numFmtId="0" fontId="55" fillId="0" borderId="16" xfId="52" applyFont="1" applyFill="1" applyBorder="1" applyAlignment="1">
      <alignment vertical="center" wrapText="1"/>
    </xf>
    <xf numFmtId="0" fontId="41" fillId="0" borderId="0" xfId="0" applyFont="1"/>
    <xf numFmtId="0" fontId="41" fillId="0" borderId="0" xfId="53" applyFont="1" applyAlignment="1">
      <alignment horizontal="right" vertical="center"/>
    </xf>
    <xf numFmtId="0" fontId="41" fillId="0" borderId="0" xfId="53" applyFont="1" applyAlignment="1">
      <alignment horizontal="left" vertical="center"/>
    </xf>
    <xf numFmtId="0" fontId="0" fillId="0" borderId="0" xfId="0" applyAlignment="1">
      <alignment vertical="center"/>
    </xf>
    <xf numFmtId="164" fontId="41" fillId="0" borderId="16" xfId="29" applyNumberFormat="1" applyFont="1" applyFill="1" applyBorder="1" applyAlignment="1">
      <alignment horizontal="center" vertical="center"/>
    </xf>
    <xf numFmtId="43" fontId="41" fillId="0" borderId="16" xfId="29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41" fillId="0" borderId="16" xfId="57" applyNumberFormat="1" applyFont="1" applyFill="1" applyBorder="1" applyAlignment="1">
      <alignment horizontal="left" vertical="center"/>
    </xf>
    <xf numFmtId="0" fontId="55" fillId="0" borderId="16" xfId="53" applyFont="1" applyBorder="1" applyAlignment="1">
      <alignment horizontal="left" vertical="center"/>
    </xf>
    <xf numFmtId="0" fontId="41" fillId="0" borderId="16" xfId="53" applyNumberFormat="1" applyFont="1" applyBorder="1" applyAlignment="1">
      <alignment horizontal="center" vertical="center"/>
    </xf>
    <xf numFmtId="14" fontId="41" fillId="0" borderId="16" xfId="77" applyNumberFormat="1" applyFont="1" applyFill="1" applyBorder="1" applyAlignment="1">
      <alignment horizontal="center" vertical="center" wrapText="1"/>
    </xf>
    <xf numFmtId="0" fontId="41" fillId="0" borderId="16" xfId="77" applyFont="1" applyFill="1" applyBorder="1" applyAlignment="1">
      <alignment horizontal="center" vertical="center" wrapText="1"/>
    </xf>
    <xf numFmtId="0" fontId="41" fillId="0" borderId="16" xfId="77" applyFont="1" applyFill="1" applyBorder="1" applyAlignment="1">
      <alignment vertical="center" wrapText="1"/>
    </xf>
    <xf numFmtId="0" fontId="41" fillId="0" borderId="16" xfId="77" quotePrefix="1" applyFont="1" applyFill="1" applyBorder="1" applyAlignment="1">
      <alignment horizontal="center" vertical="center" wrapText="1"/>
    </xf>
    <xf numFmtId="0" fontId="57" fillId="0" borderId="16" xfId="77" applyFont="1" applyFill="1" applyBorder="1" applyAlignment="1">
      <alignment vertical="center" wrapText="1"/>
    </xf>
    <xf numFmtId="14" fontId="30" fillId="0" borderId="16" xfId="53" applyNumberFormat="1" applyFont="1" applyBorder="1" applyAlignment="1">
      <alignment horizontal="left" vertical="center"/>
    </xf>
    <xf numFmtId="0" fontId="30" fillId="0" borderId="0" xfId="78" applyFont="1" applyBorder="1" applyAlignment="1">
      <alignment vertical="center"/>
    </xf>
    <xf numFmtId="164" fontId="16" fillId="0" borderId="0" xfId="55" applyNumberFormat="1" applyFont="1" applyAlignment="1">
      <alignment vertical="center"/>
    </xf>
    <xf numFmtId="0" fontId="41" fillId="0" borderId="16" xfId="52" applyFont="1" applyFill="1" applyBorder="1" applyAlignment="1">
      <alignment vertical="center" wrapText="1"/>
    </xf>
    <xf numFmtId="43" fontId="41" fillId="0" borderId="16" xfId="29" applyFont="1" applyBorder="1" applyAlignment="1">
      <alignment horizontal="center" vertical="center"/>
    </xf>
    <xf numFmtId="0" fontId="57" fillId="0" borderId="16" xfId="52" applyFont="1" applyFill="1" applyBorder="1" applyAlignment="1">
      <alignment vertical="center" wrapText="1"/>
    </xf>
    <xf numFmtId="0" fontId="57" fillId="25" borderId="16" xfId="54" applyFont="1" applyFill="1" applyBorder="1" applyAlignment="1">
      <alignment vertical="center" wrapText="1"/>
    </xf>
    <xf numFmtId="164" fontId="59" fillId="0" borderId="16" xfId="0" applyNumberFormat="1" applyFont="1" applyBorder="1" applyAlignment="1">
      <alignment vertical="center" wrapText="1"/>
    </xf>
    <xf numFmtId="164" fontId="59" fillId="0" borderId="16" xfId="0" applyNumberFormat="1" applyFont="1" applyBorder="1" applyAlignment="1">
      <alignment horizontal="left" vertical="center" wrapText="1"/>
    </xf>
    <xf numFmtId="164" fontId="59" fillId="0" borderId="16" xfId="57" applyNumberFormat="1" applyFont="1" applyBorder="1" applyAlignment="1">
      <alignment horizontal="center" vertical="center"/>
    </xf>
    <xf numFmtId="164" fontId="41" fillId="0" borderId="16" xfId="57" applyNumberFormat="1" applyFont="1" applyFill="1" applyBorder="1" applyAlignment="1">
      <alignment horizontal="left" vertical="center"/>
    </xf>
    <xf numFmtId="43" fontId="41" fillId="0" borderId="0" xfId="55" applyNumberFormat="1" applyFont="1" applyAlignment="1">
      <alignment vertical="center"/>
    </xf>
    <xf numFmtId="164" fontId="41" fillId="0" borderId="0" xfId="29" applyNumberFormat="1" applyFont="1" applyAlignment="1">
      <alignment vertical="center"/>
    </xf>
    <xf numFmtId="0" fontId="57" fillId="0" borderId="16" xfId="53" applyNumberFormat="1" applyFont="1" applyBorder="1" applyAlignment="1">
      <alignment horizontal="center" vertical="center"/>
    </xf>
    <xf numFmtId="0" fontId="57" fillId="0" borderId="16" xfId="52" applyFont="1" applyFill="1" applyBorder="1" applyAlignment="1">
      <alignment horizontal="center" vertical="center" wrapText="1"/>
    </xf>
    <xf numFmtId="14" fontId="57" fillId="0" borderId="16" xfId="57" applyNumberFormat="1" applyFont="1" applyFill="1" applyBorder="1" applyAlignment="1">
      <alignment horizontal="center" vertical="center"/>
    </xf>
    <xf numFmtId="0" fontId="57" fillId="0" borderId="18" xfId="52" applyFont="1" applyFill="1" applyBorder="1" applyAlignment="1">
      <alignment vertical="center" wrapText="1"/>
    </xf>
    <xf numFmtId="0" fontId="57" fillId="25" borderId="25" xfId="54" applyFont="1" applyFill="1" applyBorder="1" applyAlignment="1">
      <alignment vertical="center" wrapText="1"/>
    </xf>
    <xf numFmtId="0" fontId="57" fillId="0" borderId="16" xfId="53" quotePrefix="1" applyFont="1" applyBorder="1" applyAlignment="1">
      <alignment horizontal="center" vertical="center"/>
    </xf>
    <xf numFmtId="164" fontId="57" fillId="25" borderId="16" xfId="29" applyNumberFormat="1" applyFont="1" applyFill="1" applyBorder="1" applyAlignment="1">
      <alignment horizontal="center" vertical="center" wrapText="1"/>
    </xf>
    <xf numFmtId="43" fontId="57" fillId="0" borderId="16" xfId="29" applyFont="1" applyFill="1" applyBorder="1" applyAlignment="1">
      <alignment horizontal="center" vertical="center" wrapText="1"/>
    </xf>
    <xf numFmtId="164" fontId="57" fillId="0" borderId="16" xfId="29" applyNumberFormat="1" applyFont="1" applyBorder="1" applyAlignment="1">
      <alignment vertical="center"/>
    </xf>
    <xf numFmtId="0" fontId="57" fillId="0" borderId="0" xfId="53" applyFont="1" applyAlignment="1">
      <alignment vertical="center"/>
    </xf>
    <xf numFmtId="14" fontId="57" fillId="0" borderId="16" xfId="53" applyNumberFormat="1" applyFont="1" applyBorder="1" applyAlignment="1">
      <alignment horizontal="center" vertical="center"/>
    </xf>
    <xf numFmtId="0" fontId="57" fillId="0" borderId="0" xfId="0" applyFont="1"/>
    <xf numFmtId="0" fontId="57" fillId="0" borderId="16" xfId="77" applyFont="1" applyFill="1" applyBorder="1" applyAlignment="1">
      <alignment horizontal="center" vertical="center" wrapText="1"/>
    </xf>
    <xf numFmtId="14" fontId="57" fillId="0" borderId="16" xfId="77" applyNumberFormat="1" applyFont="1" applyFill="1" applyBorder="1" applyAlignment="1">
      <alignment horizontal="center" vertical="center" wrapText="1"/>
    </xf>
    <xf numFmtId="0" fontId="57" fillId="0" borderId="16" xfId="77" quotePrefix="1" applyFont="1" applyFill="1" applyBorder="1" applyAlignment="1">
      <alignment horizontal="center" vertical="center" wrapText="1"/>
    </xf>
    <xf numFmtId="3" fontId="57" fillId="0" borderId="16" xfId="46" applyFont="1" applyBorder="1" applyAlignment="1">
      <alignment vertical="center"/>
    </xf>
    <xf numFmtId="0" fontId="57" fillId="25" borderId="24" xfId="54" applyFont="1" applyFill="1" applyBorder="1" applyAlignment="1">
      <alignment vertical="center" wrapText="1"/>
    </xf>
    <xf numFmtId="0" fontId="54" fillId="0" borderId="29" xfId="61" applyFont="1" applyBorder="1" applyAlignment="1">
      <alignment horizontal="center" vertical="center"/>
    </xf>
    <xf numFmtId="0" fontId="40" fillId="21" borderId="30" xfId="34" applyFont="1" applyBorder="1" applyAlignment="1">
      <alignment horizontal="center" vertical="center" wrapText="1"/>
    </xf>
    <xf numFmtId="0" fontId="40" fillId="21" borderId="19" xfId="34" applyFont="1" applyBorder="1" applyAlignment="1">
      <alignment horizontal="center" vertical="center" wrapText="1"/>
    </xf>
    <xf numFmtId="0" fontId="40" fillId="21" borderId="21" xfId="55" applyFont="1" applyFill="1" applyBorder="1" applyAlignment="1">
      <alignment horizontal="center" vertical="center"/>
    </xf>
    <xf numFmtId="0" fontId="40" fillId="21" borderId="22" xfId="55" applyFont="1" applyFill="1" applyBorder="1" applyAlignment="1">
      <alignment horizontal="center" vertical="center"/>
    </xf>
    <xf numFmtId="0" fontId="40" fillId="21" borderId="26" xfId="55" applyFont="1" applyFill="1" applyBorder="1" applyAlignment="1">
      <alignment horizontal="center" vertical="center"/>
    </xf>
    <xf numFmtId="0" fontId="40" fillId="21" borderId="21" xfId="34" applyFont="1" applyBorder="1" applyAlignment="1">
      <alignment horizontal="center" vertical="center" wrapText="1"/>
    </xf>
    <xf numFmtId="0" fontId="40" fillId="21" borderId="22" xfId="34" applyFont="1" applyBorder="1" applyAlignment="1">
      <alignment horizontal="center" vertical="center" wrapText="1"/>
    </xf>
    <xf numFmtId="0" fontId="40" fillId="21" borderId="26" xfId="34" applyFont="1" applyBorder="1" applyAlignment="1">
      <alignment horizontal="center" vertical="center" wrapText="1"/>
    </xf>
    <xf numFmtId="0" fontId="41" fillId="0" borderId="21" xfId="53" applyFont="1" applyBorder="1" applyAlignment="1">
      <alignment horizontal="center" vertical="center" wrapText="1"/>
    </xf>
    <xf numFmtId="0" fontId="41" fillId="0" borderId="22" xfId="53" applyFont="1" applyBorder="1" applyAlignment="1">
      <alignment horizontal="center" vertical="center" wrapText="1"/>
    </xf>
    <xf numFmtId="0" fontId="41" fillId="0" borderId="26" xfId="53" applyFont="1" applyBorder="1" applyAlignment="1">
      <alignment horizontal="center" vertical="center" wrapText="1"/>
    </xf>
    <xf numFmtId="0" fontId="41" fillId="0" borderId="30" xfId="53" applyFont="1" applyBorder="1" applyAlignment="1">
      <alignment horizontal="center" vertical="center"/>
    </xf>
    <xf numFmtId="0" fontId="41" fillId="0" borderId="19" xfId="53" applyFont="1" applyBorder="1" applyAlignment="1">
      <alignment horizontal="center" vertical="center"/>
    </xf>
    <xf numFmtId="0" fontId="41" fillId="0" borderId="5" xfId="53" applyFont="1" applyBorder="1" applyAlignment="1">
      <alignment horizontal="center" vertical="center"/>
    </xf>
    <xf numFmtId="0" fontId="41" fillId="0" borderId="21" xfId="53" applyFont="1" applyBorder="1" applyAlignment="1">
      <alignment horizontal="center" vertical="center" wrapText="1" shrinkToFit="1"/>
    </xf>
    <xf numFmtId="0" fontId="41" fillId="0" borderId="26" xfId="53" applyFont="1" applyBorder="1" applyAlignment="1">
      <alignment horizontal="center" vertical="center" wrapText="1" shrinkToFit="1"/>
    </xf>
    <xf numFmtId="0" fontId="41" fillId="0" borderId="30" xfId="53" applyFont="1" applyBorder="1" applyAlignment="1">
      <alignment horizontal="center" vertical="center" wrapText="1" shrinkToFit="1"/>
    </xf>
    <xf numFmtId="0" fontId="41" fillId="0" borderId="19" xfId="53" applyFont="1" applyBorder="1" applyAlignment="1">
      <alignment horizontal="center" vertical="center" wrapText="1" shrinkToFit="1"/>
    </xf>
    <xf numFmtId="0" fontId="41" fillId="0" borderId="0" xfId="53" applyFont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54" fillId="0" borderId="0" xfId="53" applyFont="1" applyAlignment="1">
      <alignment horizontal="center" vertical="center"/>
    </xf>
    <xf numFmtId="0" fontId="56" fillId="0" borderId="0" xfId="53" applyFont="1" applyAlignment="1">
      <alignment horizontal="center" vertical="center"/>
    </xf>
    <xf numFmtId="0" fontId="41" fillId="25" borderId="0" xfId="54" applyFont="1" applyFill="1" applyAlignment="1">
      <alignment horizontal="center" vertical="center"/>
    </xf>
    <xf numFmtId="0" fontId="41" fillId="0" borderId="29" xfId="53" applyFont="1" applyBorder="1" applyAlignment="1">
      <alignment horizontal="right" vertical="center"/>
    </xf>
    <xf numFmtId="0" fontId="38" fillId="0" borderId="22" xfId="52" applyFont="1" applyBorder="1" applyAlignment="1">
      <alignment vertical="center"/>
    </xf>
    <xf numFmtId="0" fontId="38" fillId="0" borderId="26" xfId="52" applyFont="1" applyBorder="1" applyAlignment="1">
      <alignment vertical="center"/>
    </xf>
    <xf numFmtId="0" fontId="38" fillId="0" borderId="5" xfId="52" applyFont="1" applyBorder="1" applyAlignment="1">
      <alignment vertical="center"/>
    </xf>
    <xf numFmtId="0" fontId="38" fillId="0" borderId="19" xfId="52" applyFont="1" applyBorder="1" applyAlignment="1">
      <alignment vertical="center"/>
    </xf>
    <xf numFmtId="0" fontId="30" fillId="0" borderId="0" xfId="53" applyFont="1" applyAlignment="1">
      <alignment horizontal="center" vertical="center"/>
    </xf>
    <xf numFmtId="0" fontId="30" fillId="0" borderId="2" xfId="53" applyFont="1" applyBorder="1" applyAlignment="1">
      <alignment horizontal="center" vertical="center" wrapText="1"/>
    </xf>
    <xf numFmtId="0" fontId="30" fillId="0" borderId="23" xfId="53" applyFont="1" applyBorder="1" applyAlignment="1">
      <alignment horizontal="center" vertical="center" wrapText="1"/>
    </xf>
    <xf numFmtId="0" fontId="33" fillId="0" borderId="27" xfId="53" applyFont="1" applyBorder="1" applyAlignment="1">
      <alignment horizontal="center" vertical="center" wrapText="1"/>
    </xf>
    <xf numFmtId="49" fontId="30" fillId="0" borderId="21" xfId="53" applyNumberFormat="1" applyFont="1" applyBorder="1" applyAlignment="1">
      <alignment horizontal="center" vertical="center" wrapText="1" shrinkToFit="1"/>
    </xf>
    <xf numFmtId="49" fontId="30" fillId="0" borderId="26" xfId="53" applyNumberFormat="1" applyFont="1" applyBorder="1" applyAlignment="1">
      <alignment horizontal="center" vertical="center" wrapText="1" shrinkToFit="1"/>
    </xf>
    <xf numFmtId="0" fontId="30" fillId="0" borderId="21" xfId="53" applyFont="1" applyBorder="1" applyAlignment="1">
      <alignment horizontal="center" vertical="center" wrapText="1" shrinkToFit="1"/>
    </xf>
    <xf numFmtId="0" fontId="30" fillId="0" borderId="26" xfId="53" applyFont="1" applyBorder="1" applyAlignment="1">
      <alignment horizontal="center" vertical="center" wrapText="1" shrinkToFit="1"/>
    </xf>
    <xf numFmtId="164" fontId="30" fillId="0" borderId="21" xfId="29" applyNumberFormat="1" applyFont="1" applyBorder="1" applyAlignment="1">
      <alignment horizontal="center" vertical="center" wrapText="1" shrinkToFit="1"/>
    </xf>
    <xf numFmtId="164" fontId="30" fillId="0" borderId="26" xfId="29" applyNumberFormat="1" applyFont="1" applyBorder="1" applyAlignment="1">
      <alignment horizontal="center" vertical="center" wrapText="1" shrinkToFit="1"/>
    </xf>
    <xf numFmtId="164" fontId="31" fillId="0" borderId="0" xfId="29" applyNumberFormat="1" applyFont="1" applyAlignment="1">
      <alignment horizontal="center" vertical="center" wrapText="1"/>
    </xf>
    <xf numFmtId="164" fontId="30" fillId="0" borderId="0" xfId="29" applyNumberFormat="1" applyFont="1" applyAlignment="1">
      <alignment horizontal="center" vertical="center" wrapText="1"/>
    </xf>
    <xf numFmtId="0" fontId="33" fillId="0" borderId="28" xfId="53" applyFont="1" applyBorder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30" fillId="0" borderId="0" xfId="53" quotePrefix="1" applyFont="1" applyAlignment="1">
      <alignment horizontal="center" vertical="center"/>
    </xf>
    <xf numFmtId="0" fontId="30" fillId="0" borderId="29" xfId="53" applyFont="1" applyBorder="1" applyAlignment="1">
      <alignment horizontal="center" vertical="center"/>
    </xf>
    <xf numFmtId="0" fontId="30" fillId="0" borderId="0" xfId="53" applyFont="1" applyBorder="1" applyAlignment="1">
      <alignment horizontal="center" vertical="center"/>
    </xf>
    <xf numFmtId="0" fontId="30" fillId="0" borderId="29" xfId="53" applyFont="1" applyBorder="1" applyAlignment="1">
      <alignment horizontal="right" vertical="center"/>
    </xf>
    <xf numFmtId="0" fontId="42" fillId="25" borderId="0" xfId="58" applyFont="1" applyFill="1" applyAlignment="1">
      <alignment horizontal="center" vertical="center"/>
    </xf>
    <xf numFmtId="0" fontId="44" fillId="25" borderId="0" xfId="58" applyFont="1" applyFill="1" applyAlignment="1">
      <alignment horizontal="center" vertical="center" wrapText="1"/>
    </xf>
  </cellXfs>
  <cellStyles count="7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7"/>
    <cellStyle name="Normal_3411 - 15" xfId="52"/>
    <cellStyle name="Normal_Ban ke 2014" xfId="78"/>
    <cellStyle name="Normal_Copy of Ke-toan-mo-phong-mauso_ke_toan_NKC_excel-2" xfId="53"/>
    <cellStyle name="Normal_CT vay" xfId="54"/>
    <cellStyle name="Normal_Ctkt08" xfId="55"/>
    <cellStyle name="Normal_Ke-toan-mo-phong-mauso_ke_toan_NKC_excel-1" xfId="56"/>
    <cellStyle name="Normal_ketoanthucte_NhatKySoCai" xfId="57"/>
    <cellStyle name="Normal_QTTU-14" xfId="58"/>
    <cellStyle name="Note" xfId="59" builtinId="10" customBuiltin="1"/>
    <cellStyle name="Output" xfId="60" builtinId="21" customBuiltin="1"/>
    <cellStyle name="TD1" xfId="61"/>
    <cellStyle name="Title" xfId="62" builtinId="15" customBuiltin="1"/>
    <cellStyle name="Total" xfId="63" builtinId="25" customBuiltin="1"/>
    <cellStyle name="Tua de so" xfId="64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1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%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TTK"/>
      <sheetName val="SO - TS"/>
      <sheetName val="THE-TS"/>
      <sheetName val="411"/>
      <sheetName val="Sheet1"/>
    </sheetNames>
    <sheetDataSet>
      <sheetData sheetId="0">
        <row r="15">
          <cell r="E15">
            <v>51400722066</v>
          </cell>
        </row>
        <row r="54">
          <cell r="D54">
            <v>23117050188</v>
          </cell>
          <cell r="E54">
            <v>33761738100</v>
          </cell>
          <cell r="F54">
            <v>32589511291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9"/>
  </sheetPr>
  <dimension ref="A1:R54"/>
  <sheetViews>
    <sheetView showZeros="0" workbookViewId="0">
      <pane xSplit="3" ySplit="4" topLeftCell="G5" activePane="bottomRight" state="frozen"/>
      <selection pane="topRight" activeCell="D1" sqref="D1"/>
      <selection pane="bottomLeft" activeCell="A5" sqref="A5"/>
      <selection pane="bottomRight" activeCell="G17" sqref="G17"/>
    </sheetView>
  </sheetViews>
  <sheetFormatPr defaultColWidth="9.140625" defaultRowHeight="13.5"/>
  <cols>
    <col min="1" max="1" width="4.28515625" style="153" customWidth="1"/>
    <col min="2" max="2" width="21.85546875" style="153" customWidth="1"/>
    <col min="3" max="3" width="8.7109375" style="153" customWidth="1"/>
    <col min="4" max="4" width="9" style="153" customWidth="1"/>
    <col min="5" max="5" width="9.7109375" style="153" customWidth="1"/>
    <col min="6" max="6" width="11.42578125" style="153" customWidth="1"/>
    <col min="7" max="7" width="13.7109375" style="153" customWidth="1"/>
    <col min="8" max="8" width="11.140625" style="153" customWidth="1"/>
    <col min="9" max="9" width="14.140625" style="173" customWidth="1"/>
    <col min="10" max="10" width="11" style="153" customWidth="1"/>
    <col min="11" max="11" width="13.85546875" style="153" customWidth="1"/>
    <col min="12" max="12" width="9.7109375" style="153" customWidth="1"/>
    <col min="13" max="13" width="12.42578125" style="153" customWidth="1"/>
    <col min="14" max="14" width="11.42578125" style="153" customWidth="1"/>
    <col min="15" max="15" width="13" style="173" customWidth="1"/>
    <col min="16" max="16" width="13.7109375" style="153" customWidth="1"/>
    <col min="17" max="18" width="12.85546875" style="153" bestFit="1" customWidth="1"/>
    <col min="19" max="16384" width="9.140625" style="153"/>
  </cols>
  <sheetData>
    <row r="1" spans="1:18" ht="21.75" customHeight="1">
      <c r="A1" s="273" t="s">
        <v>107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</row>
    <row r="2" spans="1:18" s="156" customFormat="1" ht="13.5" customHeight="1">
      <c r="A2" s="276" t="s">
        <v>108</v>
      </c>
      <c r="B2" s="279" t="s">
        <v>109</v>
      </c>
      <c r="C2" s="279" t="s">
        <v>233</v>
      </c>
      <c r="D2" s="154" t="s">
        <v>110</v>
      </c>
      <c r="E2" s="154"/>
      <c r="F2" s="154"/>
      <c r="G2" s="154"/>
      <c r="H2" s="154" t="s">
        <v>111</v>
      </c>
      <c r="I2" s="155"/>
      <c r="J2" s="154"/>
      <c r="K2" s="154"/>
      <c r="L2" s="154" t="s">
        <v>112</v>
      </c>
      <c r="M2" s="154"/>
      <c r="N2" s="154"/>
      <c r="O2" s="155"/>
    </row>
    <row r="3" spans="1:18" s="156" customFormat="1" ht="14.25" customHeight="1">
      <c r="A3" s="277"/>
      <c r="B3" s="280"/>
      <c r="C3" s="280"/>
      <c r="D3" s="274" t="s">
        <v>113</v>
      </c>
      <c r="E3" s="275"/>
      <c r="F3" s="274" t="s">
        <v>114</v>
      </c>
      <c r="G3" s="275"/>
      <c r="H3" s="274" t="s">
        <v>113</v>
      </c>
      <c r="I3" s="275"/>
      <c r="J3" s="274" t="s">
        <v>114</v>
      </c>
      <c r="K3" s="275"/>
      <c r="L3" s="274" t="s">
        <v>113</v>
      </c>
      <c r="M3" s="275"/>
      <c r="N3" s="274" t="s">
        <v>114</v>
      </c>
      <c r="O3" s="275"/>
    </row>
    <row r="4" spans="1:18" s="156" customFormat="1" ht="30" customHeight="1">
      <c r="A4" s="278"/>
      <c r="B4" s="281"/>
      <c r="C4" s="281"/>
      <c r="D4" s="157" t="s">
        <v>115</v>
      </c>
      <c r="E4" s="157" t="s">
        <v>116</v>
      </c>
      <c r="F4" s="157" t="s">
        <v>115</v>
      </c>
      <c r="G4" s="157" t="s">
        <v>116</v>
      </c>
      <c r="H4" s="157" t="s">
        <v>115</v>
      </c>
      <c r="I4" s="158" t="s">
        <v>116</v>
      </c>
      <c r="J4" s="157" t="s">
        <v>115</v>
      </c>
      <c r="K4" s="157" t="s">
        <v>116</v>
      </c>
      <c r="L4" s="157" t="s">
        <v>115</v>
      </c>
      <c r="M4" s="157" t="s">
        <v>116</v>
      </c>
      <c r="N4" s="157" t="s">
        <v>115</v>
      </c>
      <c r="O4" s="158" t="s">
        <v>116</v>
      </c>
      <c r="P4" s="255">
        <v>21230</v>
      </c>
      <c r="Q4" s="255">
        <v>22485</v>
      </c>
    </row>
    <row r="5" spans="1:18" s="156" customFormat="1" ht="18" customHeight="1">
      <c r="A5" s="159">
        <v>1</v>
      </c>
      <c r="B5" s="160" t="s">
        <v>117</v>
      </c>
      <c r="C5" s="221">
        <v>40200</v>
      </c>
      <c r="D5" s="161">
        <v>0</v>
      </c>
      <c r="E5" s="162">
        <v>0</v>
      </c>
      <c r="F5" s="161">
        <v>27926</v>
      </c>
      <c r="G5" s="162">
        <v>401936849</v>
      </c>
      <c r="H5" s="161">
        <f t="shared" ref="H5:H19" ca="1" si="0">SUMIF(KUTH,$B5,_TH1)</f>
        <v>14011</v>
      </c>
      <c r="I5" s="162">
        <f t="shared" ref="I5:I19" ca="1" si="1">SUMIF(KUTH,$B5,_TH2)</f>
        <v>315037335</v>
      </c>
      <c r="J5" s="161">
        <f t="shared" ref="J5:J19" ca="1" si="2">SUMIF(KUTH,$B5,_TH3)</f>
        <v>0</v>
      </c>
      <c r="K5" s="162">
        <f t="shared" ref="K5:K19" ca="1" si="3">SUMIF(KUTH,$B5,_TH4)</f>
        <v>225979261</v>
      </c>
      <c r="L5" s="163">
        <f t="shared" ref="L5:L19" ca="1" si="4">ROUND(MAX(D5+H5-F5-J5,0),2)</f>
        <v>0</v>
      </c>
      <c r="M5" s="164">
        <f t="shared" ref="M5:M19" ca="1" si="5">ROUND(MAX(E5+I5-G5-K5,0),2)</f>
        <v>0</v>
      </c>
      <c r="N5" s="163">
        <f t="shared" ref="N5:N19" ca="1" si="6">ROUND(MAX(F5+J5-D5-H5,0),2)</f>
        <v>13915</v>
      </c>
      <c r="O5" s="164">
        <f t="shared" ref="O5:O19" ca="1" si="7">ROUND(MAX(G5+K5-E5-I5,0),2)</f>
        <v>312878775</v>
      </c>
      <c r="P5" s="255">
        <v>592868980</v>
      </c>
      <c r="Q5" s="255">
        <f ca="1">ROUND(N5*$Q$4,0)</f>
        <v>312878775</v>
      </c>
      <c r="R5" s="254">
        <f ca="1">Q5-O5</f>
        <v>0</v>
      </c>
    </row>
    <row r="6" spans="1:18" s="156" customFormat="1" ht="18" customHeight="1">
      <c r="A6" s="159">
        <v>2</v>
      </c>
      <c r="B6" s="160" t="s">
        <v>118</v>
      </c>
      <c r="C6" s="221">
        <v>40964</v>
      </c>
      <c r="D6" s="161">
        <v>0</v>
      </c>
      <c r="E6" s="162">
        <v>0</v>
      </c>
      <c r="F6" s="161">
        <v>66230.39</v>
      </c>
      <c r="G6" s="162">
        <v>1369206677</v>
      </c>
      <c r="H6" s="161">
        <f t="shared" ca="1" si="0"/>
        <v>32911</v>
      </c>
      <c r="I6" s="162">
        <f t="shared" ca="1" si="1"/>
        <v>739808835</v>
      </c>
      <c r="J6" s="161">
        <f t="shared" ca="1" si="2"/>
        <v>0</v>
      </c>
      <c r="K6" s="162">
        <f t="shared" ca="1" si="3"/>
        <v>119788642</v>
      </c>
      <c r="L6" s="163">
        <f t="shared" ca="1" si="4"/>
        <v>0</v>
      </c>
      <c r="M6" s="164">
        <f t="shared" ca="1" si="5"/>
        <v>0</v>
      </c>
      <c r="N6" s="163">
        <f t="shared" ca="1" si="6"/>
        <v>33319.39</v>
      </c>
      <c r="O6" s="164">
        <f t="shared" ca="1" si="7"/>
        <v>749186484</v>
      </c>
      <c r="P6" s="255">
        <v>1406071180</v>
      </c>
      <c r="Q6" s="255">
        <f t="shared" ref="Q6:Q8" ca="1" si="8">ROUND(N6*$Q$4,0)</f>
        <v>749186484</v>
      </c>
      <c r="R6" s="254">
        <f t="shared" ref="R6:R8" ca="1" si="9">Q6-O6</f>
        <v>0</v>
      </c>
    </row>
    <row r="7" spans="1:18" s="156" customFormat="1" ht="18" customHeight="1">
      <c r="A7" s="159">
        <v>3</v>
      </c>
      <c r="B7" s="160" t="s">
        <v>119</v>
      </c>
      <c r="C7" s="221">
        <v>40964</v>
      </c>
      <c r="D7" s="161">
        <v>0</v>
      </c>
      <c r="E7" s="162">
        <v>0</v>
      </c>
      <c r="F7" s="161">
        <v>41173.96</v>
      </c>
      <c r="G7" s="162">
        <v>850672924</v>
      </c>
      <c r="H7" s="161">
        <f t="shared" ca="1" si="0"/>
        <v>20658</v>
      </c>
      <c r="I7" s="162">
        <f t="shared" ca="1" si="1"/>
        <v>464495130</v>
      </c>
      <c r="J7" s="161">
        <f t="shared" ca="1" si="2"/>
        <v>0</v>
      </c>
      <c r="K7" s="162">
        <f t="shared" ca="1" si="3"/>
        <v>75123567</v>
      </c>
      <c r="L7" s="163">
        <f t="shared" ca="1" si="4"/>
        <v>0</v>
      </c>
      <c r="M7" s="164">
        <f t="shared" ca="1" si="5"/>
        <v>0</v>
      </c>
      <c r="N7" s="163">
        <f t="shared" ca="1" si="6"/>
        <v>20515.96</v>
      </c>
      <c r="O7" s="164">
        <f t="shared" ca="1" si="7"/>
        <v>461301361</v>
      </c>
      <c r="P7" s="255">
        <v>874123171</v>
      </c>
      <c r="Q7" s="255">
        <f t="shared" ca="1" si="8"/>
        <v>461301361</v>
      </c>
      <c r="R7" s="254">
        <f t="shared" ca="1" si="9"/>
        <v>0</v>
      </c>
    </row>
    <row r="8" spans="1:18" s="156" customFormat="1" ht="18" customHeight="1">
      <c r="A8" s="159">
        <v>4</v>
      </c>
      <c r="B8" s="160" t="s">
        <v>120</v>
      </c>
      <c r="C8" s="221">
        <v>40964</v>
      </c>
      <c r="D8" s="161">
        <v>0</v>
      </c>
      <c r="E8" s="162">
        <v>0</v>
      </c>
      <c r="F8" s="161">
        <v>57639.38</v>
      </c>
      <c r="G8" s="162">
        <v>1190366038</v>
      </c>
      <c r="H8" s="161">
        <f t="shared" ca="1" si="0"/>
        <v>28920</v>
      </c>
      <c r="I8" s="162">
        <f t="shared" ca="1" si="1"/>
        <v>650266200</v>
      </c>
      <c r="J8" s="161">
        <f t="shared" ca="1" si="2"/>
        <v>0</v>
      </c>
      <c r="K8" s="162">
        <f t="shared" ca="1" si="3"/>
        <v>105655421</v>
      </c>
      <c r="L8" s="163">
        <f t="shared" ca="1" si="4"/>
        <v>0</v>
      </c>
      <c r="M8" s="164">
        <f t="shared" ca="1" si="5"/>
        <v>0</v>
      </c>
      <c r="N8" s="163">
        <f t="shared" ca="1" si="6"/>
        <v>28719.38</v>
      </c>
      <c r="O8" s="164">
        <f t="shared" ca="1" si="7"/>
        <v>645755259</v>
      </c>
      <c r="P8" s="255">
        <v>1223684037</v>
      </c>
      <c r="Q8" s="255">
        <f t="shared" ca="1" si="8"/>
        <v>645755259</v>
      </c>
      <c r="R8" s="254">
        <f t="shared" ca="1" si="9"/>
        <v>0</v>
      </c>
    </row>
    <row r="9" spans="1:18" s="156" customFormat="1" ht="18" customHeight="1">
      <c r="A9" s="159">
        <v>5</v>
      </c>
      <c r="B9" s="160" t="s">
        <v>121</v>
      </c>
      <c r="C9" s="221">
        <v>41822</v>
      </c>
      <c r="D9" s="161">
        <v>0</v>
      </c>
      <c r="E9" s="162">
        <v>0</v>
      </c>
      <c r="F9" s="161">
        <v>51500</v>
      </c>
      <c r="G9" s="162">
        <v>1094895000</v>
      </c>
      <c r="H9" s="161">
        <f t="shared" ca="1" si="0"/>
        <v>51500</v>
      </c>
      <c r="I9" s="162">
        <f t="shared" ca="1" si="1"/>
        <v>1099525000</v>
      </c>
      <c r="J9" s="161">
        <f t="shared" ca="1" si="2"/>
        <v>0</v>
      </c>
      <c r="K9" s="162">
        <f t="shared" ca="1" si="3"/>
        <v>4630000</v>
      </c>
      <c r="L9" s="163">
        <f t="shared" ca="1" si="4"/>
        <v>0</v>
      </c>
      <c r="M9" s="164">
        <f t="shared" ca="1" si="5"/>
        <v>0</v>
      </c>
      <c r="N9" s="163">
        <f t="shared" ca="1" si="6"/>
        <v>0</v>
      </c>
      <c r="O9" s="164">
        <f t="shared" ca="1" si="7"/>
        <v>0</v>
      </c>
    </row>
    <row r="10" spans="1:18" s="156" customFormat="1" ht="18" customHeight="1">
      <c r="A10" s="159">
        <v>6</v>
      </c>
      <c r="B10" s="160" t="s">
        <v>122</v>
      </c>
      <c r="C10" s="221">
        <v>41857</v>
      </c>
      <c r="D10" s="161">
        <v>0</v>
      </c>
      <c r="E10" s="162">
        <v>0</v>
      </c>
      <c r="F10" s="161">
        <v>60000</v>
      </c>
      <c r="G10" s="162">
        <v>1273500000</v>
      </c>
      <c r="H10" s="161">
        <f t="shared" ca="1" si="0"/>
        <v>60000</v>
      </c>
      <c r="I10" s="162">
        <f t="shared" ca="1" si="1"/>
        <v>1278900000</v>
      </c>
      <c r="J10" s="161">
        <f t="shared" ca="1" si="2"/>
        <v>0</v>
      </c>
      <c r="K10" s="162">
        <f t="shared" ca="1" si="3"/>
        <v>5400000</v>
      </c>
      <c r="L10" s="163">
        <f t="shared" ca="1" si="4"/>
        <v>0</v>
      </c>
      <c r="M10" s="164">
        <f t="shared" ca="1" si="5"/>
        <v>0</v>
      </c>
      <c r="N10" s="163">
        <f t="shared" ca="1" si="6"/>
        <v>0</v>
      </c>
      <c r="O10" s="164">
        <f t="shared" ca="1" si="7"/>
        <v>0</v>
      </c>
    </row>
    <row r="11" spans="1:18" s="156" customFormat="1" ht="18" customHeight="1">
      <c r="A11" s="159">
        <v>7</v>
      </c>
      <c r="B11" s="160" t="s">
        <v>123</v>
      </c>
      <c r="C11" s="221">
        <v>41871</v>
      </c>
      <c r="D11" s="161">
        <v>0</v>
      </c>
      <c r="E11" s="162">
        <v>0</v>
      </c>
      <c r="F11" s="161">
        <v>38000</v>
      </c>
      <c r="G11" s="162">
        <v>806550000</v>
      </c>
      <c r="H11" s="161">
        <f t="shared" ca="1" si="0"/>
        <v>38000</v>
      </c>
      <c r="I11" s="162">
        <f t="shared" ca="1" si="1"/>
        <v>809970000</v>
      </c>
      <c r="J11" s="161">
        <f t="shared" ca="1" si="2"/>
        <v>0</v>
      </c>
      <c r="K11" s="162">
        <f t="shared" ca="1" si="3"/>
        <v>3420000</v>
      </c>
      <c r="L11" s="163">
        <f t="shared" ca="1" si="4"/>
        <v>0</v>
      </c>
      <c r="M11" s="164">
        <f t="shared" ca="1" si="5"/>
        <v>0</v>
      </c>
      <c r="N11" s="163">
        <f t="shared" ca="1" si="6"/>
        <v>0</v>
      </c>
      <c r="O11" s="164">
        <f t="shared" ca="1" si="7"/>
        <v>0</v>
      </c>
    </row>
    <row r="12" spans="1:18" s="156" customFormat="1" ht="18" customHeight="1">
      <c r="A12" s="159">
        <v>8</v>
      </c>
      <c r="B12" s="160" t="s">
        <v>124</v>
      </c>
      <c r="C12" s="221">
        <v>41890</v>
      </c>
      <c r="D12" s="161">
        <v>0</v>
      </c>
      <c r="E12" s="162">
        <v>0</v>
      </c>
      <c r="F12" s="161">
        <v>46500</v>
      </c>
      <c r="G12" s="162">
        <v>984405000</v>
      </c>
      <c r="H12" s="161">
        <f t="shared" ca="1" si="0"/>
        <v>46500</v>
      </c>
      <c r="I12" s="162">
        <f t="shared" ca="1" si="1"/>
        <v>991845000</v>
      </c>
      <c r="J12" s="161">
        <f t="shared" ca="1" si="2"/>
        <v>0</v>
      </c>
      <c r="K12" s="162">
        <f t="shared" ca="1" si="3"/>
        <v>7440000</v>
      </c>
      <c r="L12" s="163">
        <f t="shared" ca="1" si="4"/>
        <v>0</v>
      </c>
      <c r="M12" s="164">
        <f t="shared" ca="1" si="5"/>
        <v>0</v>
      </c>
      <c r="N12" s="163">
        <f t="shared" ca="1" si="6"/>
        <v>0</v>
      </c>
      <c r="O12" s="164">
        <f t="shared" ca="1" si="7"/>
        <v>0</v>
      </c>
    </row>
    <row r="13" spans="1:18" s="156" customFormat="1" ht="18" customHeight="1">
      <c r="A13" s="159">
        <v>9</v>
      </c>
      <c r="B13" s="160" t="s">
        <v>125</v>
      </c>
      <c r="C13" s="221">
        <v>41893</v>
      </c>
      <c r="D13" s="161">
        <v>0</v>
      </c>
      <c r="E13" s="162">
        <v>0</v>
      </c>
      <c r="F13" s="161">
        <v>50870</v>
      </c>
      <c r="G13" s="162">
        <v>1078952700</v>
      </c>
      <c r="H13" s="161">
        <f t="shared" ca="1" si="0"/>
        <v>50870</v>
      </c>
      <c r="I13" s="162">
        <f t="shared" ca="1" si="1"/>
        <v>1085057100</v>
      </c>
      <c r="J13" s="161">
        <f t="shared" ca="1" si="2"/>
        <v>0</v>
      </c>
      <c r="K13" s="162">
        <f t="shared" ca="1" si="3"/>
        <v>6104400</v>
      </c>
      <c r="L13" s="163">
        <f t="shared" ca="1" si="4"/>
        <v>0</v>
      </c>
      <c r="M13" s="164">
        <f t="shared" ca="1" si="5"/>
        <v>0</v>
      </c>
      <c r="N13" s="163">
        <f t="shared" ca="1" si="6"/>
        <v>0</v>
      </c>
      <c r="O13" s="164">
        <f t="shared" ca="1" si="7"/>
        <v>0</v>
      </c>
    </row>
    <row r="14" spans="1:18" s="156" customFormat="1" ht="18" customHeight="1">
      <c r="A14" s="159">
        <v>10</v>
      </c>
      <c r="B14" s="160" t="s">
        <v>126</v>
      </c>
      <c r="C14" s="221">
        <v>41906</v>
      </c>
      <c r="D14" s="161">
        <v>0</v>
      </c>
      <c r="E14" s="162">
        <v>0</v>
      </c>
      <c r="F14" s="161">
        <v>90000</v>
      </c>
      <c r="G14" s="162">
        <v>1908900000</v>
      </c>
      <c r="H14" s="161">
        <f t="shared" ca="1" si="0"/>
        <v>90000</v>
      </c>
      <c r="I14" s="162">
        <f t="shared" ca="1" si="1"/>
        <v>1921500000</v>
      </c>
      <c r="J14" s="161">
        <f t="shared" ca="1" si="2"/>
        <v>0</v>
      </c>
      <c r="K14" s="162">
        <f t="shared" ca="1" si="3"/>
        <v>12600000</v>
      </c>
      <c r="L14" s="163">
        <f t="shared" ca="1" si="4"/>
        <v>0</v>
      </c>
      <c r="M14" s="164">
        <f t="shared" ca="1" si="5"/>
        <v>0</v>
      </c>
      <c r="N14" s="163">
        <f t="shared" ca="1" si="6"/>
        <v>0</v>
      </c>
      <c r="O14" s="164">
        <f t="shared" ca="1" si="7"/>
        <v>0</v>
      </c>
    </row>
    <row r="15" spans="1:18" s="156" customFormat="1" ht="18" customHeight="1">
      <c r="A15" s="159">
        <v>11</v>
      </c>
      <c r="B15" s="160" t="s">
        <v>127</v>
      </c>
      <c r="C15" s="221">
        <v>41921</v>
      </c>
      <c r="D15" s="161">
        <v>0</v>
      </c>
      <c r="E15" s="162">
        <v>0</v>
      </c>
      <c r="F15" s="161">
        <v>92500</v>
      </c>
      <c r="G15" s="162">
        <v>1962850000</v>
      </c>
      <c r="H15" s="161">
        <f t="shared" ca="1" si="0"/>
        <v>92500</v>
      </c>
      <c r="I15" s="162">
        <f t="shared" ca="1" si="1"/>
        <v>1994300000</v>
      </c>
      <c r="J15" s="161">
        <f t="shared" ca="1" si="2"/>
        <v>0</v>
      </c>
      <c r="K15" s="162">
        <f t="shared" ca="1" si="3"/>
        <v>31450000</v>
      </c>
      <c r="L15" s="163">
        <f t="shared" ca="1" si="4"/>
        <v>0</v>
      </c>
      <c r="M15" s="164">
        <f t="shared" ca="1" si="5"/>
        <v>0</v>
      </c>
      <c r="N15" s="163">
        <f t="shared" ca="1" si="6"/>
        <v>0</v>
      </c>
      <c r="O15" s="164">
        <f t="shared" ca="1" si="7"/>
        <v>0</v>
      </c>
    </row>
    <row r="16" spans="1:18" s="156" customFormat="1" ht="18" customHeight="1">
      <c r="A16" s="159">
        <v>12</v>
      </c>
      <c r="B16" s="160" t="s">
        <v>128</v>
      </c>
      <c r="C16" s="221">
        <v>41958</v>
      </c>
      <c r="D16" s="161">
        <v>0</v>
      </c>
      <c r="E16" s="162">
        <v>0</v>
      </c>
      <c r="F16" s="161">
        <v>69000</v>
      </c>
      <c r="G16" s="162">
        <v>1471770000</v>
      </c>
      <c r="H16" s="161">
        <f t="shared" ca="1" si="0"/>
        <v>69000</v>
      </c>
      <c r="I16" s="162">
        <f t="shared" ca="1" si="1"/>
        <v>1506960000</v>
      </c>
      <c r="J16" s="161">
        <f t="shared" ca="1" si="2"/>
        <v>0</v>
      </c>
      <c r="K16" s="162">
        <f t="shared" ca="1" si="3"/>
        <v>35190000</v>
      </c>
      <c r="L16" s="163">
        <f t="shared" ca="1" si="4"/>
        <v>0</v>
      </c>
      <c r="M16" s="164">
        <f t="shared" ca="1" si="5"/>
        <v>0</v>
      </c>
      <c r="N16" s="163">
        <f t="shared" ca="1" si="6"/>
        <v>0</v>
      </c>
      <c r="O16" s="164">
        <f t="shared" ca="1" si="7"/>
        <v>0</v>
      </c>
    </row>
    <row r="17" spans="1:15" s="156" customFormat="1" ht="18" customHeight="1">
      <c r="A17" s="159">
        <v>13</v>
      </c>
      <c r="B17" s="160" t="s">
        <v>129</v>
      </c>
      <c r="C17" s="221">
        <v>41988</v>
      </c>
      <c r="D17" s="161">
        <v>0</v>
      </c>
      <c r="E17" s="162">
        <v>0</v>
      </c>
      <c r="F17" s="161">
        <v>70000</v>
      </c>
      <c r="G17" s="162">
        <v>1498000000</v>
      </c>
      <c r="H17" s="161">
        <f t="shared" ca="1" si="0"/>
        <v>70000</v>
      </c>
      <c r="I17" s="162">
        <f t="shared" ca="1" si="1"/>
        <v>1524600000</v>
      </c>
      <c r="J17" s="161">
        <f t="shared" ca="1" si="2"/>
        <v>0</v>
      </c>
      <c r="K17" s="162">
        <f t="shared" ca="1" si="3"/>
        <v>26600000</v>
      </c>
      <c r="L17" s="163">
        <f t="shared" ca="1" si="4"/>
        <v>0</v>
      </c>
      <c r="M17" s="164">
        <f t="shared" ca="1" si="5"/>
        <v>0</v>
      </c>
      <c r="N17" s="163">
        <f t="shared" ca="1" si="6"/>
        <v>0</v>
      </c>
      <c r="O17" s="164">
        <f t="shared" ca="1" si="7"/>
        <v>0</v>
      </c>
    </row>
    <row r="18" spans="1:15" s="156" customFormat="1" ht="18" customHeight="1">
      <c r="A18" s="159">
        <v>14</v>
      </c>
      <c r="B18" s="160" t="s">
        <v>130</v>
      </c>
      <c r="C18" s="221">
        <v>42000</v>
      </c>
      <c r="D18" s="161">
        <v>0</v>
      </c>
      <c r="E18" s="162">
        <v>0</v>
      </c>
      <c r="F18" s="161">
        <v>19500</v>
      </c>
      <c r="G18" s="162">
        <v>417300000</v>
      </c>
      <c r="H18" s="161">
        <f t="shared" ca="1" si="0"/>
        <v>19500</v>
      </c>
      <c r="I18" s="162">
        <f t="shared" ca="1" si="1"/>
        <v>424710000</v>
      </c>
      <c r="J18" s="161">
        <f t="shared" ca="1" si="2"/>
        <v>0</v>
      </c>
      <c r="K18" s="162">
        <f t="shared" ca="1" si="3"/>
        <v>7410000</v>
      </c>
      <c r="L18" s="163">
        <f t="shared" ca="1" si="4"/>
        <v>0</v>
      </c>
      <c r="M18" s="164">
        <f t="shared" ca="1" si="5"/>
        <v>0</v>
      </c>
      <c r="N18" s="163">
        <f t="shared" ca="1" si="6"/>
        <v>0</v>
      </c>
      <c r="O18" s="164">
        <f t="shared" ca="1" si="7"/>
        <v>0</v>
      </c>
    </row>
    <row r="19" spans="1:15" s="156" customFormat="1" ht="18" customHeight="1">
      <c r="A19" s="159">
        <v>15</v>
      </c>
      <c r="B19" s="160" t="s">
        <v>131</v>
      </c>
      <c r="C19" s="221">
        <v>42004</v>
      </c>
      <c r="D19" s="161">
        <v>0</v>
      </c>
      <c r="E19" s="162">
        <v>0</v>
      </c>
      <c r="F19" s="161">
        <v>43500</v>
      </c>
      <c r="G19" s="162">
        <v>930030000</v>
      </c>
      <c r="H19" s="161">
        <f t="shared" ca="1" si="0"/>
        <v>43500</v>
      </c>
      <c r="I19" s="162">
        <f t="shared" ca="1" si="1"/>
        <v>949822500</v>
      </c>
      <c r="J19" s="161">
        <f t="shared" ca="1" si="2"/>
        <v>0</v>
      </c>
      <c r="K19" s="162">
        <f t="shared" ca="1" si="3"/>
        <v>19792500</v>
      </c>
      <c r="L19" s="163">
        <f t="shared" ca="1" si="4"/>
        <v>0</v>
      </c>
      <c r="M19" s="164">
        <f t="shared" ca="1" si="5"/>
        <v>0</v>
      </c>
      <c r="N19" s="163">
        <f t="shared" ca="1" si="6"/>
        <v>0</v>
      </c>
      <c r="O19" s="164">
        <f t="shared" ca="1" si="7"/>
        <v>0</v>
      </c>
    </row>
    <row r="20" spans="1:15" s="156" customFormat="1" ht="18" customHeight="1">
      <c r="A20" s="159">
        <v>20</v>
      </c>
      <c r="B20" s="165" t="s">
        <v>234</v>
      </c>
      <c r="C20" s="222">
        <v>41877</v>
      </c>
      <c r="D20" s="161">
        <v>0</v>
      </c>
      <c r="E20" s="162">
        <v>0</v>
      </c>
      <c r="F20" s="161">
        <v>55000</v>
      </c>
      <c r="G20" s="162">
        <v>1165725000</v>
      </c>
      <c r="H20" s="161">
        <f t="shared" ref="H20:H49" ca="1" si="10">SUMIF(KUTH,$B20,_TH1)</f>
        <v>55000</v>
      </c>
      <c r="I20" s="162">
        <f t="shared" ref="I20:I49" ca="1" si="11">SUMIF(KUTH,$B20,_TH2)</f>
        <v>1173150000</v>
      </c>
      <c r="J20" s="161">
        <f t="shared" ref="J20:J49" ca="1" si="12">SUMIF(KUTH,$B20,_TH3)</f>
        <v>0</v>
      </c>
      <c r="K20" s="162">
        <f t="shared" ref="K20:K49" ca="1" si="13">SUMIF(KUTH,$B20,_TH4)</f>
        <v>7425000</v>
      </c>
      <c r="L20" s="163">
        <f t="shared" ref="L20:L49" ca="1" si="14">ROUND(MAX(D20+H20-F20-J20,0),2)</f>
        <v>0</v>
      </c>
      <c r="M20" s="164">
        <f t="shared" ref="M20:M49" ca="1" si="15">ROUND(MAX(E20+I20-G20-K20,0),2)</f>
        <v>0</v>
      </c>
      <c r="N20" s="163">
        <f t="shared" ref="N20:N49" ca="1" si="16">ROUND(MAX(F20+J20-D20-H20,0),2)</f>
        <v>0</v>
      </c>
      <c r="O20" s="164">
        <f t="shared" ref="O20:O49" ca="1" si="17">ROUND(MAX(G20+K20-E20-I20,0),2)</f>
        <v>0</v>
      </c>
    </row>
    <row r="21" spans="1:15" s="156" customFormat="1" ht="18" customHeight="1">
      <c r="A21" s="159">
        <v>21</v>
      </c>
      <c r="B21" s="160" t="s">
        <v>235</v>
      </c>
      <c r="C21" s="221">
        <v>41962</v>
      </c>
      <c r="D21" s="161">
        <v>0</v>
      </c>
      <c r="E21" s="162">
        <v>0</v>
      </c>
      <c r="F21" s="161">
        <v>81000</v>
      </c>
      <c r="G21" s="162">
        <v>1730970000</v>
      </c>
      <c r="H21" s="161">
        <f t="shared" ca="1" si="10"/>
        <v>81000</v>
      </c>
      <c r="I21" s="162">
        <f t="shared" ca="1" si="11"/>
        <v>1766610000</v>
      </c>
      <c r="J21" s="161">
        <f t="shared" ca="1" si="12"/>
        <v>0</v>
      </c>
      <c r="K21" s="162">
        <f t="shared" ca="1" si="13"/>
        <v>35640000</v>
      </c>
      <c r="L21" s="163">
        <f t="shared" ca="1" si="14"/>
        <v>0</v>
      </c>
      <c r="M21" s="164">
        <f t="shared" ca="1" si="15"/>
        <v>0</v>
      </c>
      <c r="N21" s="163">
        <f t="shared" ca="1" si="16"/>
        <v>0</v>
      </c>
      <c r="O21" s="164">
        <f t="shared" ca="1" si="17"/>
        <v>0</v>
      </c>
    </row>
    <row r="22" spans="1:15" s="156" customFormat="1" ht="18" customHeight="1">
      <c r="A22" s="159">
        <v>22</v>
      </c>
      <c r="B22" s="166" t="s">
        <v>236</v>
      </c>
      <c r="C22" s="223">
        <v>41991</v>
      </c>
      <c r="D22" s="161">
        <v>0</v>
      </c>
      <c r="E22" s="162">
        <v>0</v>
      </c>
      <c r="F22" s="161">
        <v>95700</v>
      </c>
      <c r="G22" s="162">
        <v>2047980000</v>
      </c>
      <c r="H22" s="161">
        <f t="shared" ca="1" si="10"/>
        <v>95700</v>
      </c>
      <c r="I22" s="162">
        <f t="shared" ca="1" si="11"/>
        <v>2088652500</v>
      </c>
      <c r="J22" s="161">
        <f t="shared" ca="1" si="12"/>
        <v>0</v>
      </c>
      <c r="K22" s="162">
        <f t="shared" ca="1" si="13"/>
        <v>40672500</v>
      </c>
      <c r="L22" s="163">
        <f t="shared" ca="1" si="14"/>
        <v>0</v>
      </c>
      <c r="M22" s="164">
        <f t="shared" ca="1" si="15"/>
        <v>0</v>
      </c>
      <c r="N22" s="163">
        <f t="shared" ca="1" si="16"/>
        <v>0</v>
      </c>
      <c r="O22" s="164">
        <f t="shared" ca="1" si="17"/>
        <v>0</v>
      </c>
    </row>
    <row r="23" spans="1:15" s="156" customFormat="1" ht="18" customHeight="1">
      <c r="A23" s="159">
        <v>23</v>
      </c>
      <c r="B23" s="160" t="s">
        <v>237</v>
      </c>
      <c r="C23" s="221">
        <v>42003</v>
      </c>
      <c r="D23" s="161">
        <v>0</v>
      </c>
      <c r="E23" s="162">
        <v>0</v>
      </c>
      <c r="F23" s="161">
        <v>43600</v>
      </c>
      <c r="G23" s="162">
        <v>933040000</v>
      </c>
      <c r="H23" s="161">
        <f t="shared" ca="1" si="10"/>
        <v>43600</v>
      </c>
      <c r="I23" s="162">
        <f t="shared" ca="1" si="11"/>
        <v>952006000</v>
      </c>
      <c r="J23" s="161">
        <f t="shared" ca="1" si="12"/>
        <v>0</v>
      </c>
      <c r="K23" s="162">
        <f t="shared" ca="1" si="13"/>
        <v>18966000</v>
      </c>
      <c r="L23" s="163">
        <f t="shared" ca="1" si="14"/>
        <v>0</v>
      </c>
      <c r="M23" s="164">
        <f t="shared" ca="1" si="15"/>
        <v>0</v>
      </c>
      <c r="N23" s="163">
        <f t="shared" ca="1" si="16"/>
        <v>0</v>
      </c>
      <c r="O23" s="164">
        <f t="shared" ca="1" si="17"/>
        <v>0</v>
      </c>
    </row>
    <row r="24" spans="1:15" s="156" customFormat="1" ht="18" customHeight="1">
      <c r="A24" s="159">
        <v>16</v>
      </c>
      <c r="B24" s="160" t="s">
        <v>132</v>
      </c>
      <c r="C24" s="221">
        <v>42010</v>
      </c>
      <c r="D24" s="161">
        <v>0</v>
      </c>
      <c r="E24" s="162">
        <v>0</v>
      </c>
      <c r="F24" s="161">
        <v>0</v>
      </c>
      <c r="G24" s="161">
        <v>0</v>
      </c>
      <c r="H24" s="161">
        <f t="shared" ca="1" si="10"/>
        <v>49000</v>
      </c>
      <c r="I24" s="162">
        <f t="shared" ca="1" si="11"/>
        <v>1069700000</v>
      </c>
      <c r="J24" s="161">
        <f t="shared" ca="1" si="12"/>
        <v>49000</v>
      </c>
      <c r="K24" s="162">
        <f t="shared" ca="1" si="13"/>
        <v>1069700000</v>
      </c>
      <c r="L24" s="163">
        <f t="shared" ca="1" si="14"/>
        <v>0</v>
      </c>
      <c r="M24" s="164">
        <f t="shared" ca="1" si="15"/>
        <v>0</v>
      </c>
      <c r="N24" s="163">
        <f t="shared" ca="1" si="16"/>
        <v>0</v>
      </c>
      <c r="O24" s="164">
        <f t="shared" ca="1" si="17"/>
        <v>0</v>
      </c>
    </row>
    <row r="25" spans="1:15" s="156" customFormat="1" ht="18" customHeight="1">
      <c r="A25" s="159">
        <v>17</v>
      </c>
      <c r="B25" s="160" t="s">
        <v>133</v>
      </c>
      <c r="C25" s="221">
        <v>42013</v>
      </c>
      <c r="D25" s="161">
        <v>0</v>
      </c>
      <c r="E25" s="162">
        <v>0</v>
      </c>
      <c r="F25" s="162">
        <v>0</v>
      </c>
      <c r="G25" s="162">
        <v>0</v>
      </c>
      <c r="H25" s="161">
        <f t="shared" ca="1" si="10"/>
        <v>98000</v>
      </c>
      <c r="I25" s="162">
        <f t="shared" ca="1" si="11"/>
        <v>2138850000</v>
      </c>
      <c r="J25" s="161">
        <f t="shared" ca="1" si="12"/>
        <v>98000</v>
      </c>
      <c r="K25" s="162">
        <f t="shared" ca="1" si="13"/>
        <v>2138850000</v>
      </c>
      <c r="L25" s="163">
        <f t="shared" ca="1" si="14"/>
        <v>0</v>
      </c>
      <c r="M25" s="164">
        <f t="shared" ca="1" si="15"/>
        <v>0</v>
      </c>
      <c r="N25" s="163">
        <f t="shared" ca="1" si="16"/>
        <v>0</v>
      </c>
      <c r="O25" s="164">
        <f t="shared" ca="1" si="17"/>
        <v>0</v>
      </c>
    </row>
    <row r="26" spans="1:15" s="156" customFormat="1" ht="18" customHeight="1">
      <c r="A26" s="159">
        <v>24</v>
      </c>
      <c r="B26" s="160" t="s">
        <v>238</v>
      </c>
      <c r="C26" s="221">
        <v>42060</v>
      </c>
      <c r="D26" s="161">
        <v>0</v>
      </c>
      <c r="E26" s="161">
        <v>0</v>
      </c>
      <c r="F26" s="161">
        <v>0</v>
      </c>
      <c r="G26" s="161">
        <v>0</v>
      </c>
      <c r="H26" s="161">
        <f t="shared" ca="1" si="10"/>
        <v>55000</v>
      </c>
      <c r="I26" s="162">
        <f t="shared" ca="1" si="11"/>
        <v>1216050000</v>
      </c>
      <c r="J26" s="161">
        <f t="shared" ca="1" si="12"/>
        <v>55000</v>
      </c>
      <c r="K26" s="162">
        <f t="shared" ca="1" si="13"/>
        <v>1216050000</v>
      </c>
      <c r="L26" s="163">
        <f t="shared" ca="1" si="14"/>
        <v>0</v>
      </c>
      <c r="M26" s="164">
        <f t="shared" ca="1" si="15"/>
        <v>0</v>
      </c>
      <c r="N26" s="163">
        <f t="shared" ca="1" si="16"/>
        <v>0</v>
      </c>
      <c r="O26" s="164">
        <f t="shared" ca="1" si="17"/>
        <v>0</v>
      </c>
    </row>
    <row r="27" spans="1:15" s="156" customFormat="1" ht="18" customHeight="1">
      <c r="A27" s="159">
        <v>18</v>
      </c>
      <c r="B27" s="160" t="s">
        <v>164</v>
      </c>
      <c r="C27" s="221">
        <v>42065</v>
      </c>
      <c r="D27" s="161">
        <v>0</v>
      </c>
      <c r="E27" s="162">
        <v>0</v>
      </c>
      <c r="F27" s="161">
        <v>0</v>
      </c>
      <c r="G27" s="161">
        <v>0</v>
      </c>
      <c r="H27" s="161">
        <f t="shared" ca="1" si="10"/>
        <v>97300</v>
      </c>
      <c r="I27" s="162">
        <f t="shared" ca="1" si="11"/>
        <v>2186817500</v>
      </c>
      <c r="J27" s="161">
        <f t="shared" ca="1" si="12"/>
        <v>97300</v>
      </c>
      <c r="K27" s="162">
        <f t="shared" ca="1" si="13"/>
        <v>2186817500</v>
      </c>
      <c r="L27" s="163">
        <f t="shared" ca="1" si="14"/>
        <v>0</v>
      </c>
      <c r="M27" s="164">
        <f t="shared" ca="1" si="15"/>
        <v>0</v>
      </c>
      <c r="N27" s="163">
        <f t="shared" ca="1" si="16"/>
        <v>0</v>
      </c>
      <c r="O27" s="164">
        <f t="shared" ca="1" si="17"/>
        <v>0</v>
      </c>
    </row>
    <row r="28" spans="1:15" s="156" customFormat="1" ht="18" customHeight="1">
      <c r="A28" s="159">
        <v>19</v>
      </c>
      <c r="B28" s="160" t="s">
        <v>134</v>
      </c>
      <c r="C28" s="221">
        <v>42072</v>
      </c>
      <c r="D28" s="161">
        <v>0</v>
      </c>
      <c r="E28" s="162">
        <v>0</v>
      </c>
      <c r="F28" s="161">
        <v>0</v>
      </c>
      <c r="G28" s="161">
        <v>0</v>
      </c>
      <c r="H28" s="161">
        <f t="shared" ca="1" si="10"/>
        <v>90000</v>
      </c>
      <c r="I28" s="162">
        <f t="shared" ca="1" si="11"/>
        <v>2023770000</v>
      </c>
      <c r="J28" s="161">
        <f t="shared" ca="1" si="12"/>
        <v>90000</v>
      </c>
      <c r="K28" s="162">
        <f t="shared" ca="1" si="13"/>
        <v>2023770000</v>
      </c>
      <c r="L28" s="163">
        <f t="shared" ca="1" si="14"/>
        <v>0</v>
      </c>
      <c r="M28" s="164">
        <f t="shared" ca="1" si="15"/>
        <v>0</v>
      </c>
      <c r="N28" s="163">
        <f t="shared" ca="1" si="16"/>
        <v>0</v>
      </c>
      <c r="O28" s="164">
        <f t="shared" ca="1" si="17"/>
        <v>0</v>
      </c>
    </row>
    <row r="29" spans="1:15" s="156" customFormat="1" ht="18" customHeight="1">
      <c r="A29" s="159">
        <v>19</v>
      </c>
      <c r="B29" s="160" t="s">
        <v>232</v>
      </c>
      <c r="C29" s="221">
        <v>42097</v>
      </c>
      <c r="D29" s="161">
        <v>0</v>
      </c>
      <c r="E29" s="162">
        <v>0</v>
      </c>
      <c r="F29" s="161">
        <v>0</v>
      </c>
      <c r="G29" s="161">
        <v>0</v>
      </c>
      <c r="H29" s="161">
        <f t="shared" ca="1" si="10"/>
        <v>89500</v>
      </c>
      <c r="I29" s="162">
        <f t="shared" ca="1" si="11"/>
        <v>2009275000</v>
      </c>
      <c r="J29" s="161">
        <f t="shared" ca="1" si="12"/>
        <v>89500</v>
      </c>
      <c r="K29" s="162">
        <f t="shared" ca="1" si="13"/>
        <v>2009275000</v>
      </c>
      <c r="L29" s="163">
        <f t="shared" ca="1" si="14"/>
        <v>0</v>
      </c>
      <c r="M29" s="164">
        <f t="shared" ca="1" si="15"/>
        <v>0</v>
      </c>
      <c r="N29" s="163">
        <f t="shared" ca="1" si="16"/>
        <v>0</v>
      </c>
      <c r="O29" s="164">
        <f t="shared" ca="1" si="17"/>
        <v>0</v>
      </c>
    </row>
    <row r="30" spans="1:15" s="156" customFormat="1" ht="18" customHeight="1">
      <c r="A30" s="159">
        <v>26</v>
      </c>
      <c r="B30" s="160" t="s">
        <v>247</v>
      </c>
      <c r="C30" s="221">
        <v>42145</v>
      </c>
      <c r="D30" s="161">
        <v>0</v>
      </c>
      <c r="E30" s="161">
        <v>0</v>
      </c>
      <c r="F30" s="161">
        <v>0</v>
      </c>
      <c r="G30" s="161">
        <v>0</v>
      </c>
      <c r="H30" s="161">
        <f t="shared" ca="1" si="10"/>
        <v>61500</v>
      </c>
      <c r="I30" s="162">
        <f t="shared" ca="1" si="11"/>
        <v>1380060000</v>
      </c>
      <c r="J30" s="161">
        <f t="shared" ca="1" si="12"/>
        <v>61500</v>
      </c>
      <c r="K30" s="162">
        <f t="shared" ca="1" si="13"/>
        <v>1380060000</v>
      </c>
      <c r="L30" s="163">
        <f t="shared" ca="1" si="14"/>
        <v>0</v>
      </c>
      <c r="M30" s="164">
        <f t="shared" ca="1" si="15"/>
        <v>0</v>
      </c>
      <c r="N30" s="163">
        <f t="shared" ca="1" si="16"/>
        <v>0</v>
      </c>
      <c r="O30" s="164">
        <f t="shared" ca="1" si="17"/>
        <v>0</v>
      </c>
    </row>
    <row r="31" spans="1:15" s="156" customFormat="1" ht="18" customHeight="1">
      <c r="A31" s="159">
        <v>25</v>
      </c>
      <c r="B31" s="160" t="s">
        <v>245</v>
      </c>
      <c r="C31" s="221">
        <v>42151</v>
      </c>
      <c r="D31" s="161">
        <v>0</v>
      </c>
      <c r="E31" s="161">
        <v>0</v>
      </c>
      <c r="F31" s="161">
        <v>0</v>
      </c>
      <c r="G31" s="161">
        <v>0</v>
      </c>
      <c r="H31" s="161">
        <f t="shared" ca="1" si="10"/>
        <v>76300</v>
      </c>
      <c r="I31" s="162">
        <f t="shared" ca="1" si="11"/>
        <v>1717513000</v>
      </c>
      <c r="J31" s="161">
        <f t="shared" ca="1" si="12"/>
        <v>76300</v>
      </c>
      <c r="K31" s="162">
        <f t="shared" ca="1" si="13"/>
        <v>1717513000</v>
      </c>
      <c r="L31" s="163">
        <f t="shared" ca="1" si="14"/>
        <v>0</v>
      </c>
      <c r="M31" s="164">
        <f t="shared" ca="1" si="15"/>
        <v>0</v>
      </c>
      <c r="N31" s="163">
        <f t="shared" ca="1" si="16"/>
        <v>0</v>
      </c>
      <c r="O31" s="164">
        <f t="shared" ca="1" si="17"/>
        <v>0</v>
      </c>
    </row>
    <row r="32" spans="1:15" s="156" customFormat="1" ht="18" customHeight="1">
      <c r="A32" s="159">
        <v>27</v>
      </c>
      <c r="B32" s="160" t="s">
        <v>277</v>
      </c>
      <c r="C32" s="221">
        <v>42156</v>
      </c>
      <c r="D32" s="161">
        <v>0</v>
      </c>
      <c r="E32" s="161">
        <v>0</v>
      </c>
      <c r="F32" s="161">
        <v>0</v>
      </c>
      <c r="G32" s="161">
        <v>0</v>
      </c>
      <c r="H32" s="161">
        <f t="shared" ca="1" si="10"/>
        <v>89500</v>
      </c>
      <c r="I32" s="162">
        <f t="shared" ca="1" si="11"/>
        <v>2012586500</v>
      </c>
      <c r="J32" s="161">
        <f t="shared" ca="1" si="12"/>
        <v>89500</v>
      </c>
      <c r="K32" s="162">
        <f t="shared" ca="1" si="13"/>
        <v>2012586500</v>
      </c>
      <c r="L32" s="163">
        <f t="shared" ca="1" si="14"/>
        <v>0</v>
      </c>
      <c r="M32" s="164">
        <f t="shared" ca="1" si="15"/>
        <v>0</v>
      </c>
      <c r="N32" s="163">
        <f t="shared" ca="1" si="16"/>
        <v>0</v>
      </c>
      <c r="O32" s="164">
        <f t="shared" ca="1" si="17"/>
        <v>0</v>
      </c>
    </row>
    <row r="33" spans="1:15" s="156" customFormat="1" ht="18" customHeight="1">
      <c r="A33" s="159">
        <v>30</v>
      </c>
      <c r="B33" s="160" t="s">
        <v>290</v>
      </c>
      <c r="C33" s="221">
        <v>42158</v>
      </c>
      <c r="D33" s="161">
        <v>0</v>
      </c>
      <c r="E33" s="161">
        <v>0</v>
      </c>
      <c r="F33" s="161">
        <v>0</v>
      </c>
      <c r="G33" s="161">
        <v>0</v>
      </c>
      <c r="H33" s="161">
        <f t="shared" ca="1" si="10"/>
        <v>95000</v>
      </c>
      <c r="I33" s="162">
        <f t="shared" ca="1" si="11"/>
        <v>2137130000</v>
      </c>
      <c r="J33" s="161">
        <f t="shared" ca="1" si="12"/>
        <v>95000</v>
      </c>
      <c r="K33" s="162">
        <f t="shared" ca="1" si="13"/>
        <v>2137130000</v>
      </c>
      <c r="L33" s="163">
        <f t="shared" ca="1" si="14"/>
        <v>0</v>
      </c>
      <c r="M33" s="164">
        <f t="shared" ca="1" si="15"/>
        <v>0</v>
      </c>
      <c r="N33" s="163">
        <f t="shared" ca="1" si="16"/>
        <v>0</v>
      </c>
      <c r="O33" s="164">
        <f t="shared" ca="1" si="17"/>
        <v>0</v>
      </c>
    </row>
    <row r="34" spans="1:15" s="156" customFormat="1" ht="18" customHeight="1">
      <c r="A34" s="159">
        <v>28</v>
      </c>
      <c r="B34" s="160" t="s">
        <v>278</v>
      </c>
      <c r="C34" s="221">
        <v>42180</v>
      </c>
      <c r="D34" s="161">
        <v>0</v>
      </c>
      <c r="E34" s="161">
        <v>0</v>
      </c>
      <c r="F34" s="161">
        <v>0</v>
      </c>
      <c r="G34" s="161">
        <v>0</v>
      </c>
      <c r="H34" s="161">
        <f t="shared" ca="1" si="10"/>
        <v>70000</v>
      </c>
      <c r="I34" s="162">
        <f t="shared" ca="1" si="11"/>
        <v>1576190000</v>
      </c>
      <c r="J34" s="161">
        <f t="shared" ca="1" si="12"/>
        <v>70000</v>
      </c>
      <c r="K34" s="162">
        <f t="shared" ca="1" si="13"/>
        <v>1576190000</v>
      </c>
      <c r="L34" s="163">
        <f t="shared" ca="1" si="14"/>
        <v>0</v>
      </c>
      <c r="M34" s="164">
        <f t="shared" ca="1" si="15"/>
        <v>0</v>
      </c>
      <c r="N34" s="163">
        <f t="shared" ca="1" si="16"/>
        <v>0</v>
      </c>
      <c r="O34" s="164">
        <f t="shared" ca="1" si="17"/>
        <v>0</v>
      </c>
    </row>
    <row r="35" spans="1:15" s="156" customFormat="1" ht="18" customHeight="1">
      <c r="A35" s="159">
        <v>31</v>
      </c>
      <c r="B35" s="160" t="s">
        <v>291</v>
      </c>
      <c r="C35" s="221">
        <v>42181</v>
      </c>
      <c r="D35" s="161">
        <v>0</v>
      </c>
      <c r="E35" s="161">
        <v>0</v>
      </c>
      <c r="F35" s="161">
        <v>0</v>
      </c>
      <c r="G35" s="161">
        <v>0</v>
      </c>
      <c r="H35" s="161">
        <f t="shared" ca="1" si="10"/>
        <v>43600</v>
      </c>
      <c r="I35" s="162">
        <f t="shared" ca="1" si="11"/>
        <v>979692000</v>
      </c>
      <c r="J35" s="161">
        <f t="shared" ca="1" si="12"/>
        <v>43600</v>
      </c>
      <c r="K35" s="162">
        <f t="shared" ca="1" si="13"/>
        <v>979692000</v>
      </c>
      <c r="L35" s="163">
        <f t="shared" ca="1" si="14"/>
        <v>0</v>
      </c>
      <c r="M35" s="164">
        <f t="shared" ca="1" si="15"/>
        <v>0</v>
      </c>
      <c r="N35" s="163">
        <f t="shared" ca="1" si="16"/>
        <v>0</v>
      </c>
      <c r="O35" s="164">
        <f t="shared" ca="1" si="17"/>
        <v>0</v>
      </c>
    </row>
    <row r="36" spans="1:15" s="156" customFormat="1" ht="18" customHeight="1">
      <c r="A36" s="159">
        <v>29</v>
      </c>
      <c r="B36" s="160" t="s">
        <v>279</v>
      </c>
      <c r="C36" s="221">
        <v>42184</v>
      </c>
      <c r="D36" s="161">
        <v>0</v>
      </c>
      <c r="E36" s="161">
        <v>0</v>
      </c>
      <c r="F36" s="161">
        <v>0</v>
      </c>
      <c r="G36" s="161">
        <v>0</v>
      </c>
      <c r="H36" s="161">
        <f t="shared" ca="1" si="10"/>
        <v>21000</v>
      </c>
      <c r="I36" s="162">
        <f t="shared" ca="1" si="11"/>
        <v>472857000</v>
      </c>
      <c r="J36" s="161">
        <f t="shared" ca="1" si="12"/>
        <v>21000</v>
      </c>
      <c r="K36" s="162">
        <f t="shared" ca="1" si="13"/>
        <v>472857000</v>
      </c>
      <c r="L36" s="163">
        <f t="shared" ca="1" si="14"/>
        <v>0</v>
      </c>
      <c r="M36" s="164">
        <f t="shared" ca="1" si="15"/>
        <v>0</v>
      </c>
      <c r="N36" s="163">
        <f t="shared" ca="1" si="16"/>
        <v>0</v>
      </c>
      <c r="O36" s="164">
        <f t="shared" ca="1" si="17"/>
        <v>0</v>
      </c>
    </row>
    <row r="37" spans="1:15" s="156" customFormat="1" ht="18" customHeight="1">
      <c r="A37" s="159">
        <v>32</v>
      </c>
      <c r="B37" s="160" t="s">
        <v>294</v>
      </c>
      <c r="C37" s="221">
        <v>42205</v>
      </c>
      <c r="D37" s="161">
        <v>0</v>
      </c>
      <c r="E37" s="161">
        <v>0</v>
      </c>
      <c r="F37" s="161">
        <v>0</v>
      </c>
      <c r="G37" s="161">
        <v>0</v>
      </c>
      <c r="H37" s="161">
        <f t="shared" ca="1" si="10"/>
        <v>0</v>
      </c>
      <c r="I37" s="162">
        <f t="shared" ca="1" si="11"/>
        <v>0</v>
      </c>
      <c r="J37" s="161">
        <f t="shared" ca="1" si="12"/>
        <v>97000</v>
      </c>
      <c r="K37" s="162">
        <f t="shared" ca="1" si="13"/>
        <v>2117025000</v>
      </c>
      <c r="L37" s="163">
        <f t="shared" ca="1" si="14"/>
        <v>0</v>
      </c>
      <c r="M37" s="164">
        <f t="shared" ca="1" si="15"/>
        <v>0</v>
      </c>
      <c r="N37" s="163">
        <f t="shared" ca="1" si="16"/>
        <v>97000</v>
      </c>
      <c r="O37" s="164">
        <f t="shared" ca="1" si="17"/>
        <v>2117025000</v>
      </c>
    </row>
    <row r="38" spans="1:15" s="156" customFormat="1" ht="18" customHeight="1">
      <c r="A38" s="159">
        <v>34</v>
      </c>
      <c r="B38" s="160" t="s">
        <v>304</v>
      </c>
      <c r="C38" s="221">
        <v>42234</v>
      </c>
      <c r="D38" s="161">
        <v>0</v>
      </c>
      <c r="E38" s="161">
        <v>0</v>
      </c>
      <c r="F38" s="161">
        <v>0</v>
      </c>
      <c r="G38" s="161">
        <v>0</v>
      </c>
      <c r="H38" s="161">
        <f t="shared" ca="1" si="10"/>
        <v>0</v>
      </c>
      <c r="I38" s="162">
        <f t="shared" ca="1" si="11"/>
        <v>0</v>
      </c>
      <c r="J38" s="161">
        <f t="shared" ca="1" si="12"/>
        <v>52300</v>
      </c>
      <c r="K38" s="162">
        <f t="shared" ca="1" si="13"/>
        <v>1154784000</v>
      </c>
      <c r="L38" s="163">
        <f t="shared" ca="1" si="14"/>
        <v>0</v>
      </c>
      <c r="M38" s="164">
        <f t="shared" ca="1" si="15"/>
        <v>0</v>
      </c>
      <c r="N38" s="163">
        <f t="shared" ca="1" si="16"/>
        <v>52300</v>
      </c>
      <c r="O38" s="164">
        <f t="shared" ca="1" si="17"/>
        <v>1154784000</v>
      </c>
    </row>
    <row r="39" spans="1:15" s="156" customFormat="1" ht="18" customHeight="1">
      <c r="A39" s="159">
        <v>33</v>
      </c>
      <c r="B39" s="160" t="s">
        <v>302</v>
      </c>
      <c r="C39" s="221">
        <v>42247</v>
      </c>
      <c r="D39" s="161">
        <v>0</v>
      </c>
      <c r="E39" s="161">
        <v>0</v>
      </c>
      <c r="F39" s="161">
        <v>0</v>
      </c>
      <c r="G39" s="161">
        <v>0</v>
      </c>
      <c r="H39" s="161">
        <f t="shared" ca="1" si="10"/>
        <v>0</v>
      </c>
      <c r="I39" s="162">
        <f t="shared" ca="1" si="11"/>
        <v>0</v>
      </c>
      <c r="J39" s="161">
        <f t="shared" ca="1" si="12"/>
        <v>82000</v>
      </c>
      <c r="K39" s="162">
        <f t="shared" ca="1" si="13"/>
        <v>1842950000</v>
      </c>
      <c r="L39" s="163">
        <f t="shared" ca="1" si="14"/>
        <v>0</v>
      </c>
      <c r="M39" s="164">
        <f t="shared" ca="1" si="15"/>
        <v>0</v>
      </c>
      <c r="N39" s="163">
        <f t="shared" ca="1" si="16"/>
        <v>82000</v>
      </c>
      <c r="O39" s="164">
        <f t="shared" ca="1" si="17"/>
        <v>1842950000</v>
      </c>
    </row>
    <row r="40" spans="1:15" s="156" customFormat="1" ht="18" customHeight="1">
      <c r="A40" s="159">
        <v>35</v>
      </c>
      <c r="B40" s="240" t="s">
        <v>311</v>
      </c>
      <c r="C40" s="221">
        <v>42248</v>
      </c>
      <c r="D40" s="161">
        <v>0</v>
      </c>
      <c r="E40" s="161">
        <v>0</v>
      </c>
      <c r="F40" s="161">
        <v>0</v>
      </c>
      <c r="G40" s="161">
        <v>0</v>
      </c>
      <c r="H40" s="161">
        <f t="shared" ca="1" si="10"/>
        <v>0</v>
      </c>
      <c r="I40" s="162">
        <f t="shared" ca="1" si="11"/>
        <v>0</v>
      </c>
      <c r="J40" s="161">
        <f t="shared" ca="1" si="12"/>
        <v>40000</v>
      </c>
      <c r="K40" s="162">
        <f t="shared" ca="1" si="13"/>
        <v>899520000</v>
      </c>
      <c r="L40" s="163">
        <f t="shared" ca="1" si="14"/>
        <v>0</v>
      </c>
      <c r="M40" s="164">
        <f t="shared" ca="1" si="15"/>
        <v>0</v>
      </c>
      <c r="N40" s="163">
        <f t="shared" ca="1" si="16"/>
        <v>40000</v>
      </c>
      <c r="O40" s="164">
        <f t="shared" ca="1" si="17"/>
        <v>899520000</v>
      </c>
    </row>
    <row r="41" spans="1:15" s="156" customFormat="1" ht="18" customHeight="1">
      <c r="A41" s="159">
        <v>36</v>
      </c>
      <c r="B41" s="240" t="s">
        <v>312</v>
      </c>
      <c r="C41" s="221">
        <v>42251</v>
      </c>
      <c r="D41" s="161">
        <v>0</v>
      </c>
      <c r="E41" s="161">
        <v>0</v>
      </c>
      <c r="F41" s="161">
        <v>0</v>
      </c>
      <c r="G41" s="161">
        <v>0</v>
      </c>
      <c r="H41" s="161">
        <f t="shared" ca="1" si="10"/>
        <v>0</v>
      </c>
      <c r="I41" s="162">
        <f t="shared" ca="1" si="11"/>
        <v>0</v>
      </c>
      <c r="J41" s="161">
        <f t="shared" ca="1" si="12"/>
        <v>50000</v>
      </c>
      <c r="K41" s="162">
        <f t="shared" ca="1" si="13"/>
        <v>1124250000</v>
      </c>
      <c r="L41" s="163">
        <f t="shared" ca="1" si="14"/>
        <v>0</v>
      </c>
      <c r="M41" s="164">
        <f t="shared" ca="1" si="15"/>
        <v>0</v>
      </c>
      <c r="N41" s="163">
        <f t="shared" ca="1" si="16"/>
        <v>50000</v>
      </c>
      <c r="O41" s="164">
        <f t="shared" ca="1" si="17"/>
        <v>1124250000</v>
      </c>
    </row>
    <row r="42" spans="1:15" s="156" customFormat="1" ht="18" customHeight="1">
      <c r="A42" s="159">
        <v>37</v>
      </c>
      <c r="B42" s="226" t="s">
        <v>319</v>
      </c>
      <c r="C42" s="221">
        <v>42278</v>
      </c>
      <c r="D42" s="161">
        <v>0</v>
      </c>
      <c r="E42" s="161">
        <v>0</v>
      </c>
      <c r="F42" s="161">
        <v>0</v>
      </c>
      <c r="G42" s="161">
        <v>0</v>
      </c>
      <c r="H42" s="161">
        <f t="shared" ca="1" si="10"/>
        <v>0</v>
      </c>
      <c r="I42" s="162">
        <f t="shared" ca="1" si="11"/>
        <v>0</v>
      </c>
      <c r="J42" s="161">
        <f t="shared" ca="1" si="12"/>
        <v>89500</v>
      </c>
      <c r="K42" s="162">
        <f t="shared" ca="1" si="13"/>
        <v>2011244000</v>
      </c>
      <c r="L42" s="163">
        <f t="shared" ca="1" si="14"/>
        <v>0</v>
      </c>
      <c r="M42" s="164">
        <f t="shared" ca="1" si="15"/>
        <v>0</v>
      </c>
      <c r="N42" s="163">
        <f t="shared" ca="1" si="16"/>
        <v>89500</v>
      </c>
      <c r="O42" s="164">
        <f t="shared" ca="1" si="17"/>
        <v>2011244000</v>
      </c>
    </row>
    <row r="43" spans="1:15" s="156" customFormat="1" ht="18" customHeight="1">
      <c r="A43" s="159">
        <v>38</v>
      </c>
      <c r="B43" s="226" t="s">
        <v>320</v>
      </c>
      <c r="C43" s="221">
        <v>42279</v>
      </c>
      <c r="D43" s="161">
        <v>0</v>
      </c>
      <c r="E43" s="161">
        <v>0</v>
      </c>
      <c r="F43" s="161">
        <v>0</v>
      </c>
      <c r="G43" s="161">
        <v>0</v>
      </c>
      <c r="H43" s="161">
        <f t="shared" ca="1" si="10"/>
        <v>0</v>
      </c>
      <c r="I43" s="162">
        <f t="shared" ca="1" si="11"/>
        <v>0</v>
      </c>
      <c r="J43" s="161">
        <f t="shared" ca="1" si="12"/>
        <v>89000</v>
      </c>
      <c r="K43" s="162">
        <f t="shared" ca="1" si="13"/>
        <v>2001165000</v>
      </c>
      <c r="L43" s="163">
        <f t="shared" ca="1" si="14"/>
        <v>0</v>
      </c>
      <c r="M43" s="164">
        <f t="shared" ca="1" si="15"/>
        <v>0</v>
      </c>
      <c r="N43" s="163">
        <f t="shared" ca="1" si="16"/>
        <v>89000</v>
      </c>
      <c r="O43" s="164">
        <f t="shared" ca="1" si="17"/>
        <v>2001165000</v>
      </c>
    </row>
    <row r="44" spans="1:15" s="156" customFormat="1" ht="18" customHeight="1">
      <c r="A44" s="159">
        <v>39</v>
      </c>
      <c r="B44" s="226" t="s">
        <v>365</v>
      </c>
      <c r="C44" s="221">
        <v>42339</v>
      </c>
      <c r="D44" s="161">
        <v>0</v>
      </c>
      <c r="E44" s="161">
        <v>0</v>
      </c>
      <c r="F44" s="161">
        <v>0</v>
      </c>
      <c r="G44" s="161">
        <v>0</v>
      </c>
      <c r="H44" s="161">
        <f t="shared" ca="1" si="10"/>
        <v>0</v>
      </c>
      <c r="I44" s="162">
        <f t="shared" ca="1" si="11"/>
        <v>0</v>
      </c>
      <c r="J44" s="161">
        <f t="shared" ca="1" si="12"/>
        <v>89000</v>
      </c>
      <c r="K44" s="162">
        <f t="shared" ca="1" si="13"/>
        <v>2001343000</v>
      </c>
      <c r="L44" s="163">
        <f t="shared" ca="1" si="14"/>
        <v>0</v>
      </c>
      <c r="M44" s="164">
        <f t="shared" ca="1" si="15"/>
        <v>0</v>
      </c>
      <c r="N44" s="163">
        <f t="shared" ca="1" si="16"/>
        <v>89000</v>
      </c>
      <c r="O44" s="164">
        <f t="shared" ca="1" si="17"/>
        <v>2001343000</v>
      </c>
    </row>
    <row r="45" spans="1:15" s="156" customFormat="1" ht="18" customHeight="1">
      <c r="A45" s="159">
        <v>41</v>
      </c>
      <c r="B45" s="226" t="s">
        <v>374</v>
      </c>
      <c r="C45" s="221">
        <v>42340</v>
      </c>
      <c r="D45" s="161">
        <v>0</v>
      </c>
      <c r="E45" s="161">
        <v>0</v>
      </c>
      <c r="F45" s="161">
        <v>0</v>
      </c>
      <c r="G45" s="161">
        <v>0</v>
      </c>
      <c r="H45" s="161">
        <f t="shared" ca="1" si="10"/>
        <v>0</v>
      </c>
      <c r="I45" s="162">
        <f t="shared" ca="1" si="11"/>
        <v>0</v>
      </c>
      <c r="J45" s="161">
        <f t="shared" ca="1" si="12"/>
        <v>0</v>
      </c>
      <c r="K45" s="162">
        <f t="shared" ca="1" si="13"/>
        <v>1595604500</v>
      </c>
      <c r="L45" s="163">
        <f t="shared" ca="1" si="14"/>
        <v>0</v>
      </c>
      <c r="M45" s="164">
        <f t="shared" ca="1" si="15"/>
        <v>0</v>
      </c>
      <c r="N45" s="163">
        <f t="shared" ca="1" si="16"/>
        <v>0</v>
      </c>
      <c r="O45" s="164">
        <f t="shared" ca="1" si="17"/>
        <v>1595604500</v>
      </c>
    </row>
    <row r="46" spans="1:15" s="156" customFormat="1" ht="18" customHeight="1">
      <c r="A46" s="159">
        <v>42</v>
      </c>
      <c r="B46" s="226" t="s">
        <v>375</v>
      </c>
      <c r="C46" s="221">
        <v>42346</v>
      </c>
      <c r="D46" s="161">
        <v>0</v>
      </c>
      <c r="E46" s="161">
        <v>0</v>
      </c>
      <c r="F46" s="161">
        <v>0</v>
      </c>
      <c r="G46" s="161">
        <v>0</v>
      </c>
      <c r="H46" s="161">
        <f t="shared" ca="1" si="10"/>
        <v>0</v>
      </c>
      <c r="I46" s="162">
        <f t="shared" ca="1" si="11"/>
        <v>0</v>
      </c>
      <c r="J46" s="161">
        <f t="shared" ca="1" si="12"/>
        <v>0</v>
      </c>
      <c r="K46" s="162">
        <f t="shared" ca="1" si="13"/>
        <v>1392210000</v>
      </c>
      <c r="L46" s="163">
        <f t="shared" ca="1" si="14"/>
        <v>0</v>
      </c>
      <c r="M46" s="164">
        <f t="shared" ca="1" si="15"/>
        <v>0</v>
      </c>
      <c r="N46" s="163">
        <f t="shared" ca="1" si="16"/>
        <v>0</v>
      </c>
      <c r="O46" s="164">
        <f t="shared" ca="1" si="17"/>
        <v>1392210000</v>
      </c>
    </row>
    <row r="47" spans="1:15" s="156" customFormat="1" ht="18" customHeight="1">
      <c r="A47" s="159">
        <v>43</v>
      </c>
      <c r="B47" s="226" t="s">
        <v>376</v>
      </c>
      <c r="C47" s="221">
        <v>42348</v>
      </c>
      <c r="D47" s="161">
        <v>0</v>
      </c>
      <c r="E47" s="161">
        <v>0</v>
      </c>
      <c r="F47" s="161">
        <v>0</v>
      </c>
      <c r="G47" s="161">
        <v>0</v>
      </c>
      <c r="H47" s="161">
        <f t="shared" ca="1" si="10"/>
        <v>0</v>
      </c>
      <c r="I47" s="162">
        <f t="shared" ca="1" si="11"/>
        <v>0</v>
      </c>
      <c r="J47" s="161">
        <f t="shared" ca="1" si="12"/>
        <v>0</v>
      </c>
      <c r="K47" s="162">
        <f t="shared" ca="1" si="13"/>
        <v>741675000</v>
      </c>
      <c r="L47" s="163">
        <f t="shared" ca="1" si="14"/>
        <v>0</v>
      </c>
      <c r="M47" s="164">
        <f t="shared" ca="1" si="15"/>
        <v>0</v>
      </c>
      <c r="N47" s="163">
        <f t="shared" ca="1" si="16"/>
        <v>0</v>
      </c>
      <c r="O47" s="164">
        <f t="shared" ca="1" si="17"/>
        <v>741675000</v>
      </c>
    </row>
    <row r="48" spans="1:15" s="156" customFormat="1" ht="18" customHeight="1">
      <c r="A48" s="159">
        <v>40</v>
      </c>
      <c r="B48" s="240" t="s">
        <v>366</v>
      </c>
      <c r="C48" s="221">
        <v>42360</v>
      </c>
      <c r="D48" s="161">
        <v>0</v>
      </c>
      <c r="E48" s="161">
        <v>0</v>
      </c>
      <c r="F48" s="161">
        <v>0</v>
      </c>
      <c r="G48" s="161">
        <v>0</v>
      </c>
      <c r="H48" s="161">
        <f t="shared" ca="1" si="10"/>
        <v>0</v>
      </c>
      <c r="I48" s="162">
        <f t="shared" ca="1" si="11"/>
        <v>0</v>
      </c>
      <c r="J48" s="161">
        <f t="shared" ca="1" si="12"/>
        <v>88000</v>
      </c>
      <c r="K48" s="162">
        <f t="shared" ca="1" si="13"/>
        <v>1983520000</v>
      </c>
      <c r="L48" s="163">
        <f t="shared" ca="1" si="14"/>
        <v>0</v>
      </c>
      <c r="M48" s="164">
        <f t="shared" ca="1" si="15"/>
        <v>0</v>
      </c>
      <c r="N48" s="163">
        <f t="shared" ca="1" si="16"/>
        <v>88000</v>
      </c>
      <c r="O48" s="164">
        <f t="shared" ca="1" si="17"/>
        <v>1983520000</v>
      </c>
    </row>
    <row r="49" spans="1:15" s="156" customFormat="1" ht="18" customHeight="1">
      <c r="A49" s="159">
        <v>44</v>
      </c>
      <c r="B49" s="167" t="s">
        <v>377</v>
      </c>
      <c r="C49" s="224">
        <v>42363</v>
      </c>
      <c r="D49" s="161">
        <v>0</v>
      </c>
      <c r="E49" s="161">
        <v>0</v>
      </c>
      <c r="F49" s="161">
        <v>0</v>
      </c>
      <c r="G49" s="161">
        <v>0</v>
      </c>
      <c r="H49" s="161">
        <f t="shared" ca="1" si="10"/>
        <v>0</v>
      </c>
      <c r="I49" s="162">
        <f t="shared" ca="1" si="11"/>
        <v>0</v>
      </c>
      <c r="J49" s="161">
        <f t="shared" ca="1" si="12"/>
        <v>0</v>
      </c>
      <c r="K49" s="162">
        <f t="shared" ca="1" si="13"/>
        <v>968790000</v>
      </c>
      <c r="L49" s="163">
        <f t="shared" ca="1" si="14"/>
        <v>0</v>
      </c>
      <c r="M49" s="164">
        <f t="shared" ca="1" si="15"/>
        <v>0</v>
      </c>
      <c r="N49" s="163">
        <f t="shared" ca="1" si="16"/>
        <v>0</v>
      </c>
      <c r="O49" s="164">
        <f t="shared" ca="1" si="17"/>
        <v>968790000</v>
      </c>
    </row>
    <row r="50" spans="1:15" s="172" customFormat="1" ht="18" customHeight="1">
      <c r="A50" s="168"/>
      <c r="B50" s="169" t="s">
        <v>135</v>
      </c>
      <c r="C50" s="169"/>
      <c r="D50" s="170">
        <f t="shared" ref="D50:O50" si="18">SUM(D5:D49)</f>
        <v>0</v>
      </c>
      <c r="E50" s="171">
        <f t="shared" si="18"/>
        <v>0</v>
      </c>
      <c r="F50" s="170">
        <f t="shared" si="18"/>
        <v>1099639.73</v>
      </c>
      <c r="G50" s="171">
        <f t="shared" si="18"/>
        <v>23117050188</v>
      </c>
      <c r="H50" s="170">
        <f t="shared" ca="1" si="18"/>
        <v>1938870</v>
      </c>
      <c r="I50" s="171">
        <f t="shared" ca="1" si="18"/>
        <v>42657706600</v>
      </c>
      <c r="J50" s="170">
        <f t="shared" ca="1" si="18"/>
        <v>1612500</v>
      </c>
      <c r="K50" s="171">
        <f t="shared" ca="1" si="18"/>
        <v>41543858791</v>
      </c>
      <c r="L50" s="170">
        <f t="shared" ca="1" si="18"/>
        <v>0</v>
      </c>
      <c r="M50" s="171">
        <f t="shared" ca="1" si="18"/>
        <v>0</v>
      </c>
      <c r="N50" s="170">
        <f t="shared" ca="1" si="18"/>
        <v>773269.73</v>
      </c>
      <c r="O50" s="171">
        <f t="shared" ca="1" si="18"/>
        <v>22003202379</v>
      </c>
    </row>
    <row r="52" spans="1:15">
      <c r="G52" s="173">
        <f>[1]CDPS!$D$54</f>
        <v>23117050188</v>
      </c>
      <c r="I52" s="173">
        <f>[1]CDPS!$E$54</f>
        <v>33761738100</v>
      </c>
      <c r="K52" s="173">
        <f>[1]CDPS!$F$54</f>
        <v>32589511291</v>
      </c>
    </row>
    <row r="54" spans="1:15">
      <c r="G54" s="245">
        <f>G50-G52</f>
        <v>0</v>
      </c>
      <c r="H54" s="245"/>
      <c r="I54" s="245">
        <f t="shared" ref="I54:K54" ca="1" si="19">I50-I52</f>
        <v>8895968500</v>
      </c>
      <c r="J54" s="245"/>
      <c r="K54" s="245">
        <f t="shared" ca="1" si="19"/>
        <v>8954347500</v>
      </c>
    </row>
  </sheetData>
  <sortState ref="A24:R49">
    <sortCondition ref="C24:C49"/>
  </sortState>
  <mergeCells count="10">
    <mergeCell ref="A1:O1"/>
    <mergeCell ref="J3:K3"/>
    <mergeCell ref="L3:M3"/>
    <mergeCell ref="N3:O3"/>
    <mergeCell ref="A2:A4"/>
    <mergeCell ref="B2:B4"/>
    <mergeCell ref="D3:E3"/>
    <mergeCell ref="F3:G3"/>
    <mergeCell ref="H3:I3"/>
    <mergeCell ref="C2:C4"/>
  </mergeCells>
  <phoneticPr fontId="39" type="noConversion"/>
  <dataValidations count="1">
    <dataValidation type="list" allowBlank="1" showInputMessage="1" showErrorMessage="1" sqref="B31">
      <formula1>DSKU</formula1>
    </dataValidation>
  </dataValidations>
  <pageMargins left="0.65" right="0.15" top="0.36" bottom="0.21" header="0.2" footer="0"/>
  <pageSetup paperSize="9" scale="8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K104"/>
  <sheetViews>
    <sheetView tabSelected="1" workbookViewId="0">
      <pane ySplit="4" topLeftCell="A87" activePane="bottomLeft" state="frozen"/>
      <selection pane="bottomLeft" activeCell="K6" sqref="K6:K100"/>
    </sheetView>
  </sheetViews>
  <sheetFormatPr defaultRowHeight="12.75"/>
  <cols>
    <col min="1" max="1" width="6.85546875" style="228" customWidth="1"/>
    <col min="2" max="2" width="9.140625" style="228"/>
    <col min="3" max="3" width="11.5703125" style="228" customWidth="1"/>
    <col min="4" max="4" width="32.140625" style="228" customWidth="1"/>
    <col min="5" max="5" width="23.7109375" style="228" customWidth="1"/>
    <col min="6" max="7" width="9.140625" style="228"/>
    <col min="8" max="8" width="10.5703125" style="228" customWidth="1"/>
    <col min="9" max="9" width="14.85546875" style="228" customWidth="1"/>
    <col min="10" max="10" width="10.5703125" style="228" customWidth="1"/>
    <col min="11" max="11" width="14.85546875" style="228" customWidth="1"/>
    <col min="12" max="16384" width="9.140625" style="228"/>
  </cols>
  <sheetData>
    <row r="1" spans="1:11" s="179" customFormat="1" ht="15.75" customHeight="1">
      <c r="A1" s="282" t="s">
        <v>106</v>
      </c>
      <c r="B1" s="285" t="s">
        <v>7</v>
      </c>
      <c r="C1" s="286"/>
      <c r="D1" s="282" t="s">
        <v>8</v>
      </c>
      <c r="E1" s="282" t="s">
        <v>239</v>
      </c>
      <c r="F1" s="282" t="s">
        <v>9</v>
      </c>
      <c r="G1" s="282" t="s">
        <v>139</v>
      </c>
      <c r="H1" s="285" t="s">
        <v>10</v>
      </c>
      <c r="I1" s="287"/>
      <c r="J1" s="287"/>
      <c r="K1" s="286"/>
    </row>
    <row r="2" spans="1:11" s="179" customFormat="1" ht="15.75" customHeight="1">
      <c r="A2" s="283"/>
      <c r="B2" s="288" t="s">
        <v>12</v>
      </c>
      <c r="C2" s="288" t="s">
        <v>13</v>
      </c>
      <c r="D2" s="283"/>
      <c r="E2" s="283"/>
      <c r="F2" s="283"/>
      <c r="G2" s="283"/>
      <c r="H2" s="290" t="s">
        <v>14</v>
      </c>
      <c r="I2" s="291"/>
      <c r="J2" s="290" t="s">
        <v>15</v>
      </c>
      <c r="K2" s="291"/>
    </row>
    <row r="3" spans="1:11" s="179" customFormat="1" ht="27" customHeight="1">
      <c r="A3" s="284"/>
      <c r="B3" s="289"/>
      <c r="C3" s="289"/>
      <c r="D3" s="284"/>
      <c r="E3" s="284"/>
      <c r="F3" s="284"/>
      <c r="G3" s="284"/>
      <c r="H3" s="180" t="s">
        <v>115</v>
      </c>
      <c r="I3" s="180" t="s">
        <v>140</v>
      </c>
      <c r="J3" s="180" t="s">
        <v>115</v>
      </c>
      <c r="K3" s="180" t="s">
        <v>140</v>
      </c>
    </row>
    <row r="4" spans="1:11" s="179" customFormat="1">
      <c r="A4" s="181" t="s">
        <v>16</v>
      </c>
      <c r="B4" s="181" t="s">
        <v>17</v>
      </c>
      <c r="C4" s="181" t="s">
        <v>18</v>
      </c>
      <c r="D4" s="181" t="s">
        <v>19</v>
      </c>
      <c r="E4" s="181"/>
      <c r="F4" s="181" t="s">
        <v>20</v>
      </c>
      <c r="G4" s="181">
        <v>1</v>
      </c>
      <c r="H4" s="181">
        <v>2</v>
      </c>
      <c r="I4" s="181">
        <v>3</v>
      </c>
      <c r="J4" s="181">
        <v>4</v>
      </c>
      <c r="K4" s="181">
        <v>5</v>
      </c>
    </row>
    <row r="5" spans="1:11" s="179" customFormat="1" ht="22.5" customHeight="1">
      <c r="A5" s="237">
        <f>IF(C5&lt;&gt;"",MONTH(C5),"")</f>
        <v>1</v>
      </c>
      <c r="B5" s="188" t="s">
        <v>145</v>
      </c>
      <c r="C5" s="188">
        <v>42009</v>
      </c>
      <c r="D5" s="166" t="s">
        <v>146</v>
      </c>
      <c r="E5" s="220" t="s">
        <v>121</v>
      </c>
      <c r="F5" s="189" t="s">
        <v>147</v>
      </c>
      <c r="G5" s="190">
        <v>21350</v>
      </c>
      <c r="H5" s="174">
        <v>51500</v>
      </c>
      <c r="I5" s="162">
        <f>G5*H5</f>
        <v>1099525000</v>
      </c>
      <c r="J5" s="174"/>
      <c r="K5" s="162">
        <f>G5*J5</f>
        <v>0</v>
      </c>
    </row>
    <row r="6" spans="1:11" s="265" customFormat="1" ht="22.5" customHeight="1">
      <c r="A6" s="256">
        <f t="shared" ref="A6:A38" si="0">IF(C6&lt;&gt;"",MONTH(C6),"")</f>
        <v>1</v>
      </c>
      <c r="B6" s="257" t="s">
        <v>148</v>
      </c>
      <c r="C6" s="258">
        <v>42009</v>
      </c>
      <c r="D6" s="259" t="s">
        <v>149</v>
      </c>
      <c r="E6" s="260" t="s">
        <v>121</v>
      </c>
      <c r="F6" s="261" t="s">
        <v>150</v>
      </c>
      <c r="G6" s="262"/>
      <c r="H6" s="263"/>
      <c r="I6" s="264">
        <f t="shared" ref="I6:I36" si="1">G6*H6</f>
        <v>0</v>
      </c>
      <c r="J6" s="263"/>
      <c r="K6" s="264">
        <v>4630000</v>
      </c>
    </row>
    <row r="7" spans="1:11" s="179" customFormat="1" ht="22.5" customHeight="1">
      <c r="A7" s="237">
        <f t="shared" si="0"/>
        <v>1</v>
      </c>
      <c r="B7" s="188" t="s">
        <v>145</v>
      </c>
      <c r="C7" s="188">
        <v>42023</v>
      </c>
      <c r="D7" s="166" t="s">
        <v>250</v>
      </c>
      <c r="E7" s="220" t="s">
        <v>122</v>
      </c>
      <c r="F7" s="189" t="s">
        <v>147</v>
      </c>
      <c r="G7" s="190">
        <v>21315</v>
      </c>
      <c r="H7" s="174">
        <v>60000</v>
      </c>
      <c r="I7" s="162">
        <f t="shared" si="1"/>
        <v>1278900000</v>
      </c>
      <c r="J7" s="174"/>
      <c r="K7" s="162">
        <f>G7*J7</f>
        <v>0</v>
      </c>
    </row>
    <row r="8" spans="1:11" s="265" customFormat="1" ht="22.5" customHeight="1">
      <c r="A8" s="256">
        <f t="shared" si="0"/>
        <v>1</v>
      </c>
      <c r="B8" s="257" t="s">
        <v>148</v>
      </c>
      <c r="C8" s="258">
        <v>42023</v>
      </c>
      <c r="D8" s="259" t="s">
        <v>149</v>
      </c>
      <c r="E8" s="260" t="s">
        <v>122</v>
      </c>
      <c r="F8" s="261" t="s">
        <v>150</v>
      </c>
      <c r="G8" s="262"/>
      <c r="H8" s="263"/>
      <c r="I8" s="264">
        <f t="shared" si="1"/>
        <v>0</v>
      </c>
      <c r="J8" s="263"/>
      <c r="K8" s="264">
        <v>5400000</v>
      </c>
    </row>
    <row r="9" spans="1:11" s="179" customFormat="1" ht="22.5" customHeight="1">
      <c r="A9" s="237">
        <f t="shared" si="0"/>
        <v>1</v>
      </c>
      <c r="B9" s="188" t="s">
        <v>145</v>
      </c>
      <c r="C9" s="188">
        <v>42023</v>
      </c>
      <c r="D9" s="166" t="s">
        <v>152</v>
      </c>
      <c r="E9" s="220" t="s">
        <v>123</v>
      </c>
      <c r="F9" s="189" t="s">
        <v>147</v>
      </c>
      <c r="G9" s="190">
        <v>21315</v>
      </c>
      <c r="H9" s="174">
        <v>38000</v>
      </c>
      <c r="I9" s="162">
        <f t="shared" si="1"/>
        <v>809970000</v>
      </c>
      <c r="J9" s="174"/>
      <c r="K9" s="162">
        <f>G9*J9</f>
        <v>0</v>
      </c>
    </row>
    <row r="10" spans="1:11" s="265" customFormat="1" ht="22.5" customHeight="1">
      <c r="A10" s="256">
        <f t="shared" si="0"/>
        <v>1</v>
      </c>
      <c r="B10" s="257" t="s">
        <v>148</v>
      </c>
      <c r="C10" s="258">
        <v>42023</v>
      </c>
      <c r="D10" s="259" t="s">
        <v>149</v>
      </c>
      <c r="E10" s="260" t="s">
        <v>123</v>
      </c>
      <c r="F10" s="261" t="s">
        <v>150</v>
      </c>
      <c r="G10" s="262"/>
      <c r="H10" s="263"/>
      <c r="I10" s="264">
        <f t="shared" si="1"/>
        <v>0</v>
      </c>
      <c r="J10" s="263"/>
      <c r="K10" s="264">
        <v>3420000</v>
      </c>
    </row>
    <row r="11" spans="1:11" s="179" customFormat="1" ht="22.5" customHeight="1">
      <c r="A11" s="237">
        <f t="shared" si="0"/>
        <v>2</v>
      </c>
      <c r="B11" s="188" t="s">
        <v>145</v>
      </c>
      <c r="C11" s="188">
        <v>42063</v>
      </c>
      <c r="D11" s="166" t="s">
        <v>153</v>
      </c>
      <c r="E11" s="225" t="s">
        <v>124</v>
      </c>
      <c r="F11" s="189" t="s">
        <v>147</v>
      </c>
      <c r="G11" s="190">
        <v>21330</v>
      </c>
      <c r="H11" s="174">
        <v>46500</v>
      </c>
      <c r="I11" s="162">
        <f t="shared" si="1"/>
        <v>991845000</v>
      </c>
      <c r="J11" s="174"/>
      <c r="K11" s="162">
        <f>G11*J11</f>
        <v>0</v>
      </c>
    </row>
    <row r="12" spans="1:11" s="265" customFormat="1" ht="22.5" customHeight="1">
      <c r="A12" s="256">
        <f t="shared" si="0"/>
        <v>2</v>
      </c>
      <c r="B12" s="257" t="s">
        <v>148</v>
      </c>
      <c r="C12" s="258">
        <v>42063</v>
      </c>
      <c r="D12" s="259" t="s">
        <v>149</v>
      </c>
      <c r="E12" s="259" t="s">
        <v>124</v>
      </c>
      <c r="F12" s="261" t="s">
        <v>150</v>
      </c>
      <c r="G12" s="262"/>
      <c r="H12" s="263"/>
      <c r="I12" s="264">
        <f t="shared" si="1"/>
        <v>0</v>
      </c>
      <c r="J12" s="263"/>
      <c r="K12" s="264">
        <v>7440000</v>
      </c>
    </row>
    <row r="13" spans="1:11" s="179" customFormat="1" ht="22.5" customHeight="1">
      <c r="A13" s="237">
        <f t="shared" si="0"/>
        <v>2</v>
      </c>
      <c r="B13" s="188" t="s">
        <v>145</v>
      </c>
      <c r="C13" s="188">
        <v>42063</v>
      </c>
      <c r="D13" s="166" t="s">
        <v>154</v>
      </c>
      <c r="E13" s="225" t="s">
        <v>125</v>
      </c>
      <c r="F13" s="189" t="s">
        <v>147</v>
      </c>
      <c r="G13" s="190">
        <v>21330</v>
      </c>
      <c r="H13" s="174">
        <v>50870</v>
      </c>
      <c r="I13" s="162">
        <f t="shared" si="1"/>
        <v>1085057100</v>
      </c>
      <c r="J13" s="174"/>
      <c r="K13" s="162">
        <f>G13*J13</f>
        <v>0</v>
      </c>
    </row>
    <row r="14" spans="1:11" s="265" customFormat="1" ht="22.5" customHeight="1">
      <c r="A14" s="256">
        <f t="shared" si="0"/>
        <v>2</v>
      </c>
      <c r="B14" s="257" t="s">
        <v>148</v>
      </c>
      <c r="C14" s="258">
        <v>42063</v>
      </c>
      <c r="D14" s="259" t="s">
        <v>149</v>
      </c>
      <c r="E14" s="259" t="s">
        <v>125</v>
      </c>
      <c r="F14" s="261" t="s">
        <v>150</v>
      </c>
      <c r="G14" s="262"/>
      <c r="H14" s="263"/>
      <c r="I14" s="264">
        <f t="shared" si="1"/>
        <v>0</v>
      </c>
      <c r="J14" s="263"/>
      <c r="K14" s="264">
        <v>6104400</v>
      </c>
    </row>
    <row r="15" spans="1:11" s="179" customFormat="1" ht="22.5" customHeight="1">
      <c r="A15" s="237">
        <f t="shared" si="0"/>
        <v>3</v>
      </c>
      <c r="B15" s="188" t="s">
        <v>145</v>
      </c>
      <c r="C15" s="187">
        <v>42072</v>
      </c>
      <c r="D15" s="166" t="s">
        <v>155</v>
      </c>
      <c r="E15" s="225" t="s">
        <v>126</v>
      </c>
      <c r="F15" s="189" t="s">
        <v>147</v>
      </c>
      <c r="G15" s="190">
        <v>21350</v>
      </c>
      <c r="H15" s="174">
        <v>90000</v>
      </c>
      <c r="I15" s="162">
        <f t="shared" si="1"/>
        <v>1921500000</v>
      </c>
      <c r="J15" s="174"/>
      <c r="K15" s="162">
        <f>G15*J15</f>
        <v>0</v>
      </c>
    </row>
    <row r="16" spans="1:11" s="265" customFormat="1" ht="22.5" customHeight="1">
      <c r="A16" s="256">
        <f t="shared" si="0"/>
        <v>3</v>
      </c>
      <c r="B16" s="258" t="s">
        <v>148</v>
      </c>
      <c r="C16" s="266">
        <v>42072</v>
      </c>
      <c r="D16" s="260" t="s">
        <v>149</v>
      </c>
      <c r="E16" s="259" t="s">
        <v>126</v>
      </c>
      <c r="F16" s="261" t="s">
        <v>150</v>
      </c>
      <c r="G16" s="262"/>
      <c r="H16" s="263"/>
      <c r="I16" s="264">
        <f t="shared" si="1"/>
        <v>0</v>
      </c>
      <c r="J16" s="263"/>
      <c r="K16" s="264">
        <v>12600000</v>
      </c>
    </row>
    <row r="17" spans="1:11" s="179" customFormat="1" ht="22.5" customHeight="1">
      <c r="A17" s="237">
        <f t="shared" si="0"/>
        <v>4</v>
      </c>
      <c r="B17" s="188" t="s">
        <v>145</v>
      </c>
      <c r="C17" s="188">
        <v>42096</v>
      </c>
      <c r="D17" s="166" t="s">
        <v>229</v>
      </c>
      <c r="E17" s="225" t="s">
        <v>127</v>
      </c>
      <c r="F17" s="189" t="s">
        <v>147</v>
      </c>
      <c r="G17" s="190">
        <v>21560</v>
      </c>
      <c r="H17" s="174">
        <v>52000</v>
      </c>
      <c r="I17" s="162">
        <f t="shared" si="1"/>
        <v>1121120000</v>
      </c>
      <c r="J17" s="174"/>
      <c r="K17" s="162">
        <f>G17*J17</f>
        <v>0</v>
      </c>
    </row>
    <row r="18" spans="1:11" s="179" customFormat="1" ht="22.5" customHeight="1">
      <c r="A18" s="237">
        <f t="shared" si="0"/>
        <v>4</v>
      </c>
      <c r="B18" s="188" t="s">
        <v>145</v>
      </c>
      <c r="C18" s="188">
        <v>42097</v>
      </c>
      <c r="D18" s="220" t="s">
        <v>230</v>
      </c>
      <c r="E18" s="225" t="s">
        <v>127</v>
      </c>
      <c r="F18" s="189" t="s">
        <v>147</v>
      </c>
      <c r="G18" s="190">
        <v>21560</v>
      </c>
      <c r="H18" s="174">
        <v>40500</v>
      </c>
      <c r="I18" s="162">
        <f t="shared" si="1"/>
        <v>873180000</v>
      </c>
      <c r="J18" s="174"/>
      <c r="K18" s="162">
        <f>G18*J18</f>
        <v>0</v>
      </c>
    </row>
    <row r="19" spans="1:11" s="265" customFormat="1" ht="22.5" customHeight="1">
      <c r="A19" s="256">
        <f t="shared" si="0"/>
        <v>4</v>
      </c>
      <c r="B19" s="258" t="s">
        <v>148</v>
      </c>
      <c r="C19" s="266">
        <v>42097</v>
      </c>
      <c r="D19" s="260" t="s">
        <v>149</v>
      </c>
      <c r="E19" s="259" t="s">
        <v>127</v>
      </c>
      <c r="F19" s="261" t="s">
        <v>150</v>
      </c>
      <c r="G19" s="262"/>
      <c r="H19" s="263"/>
      <c r="I19" s="264">
        <f t="shared" si="1"/>
        <v>0</v>
      </c>
      <c r="J19" s="263"/>
      <c r="K19" s="264">
        <v>31450000</v>
      </c>
    </row>
    <row r="20" spans="1:11" s="179" customFormat="1" ht="22.5" customHeight="1">
      <c r="A20" s="237">
        <f t="shared" si="0"/>
        <v>1</v>
      </c>
      <c r="B20" s="188" t="s">
        <v>156</v>
      </c>
      <c r="C20" s="188">
        <v>42010</v>
      </c>
      <c r="D20" s="166" t="s">
        <v>157</v>
      </c>
      <c r="E20" s="225" t="s">
        <v>132</v>
      </c>
      <c r="F20" s="189" t="s">
        <v>147</v>
      </c>
      <c r="G20" s="190">
        <v>21350</v>
      </c>
      <c r="H20" s="174"/>
      <c r="I20" s="162">
        <f t="shared" si="1"/>
        <v>0</v>
      </c>
      <c r="J20" s="174">
        <v>49000</v>
      </c>
      <c r="K20" s="162">
        <f>G20*J20</f>
        <v>1046150000</v>
      </c>
    </row>
    <row r="21" spans="1:11" s="179" customFormat="1" ht="22.5" customHeight="1">
      <c r="A21" s="237">
        <f t="shared" si="0"/>
        <v>1</v>
      </c>
      <c r="B21" s="188" t="s">
        <v>156</v>
      </c>
      <c r="C21" s="188">
        <v>42023</v>
      </c>
      <c r="D21" s="166" t="s">
        <v>158</v>
      </c>
      <c r="E21" s="225" t="s">
        <v>133</v>
      </c>
      <c r="F21" s="189" t="s">
        <v>147</v>
      </c>
      <c r="G21" s="190">
        <v>21315</v>
      </c>
      <c r="H21" s="174"/>
      <c r="I21" s="162">
        <f t="shared" si="1"/>
        <v>0</v>
      </c>
      <c r="J21" s="174">
        <v>98000</v>
      </c>
      <c r="K21" s="162">
        <f t="shared" ref="K21:K36" si="2">G21*J21</f>
        <v>2088870000</v>
      </c>
    </row>
    <row r="22" spans="1:11" s="179" customFormat="1" ht="22.5" customHeight="1">
      <c r="A22" s="237">
        <f t="shared" si="0"/>
        <v>3</v>
      </c>
      <c r="B22" s="188" t="s">
        <v>145</v>
      </c>
      <c r="C22" s="188">
        <v>42065</v>
      </c>
      <c r="D22" s="166" t="s">
        <v>163</v>
      </c>
      <c r="E22" s="225" t="s">
        <v>164</v>
      </c>
      <c r="F22" s="189" t="s">
        <v>147</v>
      </c>
      <c r="G22" s="190">
        <v>21350</v>
      </c>
      <c r="H22" s="174"/>
      <c r="I22" s="162">
        <f t="shared" si="1"/>
        <v>0</v>
      </c>
      <c r="J22" s="174">
        <v>97300</v>
      </c>
      <c r="K22" s="162">
        <f t="shared" si="2"/>
        <v>2077355000</v>
      </c>
    </row>
    <row r="23" spans="1:11" s="179" customFormat="1" ht="22.5" customHeight="1">
      <c r="A23" s="237">
        <f t="shared" si="0"/>
        <v>1</v>
      </c>
      <c r="B23" s="188" t="s">
        <v>156</v>
      </c>
      <c r="C23" s="188">
        <v>42023</v>
      </c>
      <c r="D23" s="166" t="s">
        <v>159</v>
      </c>
      <c r="E23" s="225" t="s">
        <v>134</v>
      </c>
      <c r="F23" s="189" t="s">
        <v>147</v>
      </c>
      <c r="G23" s="190">
        <v>21350</v>
      </c>
      <c r="H23" s="174"/>
      <c r="I23" s="162">
        <f t="shared" si="1"/>
        <v>0</v>
      </c>
      <c r="J23" s="174">
        <v>90000</v>
      </c>
      <c r="K23" s="162">
        <f t="shared" si="2"/>
        <v>1921500000</v>
      </c>
    </row>
    <row r="24" spans="1:11" s="179" customFormat="1" ht="22.5" customHeight="1">
      <c r="A24" s="237">
        <f t="shared" si="0"/>
        <v>4</v>
      </c>
      <c r="B24" s="188" t="s">
        <v>156</v>
      </c>
      <c r="C24" s="188">
        <v>42097</v>
      </c>
      <c r="D24" s="226" t="s">
        <v>231</v>
      </c>
      <c r="E24" s="227" t="s">
        <v>232</v>
      </c>
      <c r="F24" s="189" t="s">
        <v>147</v>
      </c>
      <c r="G24" s="190">
        <v>21560</v>
      </c>
      <c r="H24" s="174"/>
      <c r="I24" s="162">
        <f t="shared" si="1"/>
        <v>0</v>
      </c>
      <c r="J24" s="174">
        <v>89500</v>
      </c>
      <c r="K24" s="162">
        <f t="shared" si="2"/>
        <v>1929620000</v>
      </c>
    </row>
    <row r="25" spans="1:11" ht="22.5" customHeight="1">
      <c r="A25" s="237">
        <f t="shared" si="0"/>
        <v>2</v>
      </c>
      <c r="B25" s="188" t="s">
        <v>145</v>
      </c>
      <c r="C25" s="188">
        <v>42059</v>
      </c>
      <c r="D25" s="226" t="s">
        <v>160</v>
      </c>
      <c r="E25" s="227" t="s">
        <v>234</v>
      </c>
      <c r="F25" s="189" t="s">
        <v>147</v>
      </c>
      <c r="G25" s="190">
        <v>21330</v>
      </c>
      <c r="H25" s="174">
        <v>55000</v>
      </c>
      <c r="I25" s="162">
        <f t="shared" si="1"/>
        <v>1173150000</v>
      </c>
      <c r="J25" s="174"/>
      <c r="K25" s="162">
        <v>0</v>
      </c>
    </row>
    <row r="26" spans="1:11" s="267" customFormat="1" ht="22.5" customHeight="1">
      <c r="A26" s="256">
        <f t="shared" si="0"/>
        <v>2</v>
      </c>
      <c r="B26" s="258" t="s">
        <v>148</v>
      </c>
      <c r="C26" s="258">
        <v>42059</v>
      </c>
      <c r="D26" s="249" t="s">
        <v>149</v>
      </c>
      <c r="E26" s="248" t="s">
        <v>234</v>
      </c>
      <c r="F26" s="261" t="s">
        <v>150</v>
      </c>
      <c r="G26" s="262"/>
      <c r="H26" s="263"/>
      <c r="I26" s="264">
        <f t="shared" si="1"/>
        <v>0</v>
      </c>
      <c r="J26" s="263"/>
      <c r="K26" s="264">
        <v>7425000</v>
      </c>
    </row>
    <row r="27" spans="1:11" ht="22.5" customHeight="1">
      <c r="A27" s="237">
        <f t="shared" si="0"/>
        <v>2</v>
      </c>
      <c r="B27" s="188" t="s">
        <v>156</v>
      </c>
      <c r="C27" s="188">
        <v>42060</v>
      </c>
      <c r="D27" s="226" t="s">
        <v>161</v>
      </c>
      <c r="E27" s="227" t="s">
        <v>238</v>
      </c>
      <c r="F27" s="189" t="s">
        <v>162</v>
      </c>
      <c r="G27" s="190">
        <v>21350</v>
      </c>
      <c r="H27" s="174"/>
      <c r="I27" s="162">
        <v>0</v>
      </c>
      <c r="J27" s="174">
        <v>55000</v>
      </c>
      <c r="K27" s="162">
        <v>1174250000</v>
      </c>
    </row>
    <row r="28" spans="1:11" ht="22.5" customHeight="1">
      <c r="A28" s="237">
        <f t="shared" si="0"/>
        <v>5</v>
      </c>
      <c r="B28" s="239" t="s">
        <v>145</v>
      </c>
      <c r="C28" s="238">
        <v>42151</v>
      </c>
      <c r="D28" s="240" t="s">
        <v>243</v>
      </c>
      <c r="E28" s="242" t="s">
        <v>235</v>
      </c>
      <c r="F28" s="241" t="s">
        <v>147</v>
      </c>
      <c r="G28" s="190">
        <v>21810</v>
      </c>
      <c r="H28" s="174">
        <v>81000</v>
      </c>
      <c r="I28" s="162">
        <f t="shared" si="1"/>
        <v>1766610000</v>
      </c>
      <c r="J28" s="174"/>
      <c r="K28" s="162">
        <f t="shared" si="2"/>
        <v>0</v>
      </c>
    </row>
    <row r="29" spans="1:11" s="267" customFormat="1" ht="22.5" customHeight="1">
      <c r="A29" s="256">
        <f t="shared" ref="A29" si="3">IF(C29&lt;&gt;"",MONTH(C29),"")</f>
        <v>5</v>
      </c>
      <c r="B29" s="268" t="s">
        <v>148</v>
      </c>
      <c r="C29" s="269">
        <v>42151</v>
      </c>
      <c r="D29" s="249" t="s">
        <v>149</v>
      </c>
      <c r="E29" s="242" t="s">
        <v>235</v>
      </c>
      <c r="F29" s="270" t="s">
        <v>150</v>
      </c>
      <c r="G29" s="262"/>
      <c r="H29" s="263"/>
      <c r="I29" s="264"/>
      <c r="J29" s="263"/>
      <c r="K29" s="264">
        <v>35640000</v>
      </c>
    </row>
    <row r="30" spans="1:11" ht="22.5" customHeight="1">
      <c r="A30" s="237">
        <f t="shared" si="0"/>
        <v>5</v>
      </c>
      <c r="B30" s="188" t="s">
        <v>156</v>
      </c>
      <c r="C30" s="238">
        <v>42151</v>
      </c>
      <c r="D30" s="240" t="s">
        <v>244</v>
      </c>
      <c r="E30" s="242" t="s">
        <v>245</v>
      </c>
      <c r="F30" s="189" t="s">
        <v>162</v>
      </c>
      <c r="G30" s="190">
        <v>21800</v>
      </c>
      <c r="H30" s="174"/>
      <c r="I30" s="162">
        <f t="shared" si="1"/>
        <v>0</v>
      </c>
      <c r="J30" s="174">
        <v>76300</v>
      </c>
      <c r="K30" s="162">
        <f t="shared" si="2"/>
        <v>1663340000</v>
      </c>
    </row>
    <row r="31" spans="1:11" ht="22.5" customHeight="1">
      <c r="A31" s="237">
        <f t="shared" si="0"/>
        <v>5</v>
      </c>
      <c r="B31" s="188" t="s">
        <v>145</v>
      </c>
      <c r="C31" s="188">
        <v>42145</v>
      </c>
      <c r="D31" s="226" t="s">
        <v>246</v>
      </c>
      <c r="E31" s="227" t="s">
        <v>128</v>
      </c>
      <c r="F31" s="189" t="s">
        <v>147</v>
      </c>
      <c r="G31" s="190">
        <v>21840</v>
      </c>
      <c r="H31" s="174">
        <v>69000</v>
      </c>
      <c r="I31" s="162">
        <f t="shared" si="1"/>
        <v>1506960000</v>
      </c>
      <c r="J31" s="174"/>
      <c r="K31" s="162">
        <f t="shared" si="2"/>
        <v>0</v>
      </c>
    </row>
    <row r="32" spans="1:11" s="267" customFormat="1" ht="22.5" customHeight="1">
      <c r="A32" s="256">
        <f t="shared" ref="A32" si="4">IF(C32&lt;&gt;"",MONTH(C32),"")</f>
        <v>5</v>
      </c>
      <c r="B32" s="258" t="s">
        <v>148</v>
      </c>
      <c r="C32" s="258">
        <v>42145</v>
      </c>
      <c r="D32" s="249" t="s">
        <v>149</v>
      </c>
      <c r="E32" s="248" t="s">
        <v>128</v>
      </c>
      <c r="F32" s="261" t="s">
        <v>150</v>
      </c>
      <c r="G32" s="262"/>
      <c r="H32" s="263"/>
      <c r="I32" s="264">
        <f t="shared" ref="I32" si="5">G32*H32</f>
        <v>0</v>
      </c>
      <c r="J32" s="263"/>
      <c r="K32" s="264">
        <v>35190000</v>
      </c>
    </row>
    <row r="33" spans="1:11" ht="22.5" customHeight="1">
      <c r="A33" s="237">
        <f t="shared" si="0"/>
        <v>5</v>
      </c>
      <c r="B33" s="188" t="s">
        <v>156</v>
      </c>
      <c r="C33" s="188">
        <v>42145</v>
      </c>
      <c r="D33" s="240" t="s">
        <v>251</v>
      </c>
      <c r="E33" s="227" t="s">
        <v>247</v>
      </c>
      <c r="F33" s="189" t="s">
        <v>147</v>
      </c>
      <c r="G33" s="190">
        <v>21840</v>
      </c>
      <c r="H33" s="174"/>
      <c r="I33" s="162">
        <f t="shared" si="1"/>
        <v>0</v>
      </c>
      <c r="J33" s="174">
        <v>61500</v>
      </c>
      <c r="K33" s="162">
        <f t="shared" si="2"/>
        <v>1343160000</v>
      </c>
    </row>
    <row r="34" spans="1:11" ht="22.5" customHeight="1">
      <c r="A34" s="237">
        <f t="shared" si="0"/>
        <v>5</v>
      </c>
      <c r="B34" s="239" t="s">
        <v>145</v>
      </c>
      <c r="C34" s="238">
        <v>42153</v>
      </c>
      <c r="D34" s="240" t="s">
        <v>248</v>
      </c>
      <c r="E34" s="227" t="s">
        <v>129</v>
      </c>
      <c r="F34" s="189" t="s">
        <v>147</v>
      </c>
      <c r="G34" s="190">
        <v>21780</v>
      </c>
      <c r="H34" s="174">
        <v>70000</v>
      </c>
      <c r="I34" s="162">
        <f t="shared" si="1"/>
        <v>1524600000</v>
      </c>
      <c r="J34" s="174"/>
      <c r="K34" s="162">
        <f t="shared" si="2"/>
        <v>0</v>
      </c>
    </row>
    <row r="35" spans="1:11" s="267" customFormat="1" ht="22.5" customHeight="1">
      <c r="A35" s="256">
        <f t="shared" ref="A35" si="6">IF(C35&lt;&gt;"",MONTH(C35),"")</f>
        <v>5</v>
      </c>
      <c r="B35" s="268" t="s">
        <v>148</v>
      </c>
      <c r="C35" s="269">
        <v>42153</v>
      </c>
      <c r="D35" s="249" t="s">
        <v>149</v>
      </c>
      <c r="E35" s="248" t="s">
        <v>129</v>
      </c>
      <c r="F35" s="261" t="s">
        <v>150</v>
      </c>
      <c r="G35" s="262"/>
      <c r="H35" s="263"/>
      <c r="I35" s="264">
        <f t="shared" ref="I35" si="7">G35*H35</f>
        <v>0</v>
      </c>
      <c r="J35" s="263"/>
      <c r="K35" s="264">
        <v>26600000</v>
      </c>
    </row>
    <row r="36" spans="1:11" ht="22.5" customHeight="1">
      <c r="A36" s="237">
        <f t="shared" si="0"/>
        <v>5</v>
      </c>
      <c r="B36" s="239" t="s">
        <v>145</v>
      </c>
      <c r="C36" s="238">
        <v>42153</v>
      </c>
      <c r="D36" s="240" t="s">
        <v>249</v>
      </c>
      <c r="E36" s="227" t="s">
        <v>130</v>
      </c>
      <c r="F36" s="189" t="s">
        <v>147</v>
      </c>
      <c r="G36" s="190">
        <v>21780</v>
      </c>
      <c r="H36" s="174">
        <v>19500</v>
      </c>
      <c r="I36" s="162">
        <f t="shared" si="1"/>
        <v>424710000</v>
      </c>
      <c r="J36" s="174"/>
      <c r="K36" s="162">
        <f t="shared" si="2"/>
        <v>0</v>
      </c>
    </row>
    <row r="37" spans="1:11" s="267" customFormat="1" ht="21.75" customHeight="1">
      <c r="A37" s="256">
        <f t="shared" ref="A37" si="8">IF(C37&lt;&gt;"",MONTH(C37),"")</f>
        <v>5</v>
      </c>
      <c r="B37" s="268" t="s">
        <v>148</v>
      </c>
      <c r="C37" s="269">
        <v>42153</v>
      </c>
      <c r="D37" s="249" t="s">
        <v>149</v>
      </c>
      <c r="E37" s="248" t="s">
        <v>130</v>
      </c>
      <c r="F37" s="261" t="s">
        <v>150</v>
      </c>
      <c r="G37" s="262"/>
      <c r="H37" s="263"/>
      <c r="I37" s="264">
        <f t="shared" ref="I37:I45" si="9">G37*H37</f>
        <v>0</v>
      </c>
      <c r="J37" s="263"/>
      <c r="K37" s="264">
        <v>7410000</v>
      </c>
    </row>
    <row r="38" spans="1:11" ht="21.75" customHeight="1">
      <c r="A38" s="237">
        <f t="shared" si="0"/>
        <v>6</v>
      </c>
      <c r="B38" s="188" t="s">
        <v>156</v>
      </c>
      <c r="C38" s="188">
        <v>42156</v>
      </c>
      <c r="D38" s="226" t="s">
        <v>280</v>
      </c>
      <c r="E38" s="227" t="s">
        <v>277</v>
      </c>
      <c r="F38" s="189" t="s">
        <v>147</v>
      </c>
      <c r="G38" s="190">
        <v>21815</v>
      </c>
      <c r="H38" s="174">
        <v>0</v>
      </c>
      <c r="I38" s="162">
        <f t="shared" si="9"/>
        <v>0</v>
      </c>
      <c r="J38" s="174">
        <v>89500</v>
      </c>
      <c r="K38" s="162">
        <f t="shared" ref="K38:K45" si="10">G38*J38</f>
        <v>1952442500</v>
      </c>
    </row>
    <row r="39" spans="1:11" ht="21.75" customHeight="1">
      <c r="A39" s="237">
        <f t="shared" ref="A39:A71" si="11">IF(C39&lt;&gt;"",MONTH(C39),"")</f>
        <v>6</v>
      </c>
      <c r="B39" s="188" t="s">
        <v>145</v>
      </c>
      <c r="C39" s="188">
        <v>42180</v>
      </c>
      <c r="D39" s="226" t="s">
        <v>281</v>
      </c>
      <c r="E39" s="227" t="s">
        <v>131</v>
      </c>
      <c r="F39" s="189" t="s">
        <v>147</v>
      </c>
      <c r="G39" s="190">
        <v>21835</v>
      </c>
      <c r="H39" s="174">
        <v>43500</v>
      </c>
      <c r="I39" s="162">
        <f t="shared" si="9"/>
        <v>949822500</v>
      </c>
      <c r="J39" s="174">
        <v>0</v>
      </c>
      <c r="K39" s="162">
        <f t="shared" si="10"/>
        <v>0</v>
      </c>
    </row>
    <row r="40" spans="1:11" ht="21.75" customHeight="1">
      <c r="A40" s="237">
        <f t="shared" si="11"/>
        <v>6</v>
      </c>
      <c r="B40" s="188" t="s">
        <v>145</v>
      </c>
      <c r="C40" s="188">
        <v>42180</v>
      </c>
      <c r="D40" s="226" t="s">
        <v>282</v>
      </c>
      <c r="E40" s="227" t="s">
        <v>132</v>
      </c>
      <c r="F40" s="189" t="s">
        <v>147</v>
      </c>
      <c r="G40" s="190">
        <v>21835</v>
      </c>
      <c r="H40" s="174">
        <v>27500</v>
      </c>
      <c r="I40" s="162">
        <f t="shared" si="9"/>
        <v>600462500</v>
      </c>
      <c r="J40" s="174">
        <v>0</v>
      </c>
      <c r="K40" s="162">
        <f t="shared" si="10"/>
        <v>0</v>
      </c>
    </row>
    <row r="41" spans="1:11" ht="21.75" customHeight="1">
      <c r="A41" s="237">
        <f t="shared" si="11"/>
        <v>6</v>
      </c>
      <c r="B41" s="188" t="s">
        <v>156</v>
      </c>
      <c r="C41" s="188">
        <v>42180</v>
      </c>
      <c r="D41" s="226" t="s">
        <v>283</v>
      </c>
      <c r="E41" s="160" t="s">
        <v>278</v>
      </c>
      <c r="F41" s="189" t="s">
        <v>147</v>
      </c>
      <c r="G41" s="190">
        <v>21812</v>
      </c>
      <c r="H41" s="174">
        <v>0</v>
      </c>
      <c r="I41" s="162">
        <f t="shared" si="9"/>
        <v>0</v>
      </c>
      <c r="J41" s="174">
        <v>70000</v>
      </c>
      <c r="K41" s="162">
        <f t="shared" si="10"/>
        <v>1526840000</v>
      </c>
    </row>
    <row r="42" spans="1:11" ht="21.75" customHeight="1">
      <c r="A42" s="237">
        <f t="shared" ref="A42:A66" si="12">IF(C42&lt;&gt;"",MONTH(C42),"")</f>
        <v>6</v>
      </c>
      <c r="B42" s="188" t="s">
        <v>145</v>
      </c>
      <c r="C42" s="188">
        <v>42182</v>
      </c>
      <c r="D42" s="226" t="s">
        <v>284</v>
      </c>
      <c r="E42" s="227" t="s">
        <v>132</v>
      </c>
      <c r="F42" s="189" t="s">
        <v>147</v>
      </c>
      <c r="G42" s="190">
        <v>21825</v>
      </c>
      <c r="H42" s="174">
        <v>21500</v>
      </c>
      <c r="I42" s="162">
        <f t="shared" si="9"/>
        <v>469237500</v>
      </c>
      <c r="J42" s="174">
        <v>0</v>
      </c>
      <c r="K42" s="162">
        <f t="shared" si="10"/>
        <v>0</v>
      </c>
    </row>
    <row r="43" spans="1:11" ht="21.75" customHeight="1">
      <c r="A43" s="237">
        <f t="shared" si="12"/>
        <v>6</v>
      </c>
      <c r="B43" s="188" t="s">
        <v>156</v>
      </c>
      <c r="C43" s="188">
        <v>42184</v>
      </c>
      <c r="D43" s="226" t="s">
        <v>285</v>
      </c>
      <c r="E43" s="227" t="s">
        <v>279</v>
      </c>
      <c r="F43" s="189" t="s">
        <v>147</v>
      </c>
      <c r="G43" s="190">
        <v>21825</v>
      </c>
      <c r="H43" s="174">
        <v>0</v>
      </c>
      <c r="I43" s="162">
        <f t="shared" si="9"/>
        <v>0</v>
      </c>
      <c r="J43" s="174">
        <v>21000</v>
      </c>
      <c r="K43" s="162">
        <f t="shared" si="10"/>
        <v>458325000</v>
      </c>
    </row>
    <row r="44" spans="1:11" ht="21.75" customHeight="1">
      <c r="A44" s="237">
        <f t="shared" si="12"/>
        <v>6</v>
      </c>
      <c r="B44" s="188" t="s">
        <v>145</v>
      </c>
      <c r="C44" s="188">
        <v>42158</v>
      </c>
      <c r="D44" s="226" t="s">
        <v>286</v>
      </c>
      <c r="E44" s="227" t="s">
        <v>236</v>
      </c>
      <c r="F44" s="189" t="s">
        <v>147</v>
      </c>
      <c r="G44" s="190">
        <v>21825</v>
      </c>
      <c r="H44" s="174">
        <v>95700</v>
      </c>
      <c r="I44" s="162">
        <f t="shared" si="9"/>
        <v>2088652500</v>
      </c>
      <c r="J44" s="174">
        <v>0</v>
      </c>
      <c r="K44" s="162">
        <f t="shared" si="10"/>
        <v>0</v>
      </c>
    </row>
    <row r="45" spans="1:11" ht="21.75" customHeight="1">
      <c r="A45" s="237">
        <f t="shared" si="12"/>
        <v>6</v>
      </c>
      <c r="B45" s="188" t="s">
        <v>145</v>
      </c>
      <c r="C45" s="188">
        <v>42178</v>
      </c>
      <c r="D45" s="226" t="s">
        <v>287</v>
      </c>
      <c r="E45" s="227" t="s">
        <v>237</v>
      </c>
      <c r="F45" s="189" t="s">
        <v>147</v>
      </c>
      <c r="G45" s="190">
        <v>21835</v>
      </c>
      <c r="H45" s="174">
        <v>43600</v>
      </c>
      <c r="I45" s="162">
        <f t="shared" si="9"/>
        <v>952006000</v>
      </c>
      <c r="J45" s="174">
        <v>0</v>
      </c>
      <c r="K45" s="162">
        <f t="shared" si="10"/>
        <v>0</v>
      </c>
    </row>
    <row r="46" spans="1:11" ht="21.75" customHeight="1">
      <c r="A46" s="237">
        <f t="shared" si="12"/>
        <v>6</v>
      </c>
      <c r="B46" s="188" t="s">
        <v>156</v>
      </c>
      <c r="C46" s="188">
        <v>42158</v>
      </c>
      <c r="D46" s="226" t="s">
        <v>288</v>
      </c>
      <c r="E46" s="227" t="s">
        <v>290</v>
      </c>
      <c r="F46" s="189" t="s">
        <v>162</v>
      </c>
      <c r="G46" s="190">
        <f>K46/J46</f>
        <v>21820</v>
      </c>
      <c r="H46" s="174"/>
      <c r="I46" s="162">
        <f t="shared" ref="I46:I66" si="13">G46*H46</f>
        <v>0</v>
      </c>
      <c r="J46" s="174">
        <v>95000</v>
      </c>
      <c r="K46" s="162">
        <v>2072900000</v>
      </c>
    </row>
    <row r="47" spans="1:11" ht="21.75" customHeight="1">
      <c r="A47" s="237">
        <f t="shared" si="12"/>
        <v>6</v>
      </c>
      <c r="B47" s="188" t="s">
        <v>156</v>
      </c>
      <c r="C47" s="188">
        <v>42181</v>
      </c>
      <c r="D47" s="226" t="s">
        <v>289</v>
      </c>
      <c r="E47" s="227" t="s">
        <v>291</v>
      </c>
      <c r="F47" s="189" t="s">
        <v>162</v>
      </c>
      <c r="G47" s="190">
        <f>K47/J47</f>
        <v>21810</v>
      </c>
      <c r="H47" s="174"/>
      <c r="I47" s="162">
        <f t="shared" si="13"/>
        <v>0</v>
      </c>
      <c r="J47" s="174">
        <v>43600</v>
      </c>
      <c r="K47" s="162">
        <v>950916000</v>
      </c>
    </row>
    <row r="48" spans="1:11" s="267" customFormat="1" ht="21.75" customHeight="1">
      <c r="A48" s="256">
        <f t="shared" si="12"/>
        <v>6</v>
      </c>
      <c r="B48" s="268" t="s">
        <v>148</v>
      </c>
      <c r="C48" s="258">
        <v>42180</v>
      </c>
      <c r="D48" s="249" t="s">
        <v>149</v>
      </c>
      <c r="E48" s="271" t="s">
        <v>131</v>
      </c>
      <c r="F48" s="261" t="s">
        <v>150</v>
      </c>
      <c r="G48" s="262"/>
      <c r="H48" s="263"/>
      <c r="I48" s="264">
        <f t="shared" si="13"/>
        <v>0</v>
      </c>
      <c r="J48" s="263"/>
      <c r="K48" s="264">
        <v>19792500</v>
      </c>
    </row>
    <row r="49" spans="1:11" s="267" customFormat="1" ht="21.75" customHeight="1">
      <c r="A49" s="256">
        <f t="shared" si="12"/>
        <v>6</v>
      </c>
      <c r="B49" s="268" t="s">
        <v>148</v>
      </c>
      <c r="C49" s="258">
        <v>42182</v>
      </c>
      <c r="D49" s="249" t="s">
        <v>149</v>
      </c>
      <c r="E49" s="271" t="s">
        <v>132</v>
      </c>
      <c r="F49" s="261" t="s">
        <v>150</v>
      </c>
      <c r="G49" s="262"/>
      <c r="H49" s="263"/>
      <c r="I49" s="264">
        <f t="shared" si="13"/>
        <v>0</v>
      </c>
      <c r="J49" s="263"/>
      <c r="K49" s="264">
        <v>23550000</v>
      </c>
    </row>
    <row r="50" spans="1:11" s="267" customFormat="1" ht="21.75" customHeight="1">
      <c r="A50" s="256">
        <f t="shared" si="12"/>
        <v>6</v>
      </c>
      <c r="B50" s="268" t="s">
        <v>148</v>
      </c>
      <c r="C50" s="258">
        <v>42158</v>
      </c>
      <c r="D50" s="249" t="s">
        <v>149</v>
      </c>
      <c r="E50" s="272" t="s">
        <v>236</v>
      </c>
      <c r="F50" s="261" t="s">
        <v>150</v>
      </c>
      <c r="G50" s="262"/>
      <c r="H50" s="263"/>
      <c r="I50" s="264">
        <f t="shared" si="13"/>
        <v>0</v>
      </c>
      <c r="J50" s="263"/>
      <c r="K50" s="264">
        <v>40672500</v>
      </c>
    </row>
    <row r="51" spans="1:11" s="267" customFormat="1" ht="21.75" customHeight="1">
      <c r="A51" s="256">
        <f t="shared" si="12"/>
        <v>6</v>
      </c>
      <c r="B51" s="268" t="s">
        <v>148</v>
      </c>
      <c r="C51" s="258">
        <v>42178</v>
      </c>
      <c r="D51" s="249" t="s">
        <v>149</v>
      </c>
      <c r="E51" s="271" t="s">
        <v>237</v>
      </c>
      <c r="F51" s="261" t="s">
        <v>150</v>
      </c>
      <c r="G51" s="262"/>
      <c r="H51" s="263"/>
      <c r="I51" s="264">
        <f t="shared" si="13"/>
        <v>0</v>
      </c>
      <c r="J51" s="263"/>
      <c r="K51" s="264">
        <v>18966000</v>
      </c>
    </row>
    <row r="52" spans="1:11" ht="21.75" customHeight="1">
      <c r="A52" s="237">
        <f t="shared" si="12"/>
        <v>7</v>
      </c>
      <c r="B52" s="188" t="s">
        <v>145</v>
      </c>
      <c r="C52" s="188">
        <v>42205</v>
      </c>
      <c r="D52" s="226" t="s">
        <v>292</v>
      </c>
      <c r="E52" s="246" t="s">
        <v>133</v>
      </c>
      <c r="F52" s="189" t="s">
        <v>147</v>
      </c>
      <c r="G52" s="190">
        <v>21825</v>
      </c>
      <c r="H52" s="174">
        <v>98000</v>
      </c>
      <c r="I52" s="162">
        <f t="shared" si="13"/>
        <v>2138850000</v>
      </c>
      <c r="J52" s="174"/>
      <c r="K52" s="162">
        <f t="shared" ref="K52:K66" si="14">G52*J52</f>
        <v>0</v>
      </c>
    </row>
    <row r="53" spans="1:11" s="267" customFormat="1" ht="21.75" customHeight="1">
      <c r="A53" s="256">
        <f t="shared" ref="A53" si="15">IF(C53&lt;&gt;"",MONTH(C53),"")</f>
        <v>7</v>
      </c>
      <c r="B53" s="258" t="s">
        <v>148</v>
      </c>
      <c r="C53" s="258">
        <v>42205</v>
      </c>
      <c r="D53" s="249" t="s">
        <v>149</v>
      </c>
      <c r="E53" s="248" t="s">
        <v>133</v>
      </c>
      <c r="F53" s="261" t="s">
        <v>150</v>
      </c>
      <c r="G53" s="262"/>
      <c r="H53" s="263"/>
      <c r="I53" s="264"/>
      <c r="J53" s="263"/>
      <c r="K53" s="264">
        <v>49980000</v>
      </c>
    </row>
    <row r="54" spans="1:11" ht="21.75" customHeight="1">
      <c r="A54" s="237">
        <f t="shared" si="12"/>
        <v>7</v>
      </c>
      <c r="B54" s="188" t="s">
        <v>156</v>
      </c>
      <c r="C54" s="188">
        <v>42205</v>
      </c>
      <c r="D54" s="226" t="s">
        <v>293</v>
      </c>
      <c r="E54" s="227" t="s">
        <v>294</v>
      </c>
      <c r="F54" s="189" t="s">
        <v>147</v>
      </c>
      <c r="G54" s="190">
        <v>21825</v>
      </c>
      <c r="H54" s="174"/>
      <c r="I54" s="162">
        <f t="shared" si="13"/>
        <v>0</v>
      </c>
      <c r="J54" s="174">
        <v>97000</v>
      </c>
      <c r="K54" s="162">
        <f t="shared" si="14"/>
        <v>2117025000</v>
      </c>
    </row>
    <row r="55" spans="1:11" ht="21.75" customHeight="1">
      <c r="A55" s="237">
        <f t="shared" si="12"/>
        <v>8</v>
      </c>
      <c r="B55" s="188" t="s">
        <v>145</v>
      </c>
      <c r="C55" s="188">
        <v>42245</v>
      </c>
      <c r="D55" s="226" t="s">
        <v>300</v>
      </c>
      <c r="E55" s="227" t="s">
        <v>164</v>
      </c>
      <c r="F55" s="189" t="s">
        <v>147</v>
      </c>
      <c r="G55" s="190">
        <v>22475</v>
      </c>
      <c r="H55" s="174">
        <v>97300</v>
      </c>
      <c r="I55" s="162">
        <f t="shared" si="13"/>
        <v>2186817500</v>
      </c>
      <c r="J55" s="174"/>
      <c r="K55" s="162">
        <f t="shared" si="14"/>
        <v>0</v>
      </c>
    </row>
    <row r="56" spans="1:11" s="267" customFormat="1" ht="21.75" customHeight="1">
      <c r="A56" s="256">
        <f t="shared" ref="A56" si="16">IF(C56&lt;&gt;"",MONTH(C56),"")</f>
        <v>8</v>
      </c>
      <c r="B56" s="258" t="s">
        <v>148</v>
      </c>
      <c r="C56" s="258">
        <v>42245</v>
      </c>
      <c r="D56" s="249" t="s">
        <v>149</v>
      </c>
      <c r="E56" s="248" t="s">
        <v>164</v>
      </c>
      <c r="F56" s="261" t="s">
        <v>150</v>
      </c>
      <c r="G56" s="262"/>
      <c r="H56" s="263"/>
      <c r="I56" s="264"/>
      <c r="J56" s="263"/>
      <c r="K56" s="264">
        <v>109462500</v>
      </c>
    </row>
    <row r="57" spans="1:11" ht="21.75" customHeight="1">
      <c r="A57" s="237">
        <f t="shared" si="12"/>
        <v>8</v>
      </c>
      <c r="B57" s="188" t="s">
        <v>156</v>
      </c>
      <c r="C57" s="188">
        <v>42247</v>
      </c>
      <c r="D57" s="226" t="s">
        <v>301</v>
      </c>
      <c r="E57" s="227" t="s">
        <v>302</v>
      </c>
      <c r="F57" s="189" t="s">
        <v>147</v>
      </c>
      <c r="G57" s="190">
        <v>22475</v>
      </c>
      <c r="H57" s="174"/>
      <c r="I57" s="162">
        <f t="shared" si="13"/>
        <v>0</v>
      </c>
      <c r="J57" s="174">
        <v>82000</v>
      </c>
      <c r="K57" s="162">
        <f t="shared" si="14"/>
        <v>1842950000</v>
      </c>
    </row>
    <row r="58" spans="1:11" ht="21.75" customHeight="1">
      <c r="A58" s="237">
        <f>IF(C58&lt;&gt;"",MONTH(C58),"")</f>
        <v>8</v>
      </c>
      <c r="B58" s="188" t="s">
        <v>145</v>
      </c>
      <c r="C58" s="188">
        <v>42233</v>
      </c>
      <c r="D58" s="226" t="s">
        <v>305</v>
      </c>
      <c r="E58" s="227" t="s">
        <v>238</v>
      </c>
      <c r="F58" s="189" t="s">
        <v>147</v>
      </c>
      <c r="G58" s="190">
        <v>22110</v>
      </c>
      <c r="H58" s="174">
        <v>55000</v>
      </c>
      <c r="I58" s="162">
        <f>G58*H58</f>
        <v>1216050000</v>
      </c>
      <c r="J58" s="174"/>
      <c r="K58" s="162">
        <f>G58*J58</f>
        <v>0</v>
      </c>
    </row>
    <row r="59" spans="1:11" s="267" customFormat="1" ht="21.75" customHeight="1">
      <c r="A59" s="256">
        <f>IF(C59&lt;&gt;"",MONTH(C59),"")</f>
        <v>8</v>
      </c>
      <c r="B59" s="258" t="s">
        <v>148</v>
      </c>
      <c r="C59" s="258">
        <v>42233</v>
      </c>
      <c r="D59" s="249" t="s">
        <v>149</v>
      </c>
      <c r="E59" s="248" t="s">
        <v>238</v>
      </c>
      <c r="F59" s="261" t="s">
        <v>150</v>
      </c>
      <c r="G59" s="262"/>
      <c r="H59" s="263"/>
      <c r="I59" s="264">
        <f>G59*H59</f>
        <v>0</v>
      </c>
      <c r="J59" s="263"/>
      <c r="K59" s="264">
        <v>41800000</v>
      </c>
    </row>
    <row r="60" spans="1:11" ht="21.75" customHeight="1">
      <c r="A60" s="237">
        <f t="shared" si="12"/>
        <v>8</v>
      </c>
      <c r="B60" s="188" t="s">
        <v>156</v>
      </c>
      <c r="C60" s="188">
        <v>42234</v>
      </c>
      <c r="D60" s="226" t="s">
        <v>303</v>
      </c>
      <c r="E60" s="227" t="s">
        <v>304</v>
      </c>
      <c r="F60" s="189" t="s">
        <v>162</v>
      </c>
      <c r="G60" s="190">
        <v>22080</v>
      </c>
      <c r="H60" s="174"/>
      <c r="I60" s="162">
        <f t="shared" si="13"/>
        <v>0</v>
      </c>
      <c r="J60" s="174">
        <v>52300</v>
      </c>
      <c r="K60" s="162">
        <v>1154784000</v>
      </c>
    </row>
    <row r="61" spans="1:11" ht="21.75" customHeight="1">
      <c r="A61" s="237">
        <f t="shared" si="12"/>
        <v>9</v>
      </c>
      <c r="B61" s="239" t="s">
        <v>145</v>
      </c>
      <c r="C61" s="238">
        <v>42248</v>
      </c>
      <c r="D61" s="240" t="s">
        <v>306</v>
      </c>
      <c r="E61" s="227" t="s">
        <v>134</v>
      </c>
      <c r="F61" s="189" t="s">
        <v>147</v>
      </c>
      <c r="G61" s="190">
        <v>22488</v>
      </c>
      <c r="H61" s="174">
        <v>40000</v>
      </c>
      <c r="I61" s="162">
        <f t="shared" si="13"/>
        <v>899520000</v>
      </c>
      <c r="J61" s="174"/>
      <c r="K61" s="162">
        <f t="shared" si="14"/>
        <v>0</v>
      </c>
    </row>
    <row r="62" spans="1:11" ht="21.75" customHeight="1">
      <c r="A62" s="237">
        <f t="shared" si="12"/>
        <v>9</v>
      </c>
      <c r="B62" s="239" t="s">
        <v>156</v>
      </c>
      <c r="C62" s="238">
        <v>42248</v>
      </c>
      <c r="D62" s="240" t="s">
        <v>307</v>
      </c>
      <c r="E62" s="242" t="s">
        <v>311</v>
      </c>
      <c r="F62" s="189" t="s">
        <v>147</v>
      </c>
      <c r="G62" s="190">
        <v>22488</v>
      </c>
      <c r="H62" s="174"/>
      <c r="I62" s="162">
        <f t="shared" si="13"/>
        <v>0</v>
      </c>
      <c r="J62" s="174">
        <v>40000</v>
      </c>
      <c r="K62" s="162">
        <f t="shared" si="14"/>
        <v>899520000</v>
      </c>
    </row>
    <row r="63" spans="1:11" ht="21.75" customHeight="1">
      <c r="A63" s="237">
        <f t="shared" si="12"/>
        <v>9</v>
      </c>
      <c r="B63" s="239" t="s">
        <v>145</v>
      </c>
      <c r="C63" s="238">
        <v>42251</v>
      </c>
      <c r="D63" s="240" t="s">
        <v>308</v>
      </c>
      <c r="E63" s="248" t="s">
        <v>134</v>
      </c>
      <c r="F63" s="189" t="s">
        <v>147</v>
      </c>
      <c r="G63" s="190">
        <v>22485</v>
      </c>
      <c r="H63" s="174">
        <v>50000</v>
      </c>
      <c r="I63" s="162">
        <f t="shared" si="13"/>
        <v>1124250000</v>
      </c>
      <c r="J63" s="174"/>
      <c r="K63" s="162">
        <f t="shared" si="14"/>
        <v>0</v>
      </c>
    </row>
    <row r="64" spans="1:11" s="267" customFormat="1" ht="21.75" customHeight="1">
      <c r="A64" s="256">
        <f t="shared" ref="A64" si="17">IF(C64&lt;&gt;"",MONTH(C64),"")</f>
        <v>9</v>
      </c>
      <c r="B64" s="268" t="s">
        <v>148</v>
      </c>
      <c r="C64" s="269">
        <v>42251</v>
      </c>
      <c r="D64" s="242" t="s">
        <v>149</v>
      </c>
      <c r="E64" s="248" t="s">
        <v>134</v>
      </c>
      <c r="F64" s="261" t="s">
        <v>150</v>
      </c>
      <c r="G64" s="262"/>
      <c r="H64" s="263"/>
      <c r="I64" s="264"/>
      <c r="J64" s="263"/>
      <c r="K64" s="264">
        <v>102270000</v>
      </c>
    </row>
    <row r="65" spans="1:11" ht="21.75" customHeight="1">
      <c r="A65" s="237">
        <f t="shared" si="12"/>
        <v>9</v>
      </c>
      <c r="B65" s="239" t="s">
        <v>156</v>
      </c>
      <c r="C65" s="238">
        <v>42251</v>
      </c>
      <c r="D65" s="240" t="s">
        <v>309</v>
      </c>
      <c r="E65" s="242" t="s">
        <v>312</v>
      </c>
      <c r="F65" s="189" t="s">
        <v>147</v>
      </c>
      <c r="G65" s="190">
        <v>22485</v>
      </c>
      <c r="H65" s="174"/>
      <c r="I65" s="162">
        <f t="shared" si="13"/>
        <v>0</v>
      </c>
      <c r="J65" s="174">
        <v>50000</v>
      </c>
      <c r="K65" s="162">
        <f t="shared" si="14"/>
        <v>1124250000</v>
      </c>
    </row>
    <row r="66" spans="1:11" ht="21.75" customHeight="1">
      <c r="A66" s="237">
        <f t="shared" si="12"/>
        <v>9</v>
      </c>
      <c r="B66" s="239" t="s">
        <v>145</v>
      </c>
      <c r="C66" s="238">
        <v>42277</v>
      </c>
      <c r="D66" s="240" t="s">
        <v>310</v>
      </c>
      <c r="E66" s="227" t="s">
        <v>232</v>
      </c>
      <c r="F66" s="189" t="s">
        <v>147</v>
      </c>
      <c r="G66" s="190">
        <v>22450</v>
      </c>
      <c r="H66" s="174">
        <v>89500</v>
      </c>
      <c r="I66" s="162">
        <f t="shared" si="13"/>
        <v>2009275000</v>
      </c>
      <c r="J66" s="174"/>
      <c r="K66" s="162">
        <f t="shared" si="14"/>
        <v>0</v>
      </c>
    </row>
    <row r="67" spans="1:11" s="267" customFormat="1" ht="21.75" customHeight="1">
      <c r="A67" s="256">
        <f t="shared" ref="A67" si="18">IF(C67&lt;&gt;"",MONTH(C67),"")</f>
        <v>9</v>
      </c>
      <c r="B67" s="268" t="s">
        <v>148</v>
      </c>
      <c r="C67" s="269">
        <v>42277</v>
      </c>
      <c r="D67" s="242" t="s">
        <v>149</v>
      </c>
      <c r="E67" s="248" t="s">
        <v>232</v>
      </c>
      <c r="F67" s="261" t="s">
        <v>150</v>
      </c>
      <c r="G67" s="262"/>
      <c r="H67" s="263"/>
      <c r="I67" s="264"/>
      <c r="J67" s="263"/>
      <c r="K67" s="264">
        <v>79655000</v>
      </c>
    </row>
    <row r="68" spans="1:11" ht="21.75" customHeight="1">
      <c r="A68" s="237">
        <f t="shared" si="11"/>
        <v>10</v>
      </c>
      <c r="B68" s="188" t="s">
        <v>145</v>
      </c>
      <c r="C68" s="188">
        <v>42278</v>
      </c>
      <c r="D68" s="226" t="s">
        <v>313</v>
      </c>
      <c r="E68" s="227" t="s">
        <v>118</v>
      </c>
      <c r="F68" s="189" t="s">
        <v>147</v>
      </c>
      <c r="G68" s="190">
        <v>22472</v>
      </c>
      <c r="H68" s="174">
        <v>15000</v>
      </c>
      <c r="I68" s="162">
        <f t="shared" ref="I68:I71" si="19">G68*H68</f>
        <v>337080000</v>
      </c>
      <c r="J68" s="174"/>
      <c r="K68" s="162">
        <f t="shared" ref="K68:K71" si="20">G68*J68</f>
        <v>0</v>
      </c>
    </row>
    <row r="69" spans="1:11" ht="21.75" customHeight="1">
      <c r="A69" s="237">
        <f t="shared" si="11"/>
        <v>10</v>
      </c>
      <c r="B69" s="188" t="s">
        <v>156</v>
      </c>
      <c r="C69" s="188">
        <v>42278</v>
      </c>
      <c r="D69" s="226" t="s">
        <v>314</v>
      </c>
      <c r="E69" s="227" t="s">
        <v>319</v>
      </c>
      <c r="F69" s="189" t="s">
        <v>147</v>
      </c>
      <c r="G69" s="190">
        <v>22472</v>
      </c>
      <c r="H69" s="174"/>
      <c r="I69" s="162">
        <f t="shared" si="19"/>
        <v>0</v>
      </c>
      <c r="J69" s="174">
        <v>89500</v>
      </c>
      <c r="K69" s="162">
        <f t="shared" si="20"/>
        <v>2011244000</v>
      </c>
    </row>
    <row r="70" spans="1:11" ht="21.75" customHeight="1">
      <c r="A70" s="237">
        <f t="shared" si="11"/>
        <v>10</v>
      </c>
      <c r="B70" s="188" t="s">
        <v>145</v>
      </c>
      <c r="C70" s="188">
        <v>42279</v>
      </c>
      <c r="D70" s="226" t="s">
        <v>315</v>
      </c>
      <c r="E70" s="227" t="s">
        <v>117</v>
      </c>
      <c r="F70" s="189" t="s">
        <v>147</v>
      </c>
      <c r="G70" s="190">
        <v>22485</v>
      </c>
      <c r="H70" s="174">
        <v>14011</v>
      </c>
      <c r="I70" s="162">
        <f t="shared" si="19"/>
        <v>315037335</v>
      </c>
      <c r="J70" s="174"/>
      <c r="K70" s="162">
        <f t="shared" si="20"/>
        <v>0</v>
      </c>
    </row>
    <row r="71" spans="1:11" ht="21.75" customHeight="1">
      <c r="A71" s="237">
        <f t="shared" si="11"/>
        <v>10</v>
      </c>
      <c r="B71" s="188" t="s">
        <v>145</v>
      </c>
      <c r="C71" s="188">
        <v>42279</v>
      </c>
      <c r="D71" s="226" t="s">
        <v>316</v>
      </c>
      <c r="E71" s="227" t="s">
        <v>118</v>
      </c>
      <c r="F71" s="189" t="s">
        <v>147</v>
      </c>
      <c r="G71" s="190">
        <v>22485</v>
      </c>
      <c r="H71" s="174">
        <v>17911</v>
      </c>
      <c r="I71" s="162">
        <f t="shared" si="19"/>
        <v>402728835</v>
      </c>
      <c r="J71" s="174"/>
      <c r="K71" s="162">
        <f t="shared" si="20"/>
        <v>0</v>
      </c>
    </row>
    <row r="72" spans="1:11" ht="21.75" customHeight="1">
      <c r="A72" s="237">
        <f t="shared" ref="A72:A85" si="21">IF(C72&lt;&gt;"",MONTH(C72),"")</f>
        <v>10</v>
      </c>
      <c r="B72" s="188" t="s">
        <v>145</v>
      </c>
      <c r="C72" s="188">
        <v>42279</v>
      </c>
      <c r="D72" s="226" t="s">
        <v>317</v>
      </c>
      <c r="E72" s="227" t="s">
        <v>119</v>
      </c>
      <c r="F72" s="189" t="s">
        <v>147</v>
      </c>
      <c r="G72" s="190">
        <v>22485</v>
      </c>
      <c r="H72" s="174">
        <v>20658</v>
      </c>
      <c r="I72" s="162">
        <f t="shared" ref="I72:I85" si="22">G72*H72</f>
        <v>464495130</v>
      </c>
      <c r="J72" s="174"/>
      <c r="K72" s="162">
        <f t="shared" ref="K72:K85" si="23">G72*J72</f>
        <v>0</v>
      </c>
    </row>
    <row r="73" spans="1:11" ht="21.75" customHeight="1">
      <c r="A73" s="237">
        <f t="shared" si="21"/>
        <v>10</v>
      </c>
      <c r="B73" s="188" t="s">
        <v>145</v>
      </c>
      <c r="C73" s="188">
        <v>42279</v>
      </c>
      <c r="D73" s="226" t="s">
        <v>321</v>
      </c>
      <c r="E73" s="248" t="s">
        <v>120</v>
      </c>
      <c r="F73" s="189" t="s">
        <v>147</v>
      </c>
      <c r="G73" s="190">
        <v>22485</v>
      </c>
      <c r="H73" s="174">
        <v>28920</v>
      </c>
      <c r="I73" s="162">
        <f t="shared" si="22"/>
        <v>650266200</v>
      </c>
      <c r="J73" s="174"/>
      <c r="K73" s="162">
        <f t="shared" si="23"/>
        <v>0</v>
      </c>
    </row>
    <row r="74" spans="1:11" ht="21.75" customHeight="1">
      <c r="A74" s="237">
        <f t="shared" si="21"/>
        <v>10</v>
      </c>
      <c r="B74" s="188" t="s">
        <v>156</v>
      </c>
      <c r="C74" s="188">
        <v>42279</v>
      </c>
      <c r="D74" s="226" t="s">
        <v>318</v>
      </c>
      <c r="E74" s="249" t="s">
        <v>320</v>
      </c>
      <c r="F74" s="189" t="s">
        <v>147</v>
      </c>
      <c r="G74" s="190">
        <v>22485</v>
      </c>
      <c r="H74" s="174"/>
      <c r="I74" s="162">
        <f t="shared" si="22"/>
        <v>0</v>
      </c>
      <c r="J74" s="174">
        <v>89000</v>
      </c>
      <c r="K74" s="162">
        <f t="shared" si="23"/>
        <v>2001165000</v>
      </c>
    </row>
    <row r="75" spans="1:11" ht="21.75" customHeight="1">
      <c r="A75" s="237">
        <f t="shared" si="21"/>
        <v>11</v>
      </c>
      <c r="B75" s="188" t="s">
        <v>145</v>
      </c>
      <c r="C75" s="188">
        <v>42328</v>
      </c>
      <c r="D75" s="253" t="s">
        <v>341</v>
      </c>
      <c r="E75" s="160" t="s">
        <v>247</v>
      </c>
      <c r="F75" s="189" t="s">
        <v>147</v>
      </c>
      <c r="G75" s="190">
        <v>22440</v>
      </c>
      <c r="H75" s="174">
        <v>61500</v>
      </c>
      <c r="I75" s="162">
        <f t="shared" si="22"/>
        <v>1380060000</v>
      </c>
      <c r="J75" s="174"/>
      <c r="K75" s="162">
        <f t="shared" si="23"/>
        <v>0</v>
      </c>
    </row>
    <row r="76" spans="1:11" s="267" customFormat="1" ht="21.75" customHeight="1">
      <c r="A76" s="256">
        <f>IF(C76&lt;&gt;"",MONTH(C76),"")</f>
        <v>11</v>
      </c>
      <c r="B76" s="258" t="s">
        <v>148</v>
      </c>
      <c r="C76" s="258">
        <v>42328</v>
      </c>
      <c r="D76" s="242" t="s">
        <v>149</v>
      </c>
      <c r="E76" s="271" t="s">
        <v>247</v>
      </c>
      <c r="F76" s="261" t="s">
        <v>150</v>
      </c>
      <c r="G76" s="262"/>
      <c r="H76" s="263"/>
      <c r="I76" s="264">
        <f>G76*H76</f>
        <v>0</v>
      </c>
      <c r="J76" s="263"/>
      <c r="K76" s="264">
        <v>36900000</v>
      </c>
    </row>
    <row r="77" spans="1:11" ht="21.75" customHeight="1">
      <c r="A77" s="237">
        <f t="shared" si="21"/>
        <v>10</v>
      </c>
      <c r="B77" s="188" t="s">
        <v>148</v>
      </c>
      <c r="C77" s="188">
        <v>42279</v>
      </c>
      <c r="D77" s="240" t="s">
        <v>355</v>
      </c>
      <c r="E77" s="160" t="s">
        <v>117</v>
      </c>
      <c r="F77" s="189" t="s">
        <v>150</v>
      </c>
      <c r="G77" s="190"/>
      <c r="H77" s="174"/>
      <c r="I77" s="162">
        <f t="shared" si="22"/>
        <v>0</v>
      </c>
      <c r="J77" s="174"/>
      <c r="K77" s="162">
        <v>35047130</v>
      </c>
    </row>
    <row r="78" spans="1:11" ht="21.75" customHeight="1">
      <c r="A78" s="237">
        <f t="shared" si="21"/>
        <v>10</v>
      </c>
      <c r="B78" s="188" t="s">
        <v>148</v>
      </c>
      <c r="C78" s="188">
        <v>42279</v>
      </c>
      <c r="D78" s="240" t="s">
        <v>356</v>
      </c>
      <c r="E78" s="227" t="s">
        <v>118</v>
      </c>
      <c r="F78" s="189" t="s">
        <v>150</v>
      </c>
      <c r="G78" s="190"/>
      <c r="H78" s="174"/>
      <c r="I78" s="162">
        <f t="shared" si="22"/>
        <v>0</v>
      </c>
      <c r="J78" s="174"/>
      <c r="K78" s="162">
        <v>82924139</v>
      </c>
    </row>
    <row r="79" spans="1:11" ht="21.75" customHeight="1">
      <c r="A79" s="237">
        <f t="shared" si="21"/>
        <v>10</v>
      </c>
      <c r="B79" s="188" t="s">
        <v>148</v>
      </c>
      <c r="C79" s="188">
        <v>42279</v>
      </c>
      <c r="D79" s="240" t="s">
        <v>357</v>
      </c>
      <c r="E79" s="227" t="s">
        <v>119</v>
      </c>
      <c r="F79" s="189" t="s">
        <v>150</v>
      </c>
      <c r="G79" s="190"/>
      <c r="H79" s="174"/>
      <c r="I79" s="162">
        <f t="shared" si="22"/>
        <v>0</v>
      </c>
      <c r="J79" s="174"/>
      <c r="K79" s="162">
        <v>51673320</v>
      </c>
    </row>
    <row r="80" spans="1:11" ht="21.75" customHeight="1">
      <c r="A80" s="237">
        <f t="shared" si="21"/>
        <v>10</v>
      </c>
      <c r="B80" s="188" t="s">
        <v>148</v>
      </c>
      <c r="C80" s="188">
        <v>42279</v>
      </c>
      <c r="D80" s="240" t="s">
        <v>358</v>
      </c>
      <c r="E80" s="227" t="s">
        <v>120</v>
      </c>
      <c r="F80" s="189" t="s">
        <v>150</v>
      </c>
      <c r="G80" s="190"/>
      <c r="H80" s="174"/>
      <c r="I80" s="162">
        <f t="shared" si="22"/>
        <v>0</v>
      </c>
      <c r="J80" s="174"/>
      <c r="K80" s="162">
        <v>72337422</v>
      </c>
    </row>
    <row r="81" spans="1:11" ht="21.75" customHeight="1">
      <c r="A81" s="237">
        <f t="shared" si="21"/>
        <v>10</v>
      </c>
      <c r="B81" s="188" t="s">
        <v>349</v>
      </c>
      <c r="C81" s="188">
        <v>42279</v>
      </c>
      <c r="D81" s="240" t="s">
        <v>351</v>
      </c>
      <c r="E81" s="160" t="s">
        <v>117</v>
      </c>
      <c r="F81" s="189" t="s">
        <v>350</v>
      </c>
      <c r="G81" s="190"/>
      <c r="H81" s="174"/>
      <c r="I81" s="162">
        <f t="shared" si="22"/>
        <v>0</v>
      </c>
      <c r="J81" s="174"/>
      <c r="K81" s="162">
        <v>190932131</v>
      </c>
    </row>
    <row r="82" spans="1:11" ht="21.75" customHeight="1">
      <c r="A82" s="237">
        <f t="shared" si="21"/>
        <v>10</v>
      </c>
      <c r="B82" s="188" t="s">
        <v>349</v>
      </c>
      <c r="C82" s="188">
        <v>42279</v>
      </c>
      <c r="D82" s="240" t="s">
        <v>352</v>
      </c>
      <c r="E82" s="227" t="s">
        <v>118</v>
      </c>
      <c r="F82" s="189" t="s">
        <v>350</v>
      </c>
      <c r="G82" s="190"/>
      <c r="H82" s="174"/>
      <c r="I82" s="162">
        <f t="shared" si="22"/>
        <v>0</v>
      </c>
      <c r="J82" s="174"/>
      <c r="K82" s="162">
        <v>36864503</v>
      </c>
    </row>
    <row r="83" spans="1:11" ht="21.75" customHeight="1">
      <c r="A83" s="237">
        <f t="shared" si="21"/>
        <v>10</v>
      </c>
      <c r="B83" s="188" t="s">
        <v>349</v>
      </c>
      <c r="C83" s="188">
        <v>42279</v>
      </c>
      <c r="D83" s="240" t="s">
        <v>354</v>
      </c>
      <c r="E83" s="227" t="s">
        <v>119</v>
      </c>
      <c r="F83" s="189" t="s">
        <v>350</v>
      </c>
      <c r="G83" s="190"/>
      <c r="H83" s="174"/>
      <c r="I83" s="162">
        <f t="shared" si="22"/>
        <v>0</v>
      </c>
      <c r="J83" s="174"/>
      <c r="K83" s="162">
        <v>23450247</v>
      </c>
    </row>
    <row r="84" spans="1:11" ht="21.75" customHeight="1">
      <c r="A84" s="237">
        <f t="shared" si="21"/>
        <v>10</v>
      </c>
      <c r="B84" s="188" t="s">
        <v>349</v>
      </c>
      <c r="C84" s="188">
        <v>42279</v>
      </c>
      <c r="D84" s="240" t="s">
        <v>353</v>
      </c>
      <c r="E84" s="227" t="s">
        <v>120</v>
      </c>
      <c r="F84" s="189" t="s">
        <v>350</v>
      </c>
      <c r="G84" s="190"/>
      <c r="H84" s="174"/>
      <c r="I84" s="162">
        <f t="shared" si="22"/>
        <v>0</v>
      </c>
      <c r="J84" s="174"/>
      <c r="K84" s="162">
        <v>33317999</v>
      </c>
    </row>
    <row r="85" spans="1:11" ht="21.75" customHeight="1">
      <c r="A85" s="237">
        <f t="shared" si="21"/>
        <v>12</v>
      </c>
      <c r="B85" s="239" t="s">
        <v>145</v>
      </c>
      <c r="C85" s="238">
        <v>42339</v>
      </c>
      <c r="D85" s="240" t="s">
        <v>359</v>
      </c>
      <c r="E85" s="160" t="s">
        <v>277</v>
      </c>
      <c r="F85" s="189" t="s">
        <v>147</v>
      </c>
      <c r="G85" s="190">
        <v>22487</v>
      </c>
      <c r="H85" s="174">
        <v>72200</v>
      </c>
      <c r="I85" s="162">
        <f t="shared" si="22"/>
        <v>1623561400</v>
      </c>
      <c r="J85" s="174"/>
      <c r="K85" s="162">
        <f t="shared" si="23"/>
        <v>0</v>
      </c>
    </row>
    <row r="86" spans="1:11" ht="21.75" customHeight="1">
      <c r="A86" s="237">
        <f t="shared" ref="A86:A104" si="24">IF(C86&lt;&gt;"",MONTH(C86),"")</f>
        <v>12</v>
      </c>
      <c r="B86" s="239" t="s">
        <v>145</v>
      </c>
      <c r="C86" s="238">
        <v>42339</v>
      </c>
      <c r="D86" s="240" t="s">
        <v>360</v>
      </c>
      <c r="E86" s="160" t="s">
        <v>277</v>
      </c>
      <c r="F86" s="189" t="s">
        <v>147</v>
      </c>
      <c r="G86" s="190">
        <v>22487</v>
      </c>
      <c r="H86" s="174">
        <v>17300</v>
      </c>
      <c r="I86" s="162">
        <f t="shared" ref="I86:I104" si="25">G86*H86</f>
        <v>389025100</v>
      </c>
      <c r="J86" s="174"/>
      <c r="K86" s="162">
        <f t="shared" ref="K86:K99" si="26">G86*J86</f>
        <v>0</v>
      </c>
    </row>
    <row r="87" spans="1:11" s="267" customFormat="1" ht="21.75" customHeight="1">
      <c r="A87" s="256">
        <f t="shared" ref="A87" si="27">IF(C87&lt;&gt;"",MONTH(C87),"")</f>
        <v>12</v>
      </c>
      <c r="B87" s="268" t="s">
        <v>148</v>
      </c>
      <c r="C87" s="269">
        <v>42339</v>
      </c>
      <c r="D87" s="242" t="s">
        <v>149</v>
      </c>
      <c r="E87" s="271" t="s">
        <v>277</v>
      </c>
      <c r="F87" s="261" t="s">
        <v>150</v>
      </c>
      <c r="G87" s="262"/>
      <c r="H87" s="263"/>
      <c r="I87" s="264">
        <f t="shared" ref="I87" si="28">G87*H87</f>
        <v>0</v>
      </c>
      <c r="J87" s="263"/>
      <c r="K87" s="264">
        <v>60144000</v>
      </c>
    </row>
    <row r="88" spans="1:11" ht="21.75" customHeight="1">
      <c r="A88" s="237">
        <f t="shared" si="24"/>
        <v>12</v>
      </c>
      <c r="B88" s="239" t="s">
        <v>156</v>
      </c>
      <c r="C88" s="238">
        <v>42339</v>
      </c>
      <c r="D88" s="240" t="s">
        <v>361</v>
      </c>
      <c r="E88" s="160" t="s">
        <v>365</v>
      </c>
      <c r="F88" s="189" t="s">
        <v>147</v>
      </c>
      <c r="G88" s="190">
        <v>22487</v>
      </c>
      <c r="H88" s="174"/>
      <c r="I88" s="162">
        <f t="shared" si="25"/>
        <v>0</v>
      </c>
      <c r="J88" s="174">
        <v>89000</v>
      </c>
      <c r="K88" s="162">
        <f t="shared" si="26"/>
        <v>2001343000</v>
      </c>
    </row>
    <row r="89" spans="1:11" ht="21.75" customHeight="1">
      <c r="A89" s="237">
        <f t="shared" si="24"/>
        <v>12</v>
      </c>
      <c r="B89" s="239" t="s">
        <v>145</v>
      </c>
      <c r="C89" s="238">
        <v>42359</v>
      </c>
      <c r="D89" s="240" t="s">
        <v>362</v>
      </c>
      <c r="E89" s="160" t="s">
        <v>278</v>
      </c>
      <c r="F89" s="189" t="s">
        <v>147</v>
      </c>
      <c r="G89" s="190">
        <v>22517</v>
      </c>
      <c r="H89" s="174">
        <v>70000</v>
      </c>
      <c r="I89" s="162">
        <f t="shared" si="25"/>
        <v>1576190000</v>
      </c>
      <c r="J89" s="174"/>
      <c r="K89" s="162">
        <f t="shared" si="26"/>
        <v>0</v>
      </c>
    </row>
    <row r="90" spans="1:11" s="267" customFormat="1" ht="21.75" customHeight="1">
      <c r="A90" s="256">
        <f t="shared" ref="A90" si="29">IF(C90&lt;&gt;"",MONTH(C90),"")</f>
        <v>12</v>
      </c>
      <c r="B90" s="268" t="s">
        <v>148</v>
      </c>
      <c r="C90" s="269">
        <v>42339</v>
      </c>
      <c r="D90" s="242" t="s">
        <v>149</v>
      </c>
      <c r="E90" s="271" t="s">
        <v>278</v>
      </c>
      <c r="F90" s="261" t="s">
        <v>150</v>
      </c>
      <c r="G90" s="262"/>
      <c r="H90" s="263"/>
      <c r="I90" s="264">
        <f t="shared" ref="I90" si="30">G90*H90</f>
        <v>0</v>
      </c>
      <c r="J90" s="263"/>
      <c r="K90" s="264">
        <v>49350000</v>
      </c>
    </row>
    <row r="91" spans="1:11" ht="21.75" customHeight="1">
      <c r="A91" s="237">
        <f t="shared" si="24"/>
        <v>12</v>
      </c>
      <c r="B91" s="239" t="s">
        <v>145</v>
      </c>
      <c r="C91" s="238">
        <v>42359</v>
      </c>
      <c r="D91" s="240" t="s">
        <v>363</v>
      </c>
      <c r="E91" s="160" t="s">
        <v>279</v>
      </c>
      <c r="F91" s="189" t="s">
        <v>147</v>
      </c>
      <c r="G91" s="190">
        <v>22517</v>
      </c>
      <c r="H91" s="174">
        <v>21000</v>
      </c>
      <c r="I91" s="162">
        <f t="shared" si="25"/>
        <v>472857000</v>
      </c>
      <c r="J91" s="174"/>
      <c r="K91" s="162">
        <f t="shared" si="26"/>
        <v>0</v>
      </c>
    </row>
    <row r="92" spans="1:11" s="267" customFormat="1" ht="21.75" customHeight="1">
      <c r="A92" s="256">
        <f t="shared" ref="A92" si="31">IF(C92&lt;&gt;"",MONTH(C92),"")</f>
        <v>12</v>
      </c>
      <c r="B92" s="268" t="s">
        <v>148</v>
      </c>
      <c r="C92" s="269">
        <v>42359</v>
      </c>
      <c r="D92" s="242" t="s">
        <v>149</v>
      </c>
      <c r="E92" s="271" t="s">
        <v>279</v>
      </c>
      <c r="F92" s="261" t="s">
        <v>150</v>
      </c>
      <c r="G92" s="262"/>
      <c r="H92" s="263"/>
      <c r="I92" s="264">
        <f t="shared" ref="I92" si="32">G92*H92</f>
        <v>0</v>
      </c>
      <c r="J92" s="263"/>
      <c r="K92" s="264">
        <v>14532000</v>
      </c>
    </row>
    <row r="93" spans="1:11" ht="21.75" customHeight="1">
      <c r="A93" s="237">
        <f t="shared" si="24"/>
        <v>12</v>
      </c>
      <c r="B93" s="239" t="s">
        <v>156</v>
      </c>
      <c r="C93" s="238">
        <v>42360</v>
      </c>
      <c r="D93" s="240" t="s">
        <v>364</v>
      </c>
      <c r="E93" s="160" t="s">
        <v>366</v>
      </c>
      <c r="F93" s="189" t="s">
        <v>147</v>
      </c>
      <c r="G93" s="190">
        <v>22540</v>
      </c>
      <c r="H93" s="174"/>
      <c r="I93" s="162">
        <f t="shared" si="25"/>
        <v>0</v>
      </c>
      <c r="J93" s="174">
        <v>88000</v>
      </c>
      <c r="K93" s="162">
        <f t="shared" si="26"/>
        <v>1983520000</v>
      </c>
    </row>
    <row r="94" spans="1:11" ht="21.75" customHeight="1">
      <c r="A94" s="237">
        <f t="shared" si="24"/>
        <v>12</v>
      </c>
      <c r="B94" s="188" t="s">
        <v>145</v>
      </c>
      <c r="C94" s="188">
        <v>42339</v>
      </c>
      <c r="D94" s="240" t="s">
        <v>367</v>
      </c>
      <c r="E94" s="160" t="s">
        <v>245</v>
      </c>
      <c r="F94" s="189" t="s">
        <v>147</v>
      </c>
      <c r="G94" s="190">
        <v>22510</v>
      </c>
      <c r="H94" s="174">
        <v>76300</v>
      </c>
      <c r="I94" s="162">
        <f t="shared" si="25"/>
        <v>1717513000</v>
      </c>
      <c r="J94" s="174"/>
      <c r="K94" s="162">
        <f t="shared" si="26"/>
        <v>0</v>
      </c>
    </row>
    <row r="95" spans="1:11" s="267" customFormat="1" ht="21.75" customHeight="1">
      <c r="A95" s="256">
        <f t="shared" ref="A95" si="33">IF(C95&lt;&gt;"",MONTH(C95),"")</f>
        <v>12</v>
      </c>
      <c r="B95" s="268" t="s">
        <v>148</v>
      </c>
      <c r="C95" s="258">
        <v>42339</v>
      </c>
      <c r="D95" s="242" t="s">
        <v>149</v>
      </c>
      <c r="E95" s="271" t="s">
        <v>245</v>
      </c>
      <c r="F95" s="261" t="s">
        <v>150</v>
      </c>
      <c r="G95" s="262"/>
      <c r="H95" s="263"/>
      <c r="I95" s="264"/>
      <c r="J95" s="263"/>
      <c r="K95" s="264">
        <v>54173000</v>
      </c>
    </row>
    <row r="96" spans="1:11" ht="21.75" customHeight="1">
      <c r="A96" s="237">
        <f t="shared" si="24"/>
        <v>12</v>
      </c>
      <c r="B96" s="188" t="s">
        <v>145</v>
      </c>
      <c r="C96" s="188">
        <v>42345</v>
      </c>
      <c r="D96" s="240" t="s">
        <v>378</v>
      </c>
      <c r="E96" s="160" t="s">
        <v>290</v>
      </c>
      <c r="F96" s="189" t="s">
        <v>147</v>
      </c>
      <c r="G96" s="190">
        <v>22510</v>
      </c>
      <c r="H96" s="174">
        <v>62000</v>
      </c>
      <c r="I96" s="162">
        <f t="shared" si="25"/>
        <v>1395620000</v>
      </c>
      <c r="J96" s="174"/>
      <c r="K96" s="162">
        <f t="shared" si="26"/>
        <v>0</v>
      </c>
    </row>
    <row r="97" spans="1:11" ht="21.75" customHeight="1">
      <c r="A97" s="237">
        <f t="shared" si="24"/>
        <v>12</v>
      </c>
      <c r="B97" s="188" t="s">
        <v>145</v>
      </c>
      <c r="C97" s="188">
        <v>42347</v>
      </c>
      <c r="D97" s="240" t="s">
        <v>368</v>
      </c>
      <c r="E97" s="160" t="s">
        <v>290</v>
      </c>
      <c r="F97" s="189" t="s">
        <v>147</v>
      </c>
      <c r="G97" s="190">
        <v>22470</v>
      </c>
      <c r="H97" s="174">
        <v>33000</v>
      </c>
      <c r="I97" s="162">
        <f t="shared" si="25"/>
        <v>741510000</v>
      </c>
      <c r="J97" s="174"/>
      <c r="K97" s="162">
        <f t="shared" si="26"/>
        <v>0</v>
      </c>
    </row>
    <row r="98" spans="1:11" s="267" customFormat="1" ht="21.75" customHeight="1">
      <c r="A98" s="256">
        <f t="shared" ref="A98" si="34">IF(C98&lt;&gt;"",MONTH(C98),"")</f>
        <v>12</v>
      </c>
      <c r="B98" s="268" t="s">
        <v>148</v>
      </c>
      <c r="C98" s="258">
        <v>42347</v>
      </c>
      <c r="D98" s="242" t="s">
        <v>149</v>
      </c>
      <c r="E98" s="271" t="s">
        <v>290</v>
      </c>
      <c r="F98" s="261" t="s">
        <v>150</v>
      </c>
      <c r="G98" s="262"/>
      <c r="H98" s="263"/>
      <c r="I98" s="264"/>
      <c r="J98" s="263"/>
      <c r="K98" s="264">
        <v>64230000</v>
      </c>
    </row>
    <row r="99" spans="1:11" ht="21.75" customHeight="1">
      <c r="A99" s="237">
        <f t="shared" si="24"/>
        <v>12</v>
      </c>
      <c r="B99" s="188" t="s">
        <v>145</v>
      </c>
      <c r="C99" s="188">
        <v>42362</v>
      </c>
      <c r="D99" s="240" t="s">
        <v>369</v>
      </c>
      <c r="E99" s="160" t="s">
        <v>291</v>
      </c>
      <c r="F99" s="189" t="s">
        <v>147</v>
      </c>
      <c r="G99" s="190">
        <v>22470</v>
      </c>
      <c r="H99" s="174">
        <v>43600</v>
      </c>
      <c r="I99" s="162">
        <f t="shared" si="25"/>
        <v>979692000</v>
      </c>
      <c r="J99" s="174"/>
      <c r="K99" s="162">
        <f t="shared" si="26"/>
        <v>0</v>
      </c>
    </row>
    <row r="100" spans="1:11" s="267" customFormat="1" ht="21.75" customHeight="1">
      <c r="A100" s="256">
        <f t="shared" ref="A100" si="35">IF(C100&lt;&gt;"",MONTH(C100),"")</f>
        <v>12</v>
      </c>
      <c r="B100" s="268" t="s">
        <v>148</v>
      </c>
      <c r="C100" s="258">
        <v>42362</v>
      </c>
      <c r="D100" s="242" t="s">
        <v>149</v>
      </c>
      <c r="E100" s="271" t="s">
        <v>291</v>
      </c>
      <c r="F100" s="261" t="s">
        <v>150</v>
      </c>
      <c r="G100" s="262"/>
      <c r="H100" s="263"/>
      <c r="I100" s="264">
        <f t="shared" ref="I100" si="36">G100*H100</f>
        <v>0</v>
      </c>
      <c r="J100" s="263"/>
      <c r="K100" s="264">
        <v>28776000</v>
      </c>
    </row>
    <row r="101" spans="1:11" ht="21.75" customHeight="1">
      <c r="A101" s="237">
        <f t="shared" si="24"/>
        <v>12</v>
      </c>
      <c r="B101" s="188" t="s">
        <v>156</v>
      </c>
      <c r="C101" s="188">
        <v>42340</v>
      </c>
      <c r="D101" s="240" t="s">
        <v>370</v>
      </c>
      <c r="E101" s="160" t="s">
        <v>374</v>
      </c>
      <c r="F101" s="189" t="s">
        <v>162</v>
      </c>
      <c r="G101" s="190"/>
      <c r="H101" s="174"/>
      <c r="I101" s="162">
        <f t="shared" si="25"/>
        <v>0</v>
      </c>
      <c r="J101" s="174"/>
      <c r="K101" s="162">
        <v>1595604500</v>
      </c>
    </row>
    <row r="102" spans="1:11" ht="21.75" customHeight="1">
      <c r="A102" s="237">
        <f t="shared" si="24"/>
        <v>12</v>
      </c>
      <c r="B102" s="188" t="s">
        <v>156</v>
      </c>
      <c r="C102" s="188">
        <v>42346</v>
      </c>
      <c r="D102" s="240" t="s">
        <v>371</v>
      </c>
      <c r="E102" s="160" t="s">
        <v>375</v>
      </c>
      <c r="F102" s="189" t="s">
        <v>162</v>
      </c>
      <c r="G102" s="190"/>
      <c r="H102" s="174"/>
      <c r="I102" s="162">
        <f t="shared" si="25"/>
        <v>0</v>
      </c>
      <c r="J102" s="174"/>
      <c r="K102" s="162">
        <v>1392210000</v>
      </c>
    </row>
    <row r="103" spans="1:11" ht="21.75" customHeight="1">
      <c r="A103" s="237">
        <f t="shared" si="24"/>
        <v>12</v>
      </c>
      <c r="B103" s="188" t="s">
        <v>156</v>
      </c>
      <c r="C103" s="188">
        <v>42348</v>
      </c>
      <c r="D103" s="240" t="s">
        <v>372</v>
      </c>
      <c r="E103" s="160" t="s">
        <v>376</v>
      </c>
      <c r="F103" s="189" t="s">
        <v>162</v>
      </c>
      <c r="G103" s="190"/>
      <c r="H103" s="174"/>
      <c r="I103" s="162">
        <f t="shared" si="25"/>
        <v>0</v>
      </c>
      <c r="J103" s="174"/>
      <c r="K103" s="162">
        <v>741675000</v>
      </c>
    </row>
    <row r="104" spans="1:11" ht="21.75" customHeight="1">
      <c r="A104" s="237">
        <f t="shared" si="24"/>
        <v>12</v>
      </c>
      <c r="B104" s="188" t="s">
        <v>156</v>
      </c>
      <c r="C104" s="188">
        <v>42363</v>
      </c>
      <c r="D104" s="240" t="s">
        <v>373</v>
      </c>
      <c r="E104" s="160" t="s">
        <v>377</v>
      </c>
      <c r="F104" s="189" t="s">
        <v>162</v>
      </c>
      <c r="G104" s="190"/>
      <c r="H104" s="174"/>
      <c r="I104" s="162">
        <f t="shared" si="25"/>
        <v>0</v>
      </c>
      <c r="J104" s="174"/>
      <c r="K104" s="162">
        <v>968790000</v>
      </c>
    </row>
  </sheetData>
  <autoFilter ref="A4:K104">
    <filterColumn colId="0"/>
    <filterColumn colId="5"/>
  </autoFilter>
  <mergeCells count="11">
    <mergeCell ref="H1:K1"/>
    <mergeCell ref="B2:B3"/>
    <mergeCell ref="C2:C3"/>
    <mergeCell ref="H2:I2"/>
    <mergeCell ref="J2:K2"/>
    <mergeCell ref="G1:G3"/>
    <mergeCell ref="A1:A3"/>
    <mergeCell ref="B1:C1"/>
    <mergeCell ref="D1:D3"/>
    <mergeCell ref="E1:E3"/>
    <mergeCell ref="F1:F3"/>
  </mergeCells>
  <dataValidations count="1">
    <dataValidation type="list" allowBlank="1" showInputMessage="1" showErrorMessage="1" sqref="E42:E47 E82:E104 E75:E76 E78:E80 E66:E73 E63:E64 E52:E61 E5:E40">
      <formula1>DSKU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N44"/>
  <sheetViews>
    <sheetView workbookViewId="0">
      <selection activeCell="H9" sqref="H9:I9"/>
    </sheetView>
  </sheetViews>
  <sheetFormatPr defaultRowHeight="12.75"/>
  <cols>
    <col min="1" max="1" width="9.140625" style="231"/>
    <col min="2" max="2" width="7.42578125" style="231" customWidth="1"/>
    <col min="3" max="3" width="9.140625" style="231"/>
    <col min="4" max="4" width="33" style="231" customWidth="1"/>
    <col min="5" max="5" width="7.28515625" style="231" customWidth="1"/>
    <col min="6" max="6" width="9.140625" style="231"/>
    <col min="7" max="7" width="9.7109375" style="231" customWidth="1"/>
    <col min="8" max="8" width="12.140625" style="231" customWidth="1"/>
    <col min="9" max="9" width="9.7109375" style="231" customWidth="1"/>
    <col min="10" max="10" width="12.140625" style="231" customWidth="1"/>
    <col min="11" max="11" width="10.85546875" style="231" customWidth="1"/>
    <col min="12" max="12" width="13.42578125" style="231" customWidth="1"/>
    <col min="13" max="13" width="10.85546875" style="231" customWidth="1"/>
    <col min="14" max="14" width="13.42578125" style="231" customWidth="1"/>
    <col min="15" max="16384" width="9.140625" style="231"/>
  </cols>
  <sheetData>
    <row r="1" spans="1:14" s="177" customFormat="1" ht="16.5" customHeight="1">
      <c r="A1" s="175" t="s">
        <v>0</v>
      </c>
      <c r="B1" s="176"/>
      <c r="C1" s="176"/>
      <c r="H1" s="176"/>
      <c r="I1" s="176"/>
      <c r="J1" s="293" t="s">
        <v>241</v>
      </c>
      <c r="K1" s="293"/>
      <c r="L1" s="293"/>
      <c r="M1" s="293"/>
      <c r="N1" s="293"/>
    </row>
    <row r="2" spans="1:14" s="177" customFormat="1" ht="16.5" customHeight="1">
      <c r="A2" s="175" t="s">
        <v>1</v>
      </c>
      <c r="B2" s="218"/>
      <c r="C2" s="218"/>
      <c r="H2" s="178"/>
      <c r="I2" s="178"/>
      <c r="J2" s="294" t="s">
        <v>242</v>
      </c>
      <c r="K2" s="294"/>
      <c r="L2" s="294"/>
      <c r="M2" s="294"/>
      <c r="N2" s="294"/>
    </row>
    <row r="3" spans="1:14" s="177" customFormat="1" ht="16.5" customHeight="1">
      <c r="A3" s="218"/>
      <c r="B3" s="218"/>
      <c r="C3" s="218"/>
      <c r="H3" s="178"/>
      <c r="I3" s="178"/>
      <c r="J3" s="294"/>
      <c r="K3" s="294"/>
      <c r="L3" s="294"/>
      <c r="M3" s="294"/>
      <c r="N3" s="294"/>
    </row>
    <row r="4" spans="1:14" s="177" customFormat="1" ht="16.5" customHeight="1">
      <c r="A4" s="218"/>
      <c r="B4" s="218"/>
      <c r="C4" s="218"/>
      <c r="H4" s="178"/>
      <c r="I4" s="178"/>
      <c r="J4" s="219"/>
      <c r="K4" s="219"/>
      <c r="L4" s="219"/>
      <c r="M4" s="219"/>
      <c r="N4" s="219"/>
    </row>
    <row r="5" spans="1:14" s="179" customFormat="1" ht="23.25" customHeight="1">
      <c r="A5" s="295" t="s">
        <v>136</v>
      </c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</row>
    <row r="6" spans="1:14" s="179" customFormat="1">
      <c r="A6" s="292" t="s">
        <v>137</v>
      </c>
      <c r="B6" s="292"/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</row>
    <row r="7" spans="1:14" s="179" customFormat="1">
      <c r="A7" s="292" t="s">
        <v>144</v>
      </c>
      <c r="B7" s="292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</row>
    <row r="8" spans="1:14" s="179" customFormat="1" ht="15" customHeight="1">
      <c r="A8" s="292" t="str">
        <f>IF(MID($H$9,4,4)="1015","Đối tượng cho vay: NH Eximbank CN Q11","Đối tượng cho vay: NH Eximbank CN Q4")</f>
        <v>Đối tượng cho vay: NH Eximbank CN Q4</v>
      </c>
      <c r="B8" s="292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</row>
    <row r="9" spans="1:14" s="179" customFormat="1">
      <c r="A9" s="217"/>
      <c r="B9" s="217"/>
      <c r="C9" s="217"/>
      <c r="D9" s="217"/>
      <c r="E9" s="217"/>
      <c r="F9" s="217"/>
      <c r="G9" s="229" t="s">
        <v>240</v>
      </c>
      <c r="H9" s="297" t="s">
        <v>290</v>
      </c>
      <c r="I9" s="297"/>
      <c r="J9" s="230" t="str">
        <f>"ngày "&amp; TEXT(VLOOKUP($H$9,'341'!$B$5:$C$49,2,0),"dd/MM/yy")</f>
        <v>ngày 03/06/15</v>
      </c>
      <c r="K9" s="217"/>
      <c r="L9" s="217"/>
      <c r="M9" s="217"/>
      <c r="N9" s="217"/>
    </row>
    <row r="10" spans="1:14" s="179" customFormat="1">
      <c r="A10" s="292" t="s">
        <v>138</v>
      </c>
      <c r="B10" s="292"/>
      <c r="C10" s="292"/>
      <c r="D10" s="292"/>
      <c r="E10" s="292"/>
      <c r="F10" s="292"/>
      <c r="G10" s="292"/>
      <c r="H10" s="292"/>
      <c r="I10" s="292"/>
      <c r="J10" s="292"/>
      <c r="K10" s="292"/>
      <c r="L10" s="292"/>
      <c r="M10" s="292"/>
      <c r="N10" s="292"/>
    </row>
    <row r="11" spans="1:14" s="179" customFormat="1"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M11" s="298"/>
      <c r="N11" s="298"/>
    </row>
    <row r="12" spans="1:14" s="179" customFormat="1" ht="15.75" customHeight="1">
      <c r="A12" s="282" t="s">
        <v>6</v>
      </c>
      <c r="B12" s="285" t="s">
        <v>7</v>
      </c>
      <c r="C12" s="286"/>
      <c r="D12" s="282" t="s">
        <v>8</v>
      </c>
      <c r="E12" s="282" t="s">
        <v>9</v>
      </c>
      <c r="F12" s="282" t="s">
        <v>139</v>
      </c>
      <c r="G12" s="285" t="s">
        <v>10</v>
      </c>
      <c r="H12" s="301"/>
      <c r="I12" s="301"/>
      <c r="J12" s="302"/>
      <c r="K12" s="285" t="s">
        <v>11</v>
      </c>
      <c r="L12" s="301"/>
      <c r="M12" s="301"/>
      <c r="N12" s="302"/>
    </row>
    <row r="13" spans="1:14" s="179" customFormat="1" ht="15.75" customHeight="1">
      <c r="A13" s="283"/>
      <c r="B13" s="288" t="s">
        <v>12</v>
      </c>
      <c r="C13" s="288" t="s">
        <v>13</v>
      </c>
      <c r="D13" s="283"/>
      <c r="E13" s="283"/>
      <c r="F13" s="299"/>
      <c r="G13" s="290" t="s">
        <v>14</v>
      </c>
      <c r="H13" s="302"/>
      <c r="I13" s="290" t="s">
        <v>15</v>
      </c>
      <c r="J13" s="302"/>
      <c r="K13" s="290" t="s">
        <v>14</v>
      </c>
      <c r="L13" s="302"/>
      <c r="M13" s="290" t="s">
        <v>15</v>
      </c>
      <c r="N13" s="302"/>
    </row>
    <row r="14" spans="1:14" s="179" customFormat="1" ht="32.25" customHeight="1">
      <c r="A14" s="284"/>
      <c r="B14" s="289"/>
      <c r="C14" s="289"/>
      <c r="D14" s="284"/>
      <c r="E14" s="284"/>
      <c r="F14" s="300"/>
      <c r="G14" s="180" t="s">
        <v>115</v>
      </c>
      <c r="H14" s="180" t="s">
        <v>140</v>
      </c>
      <c r="I14" s="180" t="s">
        <v>115</v>
      </c>
      <c r="J14" s="180" t="s">
        <v>140</v>
      </c>
      <c r="K14" s="180" t="s">
        <v>115</v>
      </c>
      <c r="L14" s="180" t="s">
        <v>140</v>
      </c>
      <c r="M14" s="180" t="s">
        <v>115</v>
      </c>
      <c r="N14" s="180" t="s">
        <v>140</v>
      </c>
    </row>
    <row r="15" spans="1:14" s="217" customFormat="1">
      <c r="A15" s="181" t="s">
        <v>16</v>
      </c>
      <c r="B15" s="216" t="s">
        <v>17</v>
      </c>
      <c r="C15" s="181" t="s">
        <v>18</v>
      </c>
      <c r="D15" s="181" t="s">
        <v>19</v>
      </c>
      <c r="E15" s="181" t="s">
        <v>20</v>
      </c>
      <c r="F15" s="181">
        <v>1</v>
      </c>
      <c r="G15" s="181">
        <v>2</v>
      </c>
      <c r="H15" s="181">
        <v>3</v>
      </c>
      <c r="I15" s="181">
        <v>4</v>
      </c>
      <c r="J15" s="181">
        <v>5</v>
      </c>
      <c r="K15" s="181">
        <v>6</v>
      </c>
      <c r="L15" s="181">
        <v>7</v>
      </c>
      <c r="M15" s="181">
        <v>8</v>
      </c>
      <c r="N15" s="181">
        <v>9</v>
      </c>
    </row>
    <row r="16" spans="1:14" s="179" customFormat="1" ht="19.5" customHeight="1">
      <c r="A16" s="182"/>
      <c r="B16" s="182"/>
      <c r="C16" s="182"/>
      <c r="D16" s="183" t="s">
        <v>21</v>
      </c>
      <c r="E16" s="184"/>
      <c r="F16" s="184"/>
      <c r="G16" s="182"/>
      <c r="H16" s="182"/>
      <c r="I16" s="182"/>
      <c r="J16" s="182"/>
      <c r="K16" s="185">
        <f>VLOOKUP($H$9,'341'!$B$5:$G$49,3,0)</f>
        <v>0</v>
      </c>
      <c r="L16" s="186">
        <f>VLOOKUP($H$9,'341'!$B$5:$G$49,4,0)</f>
        <v>0</v>
      </c>
      <c r="M16" s="185">
        <f>VLOOKUP($H$9,'341'!$B$5:$G$49,5,0)</f>
        <v>0</v>
      </c>
      <c r="N16" s="186">
        <f>VLOOKUP($H$9,'341'!$B$5:$G$49,6,0)</f>
        <v>0</v>
      </c>
    </row>
    <row r="17" spans="1:14" s="179" customFormat="1" ht="19.5" customHeight="1">
      <c r="A17" s="187">
        <f ca="1">IF(D17&lt;&gt;"",C17,"")</f>
        <v>42158</v>
      </c>
      <c r="B17" s="188" t="str">
        <f ca="1">IF(ROWS($1:1)&gt;COUNT(Dong4),"",OFFSET('TH-341'!B$1,SMALL(Dong4,ROWS($1:1)),))</f>
        <v>GBC</v>
      </c>
      <c r="C17" s="188">
        <f ca="1">IF(ROWS($1:1)&gt;COUNT(Dong4),"",OFFSET('TH-341'!C$1,SMALL(Dong4,ROWS($1:1)),))</f>
        <v>42158</v>
      </c>
      <c r="D17" s="235" t="str">
        <f ca="1">IF(ROWS($1:1)&gt;COUNT(Dong4),"",OFFSET('TH-341'!D$1,SMALL(Dong4,ROWS($1:1)),))</f>
        <v>Q4 - Vay KU 1402LDS201501740</v>
      </c>
      <c r="E17" s="188" t="str">
        <f ca="1">IF(ROWS($1:1)&gt;COUNT(Dong4),"",OFFSET('TH-341'!F$1,SMALL(Dong4,ROWS($1:1)),))</f>
        <v>1121</v>
      </c>
      <c r="F17" s="232">
        <f ca="1">IF(ROWS($1:1)&gt;COUNT(Dong4),"",OFFSET('TH-341'!G$1,SMALL(Dong4,ROWS($1:1)),))</f>
        <v>21820</v>
      </c>
      <c r="G17" s="233">
        <f ca="1">IF(ROWS($1:1)&gt;COUNT(Dong4),"",OFFSET('TH-341'!H$1,SMALL(Dong4,ROWS($1:1)),))</f>
        <v>0</v>
      </c>
      <c r="H17" s="232">
        <f ca="1">IF(ROWS($1:1)&gt;COUNT(Dong4),"",OFFSET('TH-341'!I$1,SMALL(Dong4,ROWS($1:1)),))</f>
        <v>0</v>
      </c>
      <c r="I17" s="233">
        <f ca="1">IF(ROWS($1:1)&gt;COUNT(Dong4),"",OFFSET('TH-341'!J$1,SMALL(Dong4,ROWS($1:1)),))</f>
        <v>95000</v>
      </c>
      <c r="J17" s="232">
        <f ca="1">IF(ROWS($1:1)&gt;COUNT(Dong4),"",OFFSET('TH-341'!K$1,SMALL(Dong4,ROWS($1:1)),))</f>
        <v>2072900000</v>
      </c>
      <c r="K17" s="161">
        <f t="shared" ref="K17" ca="1" si="0">IF(C17&lt;&gt;"",ROUND(MAX(K16+G17-I17-M16,0),2),0)</f>
        <v>0</v>
      </c>
      <c r="L17" s="162">
        <f t="shared" ref="L17" ca="1" si="1">IF(C17&lt;&gt;"",MAX(L16-N16+H17-J17,0),0)</f>
        <v>0</v>
      </c>
      <c r="M17" s="161">
        <f t="shared" ref="M17" ca="1" si="2">IF(C17&lt;&gt;"",ROUND(MAX(M16+I17-G17-K16,0),2),0)</f>
        <v>95000</v>
      </c>
      <c r="N17" s="162">
        <f t="shared" ref="N17" ca="1" si="3">IF(C17&lt;&gt;"",MAX(N16-L16+J17-H17,0),0)</f>
        <v>2072900000</v>
      </c>
    </row>
    <row r="18" spans="1:14" s="196" customFormat="1" ht="19.5" customHeight="1">
      <c r="A18" s="187">
        <f t="shared" ref="A18:A19" ca="1" si="4">IF(D18&lt;&gt;"",C18,"")</f>
        <v>42345</v>
      </c>
      <c r="B18" s="188" t="str">
        <f ca="1">IF(ROWS($1:2)&gt;COUNT(Dong4),"",OFFSET('TH-341'!B$1,SMALL(Dong4,ROWS($1:2)),))</f>
        <v>GBN</v>
      </c>
      <c r="C18" s="188">
        <f ca="1">IF(ROWS($1:2)&gt;COUNT(Dong4),"",OFFSET('TH-341'!C$1,SMALL(Dong4,ROWS($1:2)),))</f>
        <v>42345</v>
      </c>
      <c r="D18" s="235" t="str">
        <f ca="1">IF(ROWS($1:2)&gt;COUNT(Dong4),"",OFFSET('TH-341'!D$1,SMALL(Dong4,ROWS($1:2)),))</f>
        <v>Trả 1 phần gốc KU 1402LDS201501740</v>
      </c>
      <c r="E18" s="188" t="str">
        <f ca="1">IF(ROWS($1:2)&gt;COUNT(Dong4),"",OFFSET('TH-341'!F$1,SMALL(Dong4,ROWS($1:2)),))</f>
        <v>1122</v>
      </c>
      <c r="F18" s="232">
        <f ca="1">IF(ROWS($1:2)&gt;COUNT(Dong4),"",OFFSET('TH-341'!G$1,SMALL(Dong4,ROWS($1:2)),))</f>
        <v>22510</v>
      </c>
      <c r="G18" s="233">
        <f ca="1">IF(ROWS($1:2)&gt;COUNT(Dong4),"",OFFSET('TH-341'!H$1,SMALL(Dong4,ROWS($1:2)),))</f>
        <v>62000</v>
      </c>
      <c r="H18" s="232">
        <f ca="1">IF(ROWS($1:2)&gt;COUNT(Dong4),"",OFFSET('TH-341'!I$1,SMALL(Dong4,ROWS($1:2)),))</f>
        <v>1395620000</v>
      </c>
      <c r="I18" s="233">
        <f ca="1">IF(ROWS($1:2)&gt;COUNT(Dong4),"",OFFSET('TH-341'!J$1,SMALL(Dong4,ROWS($1:2)),))</f>
        <v>0</v>
      </c>
      <c r="J18" s="232">
        <f ca="1">IF(ROWS($1:2)&gt;COUNT(Dong4),"",OFFSET('TH-341'!K$1,SMALL(Dong4,ROWS($1:2)),))</f>
        <v>0</v>
      </c>
      <c r="K18" s="161">
        <f t="shared" ref="K18:K19" ca="1" si="5">IF(C18&lt;&gt;"",ROUND(MAX(K17+G18-I18-M17,0),2),0)</f>
        <v>0</v>
      </c>
      <c r="L18" s="162">
        <f t="shared" ref="L18:L19" ca="1" si="6">IF(C18&lt;&gt;"",MAX(L17-N17+H18-J18,0),0)</f>
        <v>0</v>
      </c>
      <c r="M18" s="161">
        <f t="shared" ref="M18:M19" ca="1" si="7">IF(C18&lt;&gt;"",ROUND(MAX(M17+I18-G18-K17,0),2),0)</f>
        <v>33000</v>
      </c>
      <c r="N18" s="162">
        <f t="shared" ref="N18:N19" ca="1" si="8">IF(C18&lt;&gt;"",MAX(N17-L17+J18-H18,0),0)</f>
        <v>677280000</v>
      </c>
    </row>
    <row r="19" spans="1:14" s="196" customFormat="1" ht="19.5" customHeight="1">
      <c r="A19" s="187">
        <f t="shared" ca="1" si="4"/>
        <v>42347</v>
      </c>
      <c r="B19" s="188" t="str">
        <f ca="1">IF(ROWS($1:3)&gt;COUNT(Dong4),"",OFFSET('TH-341'!B$1,SMALL(Dong4,ROWS($1:3)),))</f>
        <v>GBN</v>
      </c>
      <c r="C19" s="188">
        <f ca="1">IF(ROWS($1:3)&gt;COUNT(Dong4),"",OFFSET('TH-341'!C$1,SMALL(Dong4,ROWS($1:3)),))</f>
        <v>42347</v>
      </c>
      <c r="D19" s="235" t="str">
        <f ca="1">IF(ROWS($1:3)&gt;COUNT(Dong4),"",OFFSET('TH-341'!D$1,SMALL(Dong4,ROWS($1:3)),))</f>
        <v>Trả gốc KU 1402LDS201501740</v>
      </c>
      <c r="E19" s="188" t="str">
        <f ca="1">IF(ROWS($1:3)&gt;COUNT(Dong4),"",OFFSET('TH-341'!F$1,SMALL(Dong4,ROWS($1:3)),))</f>
        <v>1122</v>
      </c>
      <c r="F19" s="232">
        <f ca="1">IF(ROWS($1:3)&gt;COUNT(Dong4),"",OFFSET('TH-341'!G$1,SMALL(Dong4,ROWS($1:3)),))</f>
        <v>22470</v>
      </c>
      <c r="G19" s="233">
        <f ca="1">IF(ROWS($1:3)&gt;COUNT(Dong4),"",OFFSET('TH-341'!H$1,SMALL(Dong4,ROWS($1:3)),))</f>
        <v>33000</v>
      </c>
      <c r="H19" s="232">
        <f ca="1">IF(ROWS($1:3)&gt;COUNT(Dong4),"",OFFSET('TH-341'!I$1,SMALL(Dong4,ROWS($1:3)),))</f>
        <v>741510000</v>
      </c>
      <c r="I19" s="233">
        <f ca="1">IF(ROWS($1:3)&gt;COUNT(Dong4),"",OFFSET('TH-341'!J$1,SMALL(Dong4,ROWS($1:3)),))</f>
        <v>0</v>
      </c>
      <c r="J19" s="232">
        <f ca="1">IF(ROWS($1:3)&gt;COUNT(Dong4),"",OFFSET('TH-341'!K$1,SMALL(Dong4,ROWS($1:3)),))</f>
        <v>0</v>
      </c>
      <c r="K19" s="161">
        <f t="shared" ca="1" si="5"/>
        <v>0</v>
      </c>
      <c r="L19" s="162">
        <f t="shared" ca="1" si="6"/>
        <v>64230000</v>
      </c>
      <c r="M19" s="161">
        <f t="shared" ca="1" si="7"/>
        <v>0</v>
      </c>
      <c r="N19" s="162">
        <f t="shared" ca="1" si="8"/>
        <v>0</v>
      </c>
    </row>
    <row r="20" spans="1:14" s="196" customFormat="1" ht="19.5" customHeight="1">
      <c r="A20" s="187">
        <f t="shared" ref="A20" ca="1" si="9">IF(D20&lt;&gt;"",C20,"")</f>
        <v>42347</v>
      </c>
      <c r="B20" s="188" t="str">
        <f ca="1">IF(ROWS($1:4)&gt;COUNT(Dong4),"",OFFSET('TH-341'!B$1,SMALL(Dong4,ROWS($1:4)),))</f>
        <v>CTGS</v>
      </c>
      <c r="C20" s="188">
        <f ca="1">IF(ROWS($1:4)&gt;COUNT(Dong4),"",OFFSET('TH-341'!C$1,SMALL(Dong4,ROWS($1:4)),))</f>
        <v>42347</v>
      </c>
      <c r="D20" s="235" t="str">
        <f ca="1">IF(ROWS($1:4)&gt;COUNT(Dong4),"",OFFSET('TH-341'!D$1,SMALL(Dong4,ROWS($1:4)),))</f>
        <v>Chênh lệch tỷ giá vay NH</v>
      </c>
      <c r="E20" s="188" t="str">
        <f ca="1">IF(ROWS($1:4)&gt;COUNT(Dong4),"",OFFSET('TH-341'!F$1,SMALL(Dong4,ROWS($1:4)),))</f>
        <v>635</v>
      </c>
      <c r="F20" s="232">
        <f ca="1">IF(ROWS($1:4)&gt;COUNT(Dong4),"",OFFSET('TH-341'!G$1,SMALL(Dong4,ROWS($1:4)),))</f>
        <v>0</v>
      </c>
      <c r="G20" s="233">
        <f ca="1">IF(ROWS($1:4)&gt;COUNT(Dong4),"",OFFSET('TH-341'!H$1,SMALL(Dong4,ROWS($1:4)),))</f>
        <v>0</v>
      </c>
      <c r="H20" s="232">
        <f ca="1">IF(ROWS($1:4)&gt;COUNT(Dong4),"",OFFSET('TH-341'!I$1,SMALL(Dong4,ROWS($1:4)),))</f>
        <v>0</v>
      </c>
      <c r="I20" s="233">
        <f ca="1">IF(ROWS($1:4)&gt;COUNT(Dong4),"",OFFSET('TH-341'!J$1,SMALL(Dong4,ROWS($1:4)),))</f>
        <v>0</v>
      </c>
      <c r="J20" s="232">
        <f ca="1">IF(ROWS($1:4)&gt;COUNT(Dong4),"",OFFSET('TH-341'!K$1,SMALL(Dong4,ROWS($1:4)),))</f>
        <v>64230000</v>
      </c>
      <c r="K20" s="161">
        <f t="shared" ref="K20" ca="1" si="10">IF(C20&lt;&gt;"",ROUND(MAX(K19+G20-I20-M19,0),2),0)</f>
        <v>0</v>
      </c>
      <c r="L20" s="162">
        <f t="shared" ref="L20" ca="1" si="11">IF(C20&lt;&gt;"",MAX(L19-N19+H20-J20,0),0)</f>
        <v>0</v>
      </c>
      <c r="M20" s="161">
        <f t="shared" ref="M20" ca="1" si="12">IF(C20&lt;&gt;"",ROUND(MAX(M19+I20-G20-K19,0),2),0)</f>
        <v>0</v>
      </c>
      <c r="N20" s="162">
        <f t="shared" ref="N20" ca="1" si="13">IF(C20&lt;&gt;"",MAX(N19-L19+J20-H20,0),0)</f>
        <v>0</v>
      </c>
    </row>
    <row r="21" spans="1:14" s="196" customFormat="1" ht="19.5" customHeight="1">
      <c r="A21" s="191"/>
      <c r="B21" s="191"/>
      <c r="C21" s="191"/>
      <c r="D21" s="236"/>
      <c r="E21" s="193"/>
      <c r="F21" s="194"/>
      <c r="G21" s="192"/>
      <c r="H21" s="192"/>
      <c r="I21" s="192"/>
      <c r="J21" s="195"/>
      <c r="K21" s="161"/>
      <c r="L21" s="162"/>
      <c r="M21" s="161"/>
      <c r="N21" s="162"/>
    </row>
    <row r="22" spans="1:14" s="179" customFormat="1" ht="19.5" customHeight="1">
      <c r="A22" s="188"/>
      <c r="B22" s="188"/>
      <c r="C22" s="188"/>
      <c r="D22" s="197" t="s">
        <v>141</v>
      </c>
      <c r="E22" s="198" t="s">
        <v>23</v>
      </c>
      <c r="F22" s="198" t="s">
        <v>23</v>
      </c>
      <c r="G22" s="247">
        <f t="shared" ref="G22:I22" ca="1" si="14">SUM(G17:G20)</f>
        <v>95000</v>
      </c>
      <c r="H22" s="199">
        <f t="shared" ca="1" si="14"/>
        <v>2137130000</v>
      </c>
      <c r="I22" s="247">
        <f t="shared" ca="1" si="14"/>
        <v>95000</v>
      </c>
      <c r="J22" s="199">
        <f ca="1">SUM(J17:J20)</f>
        <v>2137130000</v>
      </c>
      <c r="K22" s="199" t="s">
        <v>23</v>
      </c>
      <c r="L22" s="199" t="s">
        <v>23</v>
      </c>
      <c r="M22" s="199" t="s">
        <v>23</v>
      </c>
      <c r="N22" s="199" t="s">
        <v>23</v>
      </c>
    </row>
    <row r="23" spans="1:14" s="179" customFormat="1" ht="19.5" customHeight="1">
      <c r="A23" s="200"/>
      <c r="B23" s="200"/>
      <c r="C23" s="200"/>
      <c r="D23" s="201" t="s">
        <v>24</v>
      </c>
      <c r="E23" s="202" t="s">
        <v>23</v>
      </c>
      <c r="F23" s="202" t="s">
        <v>23</v>
      </c>
      <c r="G23" s="202" t="s">
        <v>23</v>
      </c>
      <c r="H23" s="202" t="s">
        <v>23</v>
      </c>
      <c r="I23" s="202" t="s">
        <v>23</v>
      </c>
      <c r="J23" s="202" t="s">
        <v>23</v>
      </c>
      <c r="K23" s="203">
        <f ca="1">MAX(K16+G22-M16-I22,0)</f>
        <v>0</v>
      </c>
      <c r="L23" s="204">
        <f ca="1">MAX(L16+H22-N16-J22,0)</f>
        <v>0</v>
      </c>
      <c r="M23" s="203">
        <f ca="1">MAX(M16+I22-K16-G22,0)</f>
        <v>0</v>
      </c>
      <c r="N23" s="204">
        <f ca="1">MAX(N16+J22-L16-H22,0)</f>
        <v>0</v>
      </c>
    </row>
    <row r="24" spans="1:14" s="179" customFormat="1">
      <c r="E24" s="217"/>
      <c r="F24" s="217"/>
    </row>
    <row r="25" spans="1:14" s="179" customFormat="1">
      <c r="C25" s="205" t="s">
        <v>142</v>
      </c>
      <c r="E25" s="217"/>
      <c r="F25" s="217"/>
    </row>
    <row r="26" spans="1:14" s="179" customFormat="1">
      <c r="C26" s="205" t="str">
        <f>"- Ngày mở sổ: "&amp;TEXT(VLOOKUP($H$9,'341'!$B$5:$C$49,2,0),"dd/MM/yy")</f>
        <v>- Ngày mở sổ: 03/06/15</v>
      </c>
      <c r="E26" s="217"/>
      <c r="F26" s="217"/>
    </row>
    <row r="27" spans="1:14" s="179" customFormat="1">
      <c r="E27" s="217"/>
      <c r="F27" s="217"/>
      <c r="L27" s="217" t="s">
        <v>143</v>
      </c>
    </row>
    <row r="28" spans="1:14" s="179" customFormat="1">
      <c r="C28" s="217" t="s">
        <v>25</v>
      </c>
      <c r="E28" s="217"/>
      <c r="F28" s="217"/>
      <c r="L28" s="217" t="s">
        <v>26</v>
      </c>
    </row>
    <row r="29" spans="1:14" s="179" customFormat="1">
      <c r="C29" s="217" t="s">
        <v>27</v>
      </c>
      <c r="E29" s="217"/>
      <c r="F29" s="217"/>
      <c r="L29" s="217" t="s">
        <v>27</v>
      </c>
    </row>
    <row r="30" spans="1:14" s="179" customFormat="1">
      <c r="E30" s="217"/>
      <c r="F30" s="217"/>
    </row>
    <row r="31" spans="1:14" s="179" customFormat="1">
      <c r="E31" s="217"/>
      <c r="F31" s="217"/>
    </row>
    <row r="32" spans="1:14" s="234" customFormat="1"/>
    <row r="33" s="234" customFormat="1"/>
    <row r="34" s="234" customFormat="1"/>
    <row r="35" s="234" customFormat="1"/>
    <row r="36" s="234" customFormat="1"/>
    <row r="37" s="234" customFormat="1"/>
    <row r="38" s="234" customFormat="1"/>
    <row r="39" s="234" customFormat="1"/>
    <row r="40" s="234" customFormat="1"/>
    <row r="41" s="234" customFormat="1"/>
    <row r="42" s="234" customFormat="1"/>
    <row r="43" s="234" customFormat="1"/>
    <row r="44" s="234" customFormat="1"/>
  </sheetData>
  <mergeCells count="22">
    <mergeCell ref="H9:I9"/>
    <mergeCell ref="A10:N10"/>
    <mergeCell ref="C11:N11"/>
    <mergeCell ref="A12:A14"/>
    <mergeCell ref="B12:C12"/>
    <mergeCell ref="D12:D14"/>
    <mergeCell ref="E12:E14"/>
    <mergeCell ref="F12:F14"/>
    <mergeCell ref="G12:J12"/>
    <mergeCell ref="K12:N12"/>
    <mergeCell ref="B13:B14"/>
    <mergeCell ref="C13:C14"/>
    <mergeCell ref="G13:H13"/>
    <mergeCell ref="I13:J13"/>
    <mergeCell ref="K13:L13"/>
    <mergeCell ref="M13:N13"/>
    <mergeCell ref="A8:N8"/>
    <mergeCell ref="J1:N1"/>
    <mergeCell ref="J2:N3"/>
    <mergeCell ref="A5:N5"/>
    <mergeCell ref="A6:N6"/>
    <mergeCell ref="A7:N7"/>
  </mergeCells>
  <dataValidations count="1">
    <dataValidation type="list" allowBlank="1" showInputMessage="1" showErrorMessage="1" sqref="H9:I9">
      <formula1>DSKU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9" enableFormatConditionsCalculation="0">
    <tabColor indexed="12"/>
  </sheetPr>
  <dimension ref="A2:U293"/>
  <sheetViews>
    <sheetView topLeftCell="A11" zoomScale="90" workbookViewId="0">
      <pane ySplit="5" topLeftCell="A85" activePane="bottomLeft" state="frozen"/>
      <selection activeCell="A11" sqref="A11"/>
      <selection pane="bottomLeft" activeCell="K103" sqref="K103"/>
    </sheetView>
  </sheetViews>
  <sheetFormatPr defaultRowHeight="15"/>
  <cols>
    <col min="1" max="1" width="9.85546875" style="28" customWidth="1"/>
    <col min="2" max="2" width="7" style="27" customWidth="1"/>
    <col min="3" max="3" width="9.28515625" style="28" customWidth="1"/>
    <col min="4" max="4" width="26.5703125" style="29" customWidth="1"/>
    <col min="5" max="5" width="7.140625" style="28" customWidth="1"/>
    <col min="6" max="6" width="15.28515625" style="28" customWidth="1"/>
    <col min="7" max="7" width="15.28515625" style="45" customWidth="1"/>
    <col min="8" max="8" width="15.28515625" style="28" customWidth="1"/>
    <col min="9" max="9" width="13.7109375" style="28" customWidth="1"/>
    <col min="10" max="10" width="7.5703125" style="29" customWidth="1"/>
    <col min="11" max="11" width="14" style="140" customWidth="1"/>
    <col min="12" max="12" width="12.85546875" style="29" customWidth="1"/>
    <col min="13" max="14" width="0" style="29" hidden="1" customWidth="1"/>
    <col min="15" max="15" width="0" style="28" hidden="1" customWidth="1"/>
    <col min="16" max="16" width="7" style="27" hidden="1" customWidth="1"/>
    <col min="17" max="17" width="26.5703125" style="29" hidden="1" customWidth="1"/>
    <col min="18" max="18" width="7.140625" style="28" hidden="1" customWidth="1"/>
    <col min="19" max="19" width="15.28515625" style="28" hidden="1" customWidth="1"/>
    <col min="20" max="20" width="15.28515625" style="45" hidden="1" customWidth="1"/>
    <col min="21" max="21" width="0" style="144" hidden="1" customWidth="1"/>
    <col min="22" max="24" width="0" style="29" hidden="1" customWidth="1"/>
    <col min="25" max="16384" width="9.140625" style="29"/>
  </cols>
  <sheetData>
    <row r="2" spans="1:21" ht="15.75" customHeight="1">
      <c r="A2" s="15" t="s">
        <v>0</v>
      </c>
      <c r="G2" s="313" t="s">
        <v>165</v>
      </c>
      <c r="H2" s="313"/>
      <c r="I2" s="313"/>
      <c r="O2" s="15" t="s">
        <v>0</v>
      </c>
      <c r="T2" s="29"/>
    </row>
    <row r="3" spans="1:21" ht="15.75" customHeight="1">
      <c r="A3" s="15" t="s">
        <v>1</v>
      </c>
      <c r="G3" s="314" t="s">
        <v>166</v>
      </c>
      <c r="H3" s="314"/>
      <c r="I3" s="314"/>
      <c r="O3" s="15" t="s">
        <v>1</v>
      </c>
      <c r="T3" s="29"/>
    </row>
    <row r="4" spans="1:21">
      <c r="F4" s="3"/>
      <c r="G4" s="314"/>
      <c r="H4" s="314"/>
      <c r="I4" s="314"/>
      <c r="S4" s="3"/>
      <c r="T4" s="29"/>
    </row>
    <row r="5" spans="1:21" ht="23.25" customHeight="1">
      <c r="A5" s="316" t="s">
        <v>2</v>
      </c>
      <c r="B5" s="316"/>
      <c r="C5" s="316"/>
      <c r="D5" s="316"/>
      <c r="E5" s="316"/>
      <c r="F5" s="316"/>
      <c r="G5" s="316"/>
      <c r="H5" s="316"/>
      <c r="I5" s="316"/>
      <c r="O5" s="29"/>
      <c r="P5" s="29"/>
      <c r="R5" s="29"/>
      <c r="S5" s="29"/>
      <c r="T5" s="29"/>
    </row>
    <row r="6" spans="1:21">
      <c r="A6" s="303" t="s">
        <v>3</v>
      </c>
      <c r="B6" s="303"/>
      <c r="C6" s="303"/>
      <c r="D6" s="303"/>
      <c r="E6" s="303"/>
      <c r="F6" s="303"/>
      <c r="G6" s="303"/>
      <c r="H6" s="303"/>
      <c r="I6" s="303"/>
      <c r="O6" s="29"/>
      <c r="P6" s="29"/>
      <c r="R6" s="29"/>
      <c r="S6" s="29"/>
      <c r="T6" s="29"/>
    </row>
    <row r="7" spans="1:21">
      <c r="A7" s="317" t="s">
        <v>28</v>
      </c>
      <c r="B7" s="317"/>
      <c r="C7" s="317"/>
      <c r="D7" s="317"/>
      <c r="E7" s="317"/>
      <c r="F7" s="317"/>
      <c r="G7" s="317"/>
      <c r="H7" s="317"/>
      <c r="I7" s="317"/>
      <c r="O7" s="29"/>
      <c r="P7" s="29"/>
      <c r="R7" s="29"/>
      <c r="S7" s="29"/>
      <c r="T7" s="29"/>
    </row>
    <row r="8" spans="1:21">
      <c r="A8" s="303" t="s">
        <v>43</v>
      </c>
      <c r="B8" s="303"/>
      <c r="C8" s="303"/>
      <c r="D8" s="303"/>
      <c r="E8" s="303"/>
      <c r="F8" s="303"/>
      <c r="G8" s="303"/>
      <c r="H8" s="303"/>
      <c r="I8" s="303"/>
      <c r="O8" s="29"/>
      <c r="P8" s="29"/>
      <c r="R8" s="29"/>
      <c r="S8" s="29"/>
      <c r="T8" s="29"/>
    </row>
    <row r="9" spans="1:21">
      <c r="A9" s="303" t="s">
        <v>5</v>
      </c>
      <c r="B9" s="303"/>
      <c r="C9" s="303"/>
      <c r="D9" s="303"/>
      <c r="E9" s="303"/>
      <c r="F9" s="303"/>
      <c r="G9" s="303"/>
      <c r="H9" s="303"/>
      <c r="I9" s="303"/>
      <c r="O9" s="29"/>
      <c r="P9" s="29"/>
      <c r="R9" s="29"/>
      <c r="S9" s="29"/>
      <c r="T9" s="29"/>
    </row>
    <row r="10" spans="1:21" ht="15" customHeight="1">
      <c r="A10" s="318"/>
      <c r="B10" s="318"/>
      <c r="C10" s="318"/>
      <c r="D10" s="318"/>
      <c r="E10" s="318"/>
      <c r="F10" s="318"/>
      <c r="G10" s="318"/>
      <c r="H10" s="318"/>
      <c r="I10" s="318"/>
      <c r="O10" s="29"/>
      <c r="P10" s="29"/>
      <c r="R10" s="29"/>
      <c r="S10" s="29"/>
      <c r="T10" s="29"/>
    </row>
    <row r="11" spans="1:21" ht="15.75" customHeight="1">
      <c r="A11" s="304" t="s">
        <v>6</v>
      </c>
      <c r="B11" s="305" t="s">
        <v>7</v>
      </c>
      <c r="C11" s="306"/>
      <c r="D11" s="304" t="s">
        <v>8</v>
      </c>
      <c r="E11" s="304" t="s">
        <v>9</v>
      </c>
      <c r="F11" s="305" t="s">
        <v>10</v>
      </c>
      <c r="G11" s="306"/>
      <c r="H11" s="305" t="s">
        <v>11</v>
      </c>
      <c r="I11" s="315"/>
      <c r="O11" s="304" t="s">
        <v>6</v>
      </c>
      <c r="P11" s="122" t="s">
        <v>7</v>
      </c>
      <c r="Q11" s="304" t="s">
        <v>8</v>
      </c>
      <c r="R11" s="304" t="s">
        <v>9</v>
      </c>
      <c r="S11" s="305" t="s">
        <v>10</v>
      </c>
      <c r="T11" s="306"/>
    </row>
    <row r="12" spans="1:21" ht="15.75" customHeight="1">
      <c r="A12" s="304"/>
      <c r="B12" s="307" t="s">
        <v>12</v>
      </c>
      <c r="C12" s="309" t="s">
        <v>13</v>
      </c>
      <c r="D12" s="304"/>
      <c r="E12" s="304"/>
      <c r="F12" s="309" t="s">
        <v>14</v>
      </c>
      <c r="G12" s="311" t="s">
        <v>15</v>
      </c>
      <c r="H12" s="309" t="s">
        <v>14</v>
      </c>
      <c r="I12" s="309" t="s">
        <v>15</v>
      </c>
      <c r="O12" s="304"/>
      <c r="P12" s="307" t="s">
        <v>12</v>
      </c>
      <c r="Q12" s="304"/>
      <c r="R12" s="304"/>
      <c r="S12" s="309" t="s">
        <v>14</v>
      </c>
      <c r="T12" s="311" t="s">
        <v>15</v>
      </c>
    </row>
    <row r="13" spans="1:21" ht="18" customHeight="1">
      <c r="A13" s="304"/>
      <c r="B13" s="308"/>
      <c r="C13" s="310"/>
      <c r="D13" s="304"/>
      <c r="E13" s="304"/>
      <c r="F13" s="310"/>
      <c r="G13" s="312"/>
      <c r="H13" s="310"/>
      <c r="I13" s="310"/>
      <c r="O13" s="304"/>
      <c r="P13" s="308"/>
      <c r="Q13" s="304"/>
      <c r="R13" s="304"/>
      <c r="S13" s="310"/>
      <c r="T13" s="312"/>
    </row>
    <row r="14" spans="1:21" s="28" customFormat="1" ht="12" customHeight="1">
      <c r="A14" s="30" t="s">
        <v>16</v>
      </c>
      <c r="B14" s="31" t="s">
        <v>17</v>
      </c>
      <c r="C14" s="30" t="s">
        <v>18</v>
      </c>
      <c r="D14" s="30" t="s">
        <v>19</v>
      </c>
      <c r="E14" s="30" t="s">
        <v>20</v>
      </c>
      <c r="F14" s="30">
        <v>1</v>
      </c>
      <c r="G14" s="32">
        <v>2</v>
      </c>
      <c r="H14" s="30">
        <v>3</v>
      </c>
      <c r="I14" s="30">
        <v>4</v>
      </c>
      <c r="K14" s="27"/>
      <c r="O14" s="30" t="s">
        <v>16</v>
      </c>
      <c r="P14" s="31" t="s">
        <v>17</v>
      </c>
      <c r="Q14" s="30" t="s">
        <v>19</v>
      </c>
      <c r="R14" s="30" t="s">
        <v>20</v>
      </c>
      <c r="S14" s="30">
        <v>1</v>
      </c>
      <c r="T14" s="32">
        <v>2</v>
      </c>
      <c r="U14" s="145"/>
    </row>
    <row r="15" spans="1:21" ht="19.5" customHeight="1">
      <c r="A15" s="33"/>
      <c r="B15" s="34"/>
      <c r="C15" s="33"/>
      <c r="D15" s="35" t="s">
        <v>21</v>
      </c>
      <c r="E15" s="36"/>
      <c r="F15" s="22"/>
      <c r="G15" s="21"/>
      <c r="H15" s="22">
        <v>0</v>
      </c>
      <c r="I15" s="22">
        <v>0</v>
      </c>
      <c r="J15" s="37"/>
      <c r="O15" s="33"/>
      <c r="P15" s="34"/>
      <c r="Q15" s="35"/>
      <c r="R15" s="36"/>
      <c r="S15" s="22"/>
      <c r="T15" s="21"/>
    </row>
    <row r="16" spans="1:21" ht="19.5" customHeight="1">
      <c r="A16" s="64">
        <v>42010</v>
      </c>
      <c r="B16" s="96" t="s">
        <v>65</v>
      </c>
      <c r="C16" s="97">
        <f t="shared" ref="C16:C53" si="0">A16</f>
        <v>42010</v>
      </c>
      <c r="D16" s="98" t="s">
        <v>44</v>
      </c>
      <c r="E16" s="99" t="s">
        <v>45</v>
      </c>
      <c r="F16" s="100">
        <v>500000000</v>
      </c>
      <c r="G16" s="101"/>
      <c r="H16" s="95">
        <f>MAX(H15+F16-I15-G16,0)</f>
        <v>500000000</v>
      </c>
      <c r="I16" s="95">
        <f>MAX(I15+G16-H15-F16,0)</f>
        <v>0</v>
      </c>
      <c r="J16" s="37">
        <f t="shared" ref="J16:J47" si="1">IF(A16&lt;&gt;"",MONTH(A16),"")</f>
        <v>1</v>
      </c>
      <c r="O16" s="64">
        <f ca="1">IF(ROWS($1:1)&gt;COUNT(Dong),"",OFFSET('141-BH'!A$1,SMALL(Dong,ROWS($1:1)),))</f>
        <v>42247</v>
      </c>
      <c r="P16" s="64">
        <f ca="1">IF(ROWS($1:1)&gt;COUNT(Dong),"",OFFSET('141-BH'!B$1,SMALL(Dong,ROWS($1:1)),))</f>
        <v>0</v>
      </c>
      <c r="Q16" s="102" t="str">
        <f ca="1">IF(ROWS($1:1)&gt;COUNT(Dong),"",OFFSET('141-BH'!D$1,SMALL(Dong,ROWS($1:1)),))</f>
        <v>Nguyễn Thị Tuyết Đang</v>
      </c>
      <c r="R16" s="64" t="str">
        <f ca="1">IF(ROWS($1:1)&gt;COUNT(Dong),"",OFFSET('141-BH'!E$1,SMALL(Dong,ROWS($1:1)),))</f>
        <v>331</v>
      </c>
      <c r="S16" s="95">
        <f ca="1">IF(ROWS($1:1)&gt;COUNT(Dong),"",OFFSET('141-BH'!F$1,SMALL(Dong,ROWS($1:1)),))</f>
        <v>0</v>
      </c>
      <c r="T16" s="95">
        <f ca="1">IF(ROWS($1:1)&gt;COUNT(Dong),"",OFFSET('141-BH'!G$1,SMALL(Dong,ROWS($1:1)),))</f>
        <v>205168000</v>
      </c>
      <c r="U16" s="146" t="str">
        <f ca="1">IF(IF(ROWS($1:1)&gt;COUNT(Dong),"",OFFSET('141-BH'!K$1,SMALL(Dong,ROWS($1:1)),))=0,"",IF(ROWS($1:1)&gt;COUNT(Dong),"",OFFSET('141-BH'!K$1,SMALL(Dong,ROWS($1:1)),)))</f>
        <v>N10 &amp; N22</v>
      </c>
    </row>
    <row r="17" spans="1:21" ht="19.5" customHeight="1">
      <c r="A17" s="11">
        <v>42018</v>
      </c>
      <c r="B17" s="18" t="s">
        <v>66</v>
      </c>
      <c r="C17" s="14">
        <f t="shared" si="0"/>
        <v>42018</v>
      </c>
      <c r="D17" s="17" t="s">
        <v>44</v>
      </c>
      <c r="E17" s="38" t="s">
        <v>45</v>
      </c>
      <c r="F17" s="9">
        <v>550000000</v>
      </c>
      <c r="G17" s="20"/>
      <c r="H17" s="5">
        <f>MAX(H16+F17-I16-G17,0)</f>
        <v>1050000000</v>
      </c>
      <c r="I17" s="5">
        <f>MAX(I16+G17-H16-F17,0)</f>
        <v>0</v>
      </c>
      <c r="J17" s="37">
        <f t="shared" si="1"/>
        <v>1</v>
      </c>
      <c r="O17" s="64">
        <f ca="1">IF(ROWS($1:2)&gt;COUNT(Dong),"",OFFSET('141-BH'!A$1,SMALL(Dong,ROWS($1:2)),))</f>
        <v>42247</v>
      </c>
      <c r="P17" s="64">
        <f ca="1">IF(ROWS($1:2)&gt;COUNT(Dong),"",OFFSET('141-BH'!B$1,SMALL(Dong,ROWS($1:2)),))</f>
        <v>0</v>
      </c>
      <c r="Q17" s="102" t="str">
        <f ca="1">IF(ROWS($1:2)&gt;COUNT(Dong),"",OFFSET('141-BH'!D$1,SMALL(Dong,ROWS($1:2)),))</f>
        <v>Võ Văn Thắng</v>
      </c>
      <c r="R17" s="64" t="str">
        <f ca="1">IF(ROWS($1:2)&gt;COUNT(Dong),"",OFFSET('141-BH'!E$1,SMALL(Dong,ROWS($1:2)),))</f>
        <v>331</v>
      </c>
      <c r="S17" s="95">
        <f ca="1">IF(ROWS($1:2)&gt;COUNT(Dong),"",OFFSET('141-BH'!F$1,SMALL(Dong,ROWS($1:2)),))</f>
        <v>0</v>
      </c>
      <c r="T17" s="95">
        <f ca="1">IF(ROWS($1:2)&gt;COUNT(Dong),"",OFFSET('141-BH'!G$1,SMALL(Dong,ROWS($1:2)),))</f>
        <v>218560000</v>
      </c>
      <c r="U17" s="146" t="str">
        <f ca="1">IF(IF(ROWS($1:2)&gt;COUNT(Dong),"",OFFSET('141-BH'!K$1,SMALL(Dong,ROWS($1:2)),))=0,"",IF(ROWS($1:2)&gt;COUNT(Dong),"",OFFSET('141-BH'!K$1,SMALL(Dong,ROWS($1:2)),)))</f>
        <v>N11 &amp; N21</v>
      </c>
    </row>
    <row r="18" spans="1:21" ht="19.5" customHeight="1">
      <c r="A18" s="11">
        <v>42020</v>
      </c>
      <c r="B18" s="18" t="s">
        <v>63</v>
      </c>
      <c r="C18" s="14">
        <f t="shared" si="0"/>
        <v>42020</v>
      </c>
      <c r="D18" s="17" t="s">
        <v>44</v>
      </c>
      <c r="E18" s="38" t="s">
        <v>45</v>
      </c>
      <c r="F18" s="9">
        <v>400000000</v>
      </c>
      <c r="G18" s="20"/>
      <c r="H18" s="5">
        <f t="shared" ref="H18:H25" si="2">MAX(H17+F18-I17-G18,0)</f>
        <v>1450000000</v>
      </c>
      <c r="I18" s="5">
        <f t="shared" ref="I18:I25" si="3">MAX(I17+G18-H17-F18,0)</f>
        <v>0</v>
      </c>
      <c r="J18" s="37">
        <f t="shared" si="1"/>
        <v>1</v>
      </c>
      <c r="O18" s="64">
        <f ca="1">IF(ROWS($1:3)&gt;COUNT(Dong),"",OFFSET('141-BH'!A$1,SMALL(Dong,ROWS($1:3)),))</f>
        <v>42247</v>
      </c>
      <c r="P18" s="64">
        <f ca="1">IF(ROWS($1:3)&gt;COUNT(Dong),"",OFFSET('141-BH'!B$1,SMALL(Dong,ROWS($1:3)),))</f>
        <v>0</v>
      </c>
      <c r="Q18" s="102" t="str">
        <f ca="1">IF(ROWS($1:3)&gt;COUNT(Dong),"",OFFSET('141-BH'!D$1,SMALL(Dong,ROWS($1:3)),))</f>
        <v>Nguyễn Văn Phong</v>
      </c>
      <c r="R18" s="64" t="str">
        <f ca="1">IF(ROWS($1:3)&gt;COUNT(Dong),"",OFFSET('141-BH'!E$1,SMALL(Dong,ROWS($1:3)),))</f>
        <v>331</v>
      </c>
      <c r="S18" s="95">
        <f ca="1">IF(ROWS($1:3)&gt;COUNT(Dong),"",OFFSET('141-BH'!F$1,SMALL(Dong,ROWS($1:3)),))</f>
        <v>0</v>
      </c>
      <c r="T18" s="95">
        <f ca="1">IF(ROWS($1:3)&gt;COUNT(Dong),"",OFFSET('141-BH'!G$1,SMALL(Dong,ROWS($1:3)),))</f>
        <v>206032000</v>
      </c>
      <c r="U18" s="146" t="str">
        <f ca="1">IF(IF(ROWS($1:3)&gt;COUNT(Dong),"",OFFSET('141-BH'!K$1,SMALL(Dong,ROWS($1:3)),))=0,"",IF(ROWS($1:3)&gt;COUNT(Dong),"",OFFSET('141-BH'!K$1,SMALL(Dong,ROWS($1:3)),)))</f>
        <v>N12 &amp; N23</v>
      </c>
    </row>
    <row r="19" spans="1:21" ht="19.5" customHeight="1">
      <c r="A19" s="11">
        <v>42024</v>
      </c>
      <c r="B19" s="18" t="s">
        <v>67</v>
      </c>
      <c r="C19" s="14">
        <f t="shared" si="0"/>
        <v>42024</v>
      </c>
      <c r="D19" s="17" t="s">
        <v>44</v>
      </c>
      <c r="E19" s="38" t="s">
        <v>45</v>
      </c>
      <c r="F19" s="9">
        <v>550000000</v>
      </c>
      <c r="G19" s="20"/>
      <c r="H19" s="5">
        <f t="shared" si="2"/>
        <v>2000000000</v>
      </c>
      <c r="I19" s="5">
        <f t="shared" si="3"/>
        <v>0</v>
      </c>
      <c r="J19" s="37">
        <f t="shared" si="1"/>
        <v>1</v>
      </c>
      <c r="O19" s="64" t="str">
        <f ca="1">IF(ROWS($1:4)&gt;COUNT(Dong),"",OFFSET('141-BH'!A$1,SMALL(Dong,ROWS($1:4)),))</f>
        <v/>
      </c>
      <c r="P19" s="64" t="str">
        <f ca="1">IF(ROWS($1:4)&gt;COUNT(Dong),"",OFFSET('141-BH'!B$1,SMALL(Dong,ROWS($1:4)),))</f>
        <v/>
      </c>
      <c r="Q19" s="102" t="str">
        <f ca="1">IF(ROWS($1:4)&gt;COUNT(Dong),"",OFFSET('141-BH'!D$1,SMALL(Dong,ROWS($1:4)),))</f>
        <v/>
      </c>
      <c r="R19" s="64" t="str">
        <f ca="1">IF(ROWS($1:4)&gt;COUNT(Dong),"",OFFSET('141-BH'!E$1,SMALL(Dong,ROWS($1:4)),))</f>
        <v/>
      </c>
      <c r="S19" s="95" t="str">
        <f ca="1">IF(ROWS($1:4)&gt;COUNT(Dong),"",OFFSET('141-BH'!F$1,SMALL(Dong,ROWS($1:4)),))</f>
        <v/>
      </c>
      <c r="T19" s="95" t="str">
        <f ca="1">IF(ROWS($1:4)&gt;COUNT(Dong),"",OFFSET('141-BH'!G$1,SMALL(Dong,ROWS($1:4)),))</f>
        <v/>
      </c>
      <c r="U19" s="146" t="str">
        <f ca="1">IF(IF(ROWS($1:4)&gt;COUNT(Dong),"",OFFSET('141-BH'!K$1,SMALL(Dong,ROWS($1:4)),))=0,"",IF(ROWS($1:4)&gt;COUNT(Dong),"",OFFSET('141-BH'!K$1,SMALL(Dong,ROWS($1:4)),)))</f>
        <v/>
      </c>
    </row>
    <row r="20" spans="1:21" ht="19.5" customHeight="1">
      <c r="A20" s="11">
        <v>42027</v>
      </c>
      <c r="B20" s="18" t="s">
        <v>68</v>
      </c>
      <c r="C20" s="14">
        <f t="shared" si="0"/>
        <v>42027</v>
      </c>
      <c r="D20" s="17" t="s">
        <v>44</v>
      </c>
      <c r="E20" s="38" t="s">
        <v>45</v>
      </c>
      <c r="F20" s="9">
        <v>400000000</v>
      </c>
      <c r="G20" s="20"/>
      <c r="H20" s="5">
        <f t="shared" si="2"/>
        <v>2400000000</v>
      </c>
      <c r="I20" s="5">
        <f t="shared" si="3"/>
        <v>0</v>
      </c>
      <c r="J20" s="37">
        <f t="shared" si="1"/>
        <v>1</v>
      </c>
      <c r="O20" s="64" t="str">
        <f ca="1">IF(ROWS($1:5)&gt;COUNT(Dong),"",OFFSET('141-BH'!A$1,SMALL(Dong,ROWS($1:5)),))</f>
        <v/>
      </c>
      <c r="P20" s="64" t="str">
        <f ca="1">IF(ROWS($1:5)&gt;COUNT(Dong),"",OFFSET('141-BH'!B$1,SMALL(Dong,ROWS($1:5)),))</f>
        <v/>
      </c>
      <c r="Q20" s="102" t="str">
        <f ca="1">IF(ROWS($1:5)&gt;COUNT(Dong),"",OFFSET('141-BH'!D$1,SMALL(Dong,ROWS($1:5)),))</f>
        <v/>
      </c>
      <c r="R20" s="64" t="str">
        <f ca="1">IF(ROWS($1:5)&gt;COUNT(Dong),"",OFFSET('141-BH'!E$1,SMALL(Dong,ROWS($1:5)),))</f>
        <v/>
      </c>
      <c r="S20" s="95" t="str">
        <f ca="1">IF(ROWS($1:5)&gt;COUNT(Dong),"",OFFSET('141-BH'!F$1,SMALL(Dong,ROWS($1:5)),))</f>
        <v/>
      </c>
      <c r="T20" s="95" t="str">
        <f ca="1">IF(ROWS($1:5)&gt;COUNT(Dong),"",OFFSET('141-BH'!G$1,SMALL(Dong,ROWS($1:5)),))</f>
        <v/>
      </c>
      <c r="U20" s="146" t="str">
        <f ca="1">IF(IF(ROWS($1:5)&gt;COUNT(Dong),"",OFFSET('141-BH'!K$1,SMALL(Dong,ROWS($1:5)),))=0,"",IF(ROWS($1:5)&gt;COUNT(Dong),"",OFFSET('141-BH'!K$1,SMALL(Dong,ROWS($1:5)),)))</f>
        <v/>
      </c>
    </row>
    <row r="21" spans="1:21" ht="19.5" customHeight="1">
      <c r="A21" s="11">
        <v>42032</v>
      </c>
      <c r="B21" s="18" t="s">
        <v>70</v>
      </c>
      <c r="C21" s="14">
        <f t="shared" si="0"/>
        <v>42032</v>
      </c>
      <c r="D21" s="17" t="s">
        <v>44</v>
      </c>
      <c r="E21" s="38" t="s">
        <v>45</v>
      </c>
      <c r="F21" s="250">
        <v>320000000</v>
      </c>
      <c r="G21" s="20"/>
      <c r="H21" s="5">
        <f t="shared" si="2"/>
        <v>2720000000</v>
      </c>
      <c r="I21" s="5">
        <f t="shared" si="3"/>
        <v>0</v>
      </c>
      <c r="J21" s="37">
        <f t="shared" si="1"/>
        <v>1</v>
      </c>
      <c r="O21" s="64" t="str">
        <f ca="1">IF(ROWS($1:6)&gt;COUNT(Dong),"",OFFSET('141-BH'!A$1,SMALL(Dong,ROWS($1:6)),))</f>
        <v/>
      </c>
      <c r="P21" s="64" t="str">
        <f ca="1">IF(ROWS($1:6)&gt;COUNT(Dong),"",OFFSET('141-BH'!B$1,SMALL(Dong,ROWS($1:6)),))</f>
        <v/>
      </c>
      <c r="Q21" s="102" t="str">
        <f ca="1">IF(ROWS($1:6)&gt;COUNT(Dong),"",OFFSET('141-BH'!D$1,SMALL(Dong,ROWS($1:6)),))</f>
        <v/>
      </c>
      <c r="R21" s="64" t="str">
        <f ca="1">IF(ROWS($1:6)&gt;COUNT(Dong),"",OFFSET('141-BH'!E$1,SMALL(Dong,ROWS($1:6)),))</f>
        <v/>
      </c>
      <c r="S21" s="95" t="str">
        <f ca="1">IF(ROWS($1:6)&gt;COUNT(Dong),"",OFFSET('141-BH'!F$1,SMALL(Dong,ROWS($1:6)),))</f>
        <v/>
      </c>
      <c r="T21" s="95" t="str">
        <f ca="1">IF(ROWS($1:6)&gt;COUNT(Dong),"",OFFSET('141-BH'!G$1,SMALL(Dong,ROWS($1:6)),))</f>
        <v/>
      </c>
      <c r="U21" s="146" t="str">
        <f ca="1">IF(IF(ROWS($1:6)&gt;COUNT(Dong),"",OFFSET('141-BH'!K$1,SMALL(Dong,ROWS($1:6)),))=0,"",IF(ROWS($1:6)&gt;COUNT(Dong),"",OFFSET('141-BH'!K$1,SMALL(Dong,ROWS($1:6)),)))</f>
        <v/>
      </c>
    </row>
    <row r="22" spans="1:21" ht="19.5" customHeight="1">
      <c r="A22" s="11">
        <v>42035</v>
      </c>
      <c r="B22" s="39" t="s">
        <v>71</v>
      </c>
      <c r="C22" s="14">
        <f t="shared" si="0"/>
        <v>42035</v>
      </c>
      <c r="D22" s="10" t="s">
        <v>96</v>
      </c>
      <c r="E22" s="38" t="s">
        <v>42</v>
      </c>
      <c r="F22" s="20">
        <v>0</v>
      </c>
      <c r="G22" s="9">
        <v>107640000</v>
      </c>
      <c r="H22" s="5">
        <f t="shared" si="2"/>
        <v>2612360000</v>
      </c>
      <c r="I22" s="5">
        <f t="shared" si="3"/>
        <v>0</v>
      </c>
      <c r="J22" s="37">
        <f t="shared" si="1"/>
        <v>1</v>
      </c>
      <c r="K22" s="140" t="s">
        <v>180</v>
      </c>
      <c r="O22" s="64" t="str">
        <f ca="1">IF(ROWS($1:7)&gt;COUNT(Dong),"",OFFSET('141-BH'!A$1,SMALL(Dong,ROWS($1:7)),))</f>
        <v/>
      </c>
      <c r="P22" s="64" t="str">
        <f ca="1">IF(ROWS($1:7)&gt;COUNT(Dong),"",OFFSET('141-BH'!B$1,SMALL(Dong,ROWS($1:7)),))</f>
        <v/>
      </c>
      <c r="Q22" s="102" t="str">
        <f ca="1">IF(ROWS($1:7)&gt;COUNT(Dong),"",OFFSET('141-BH'!D$1,SMALL(Dong,ROWS($1:7)),))</f>
        <v/>
      </c>
      <c r="R22" s="64" t="str">
        <f ca="1">IF(ROWS($1:7)&gt;COUNT(Dong),"",OFFSET('141-BH'!E$1,SMALL(Dong,ROWS($1:7)),))</f>
        <v/>
      </c>
      <c r="S22" s="95" t="str">
        <f ca="1">IF(ROWS($1:7)&gt;COUNT(Dong),"",OFFSET('141-BH'!F$1,SMALL(Dong,ROWS($1:7)),))</f>
        <v/>
      </c>
      <c r="T22" s="95" t="str">
        <f ca="1">IF(ROWS($1:7)&gt;COUNT(Dong),"",OFFSET('141-BH'!G$1,SMALL(Dong,ROWS($1:7)),))</f>
        <v/>
      </c>
      <c r="U22" s="146" t="str">
        <f ca="1">IF(IF(ROWS($1:7)&gt;COUNT(Dong),"",OFFSET('141-BH'!K$1,SMALL(Dong,ROWS($1:7)),))=0,"",IF(ROWS($1:7)&gt;COUNT(Dong),"",OFFSET('141-BH'!K$1,SMALL(Dong,ROWS($1:7)),)))</f>
        <v/>
      </c>
    </row>
    <row r="23" spans="1:21" ht="19.5" customHeight="1">
      <c r="A23" s="11">
        <v>42035</v>
      </c>
      <c r="B23" s="39" t="s">
        <v>71</v>
      </c>
      <c r="C23" s="14">
        <f t="shared" si="0"/>
        <v>42035</v>
      </c>
      <c r="D23" s="17" t="s">
        <v>29</v>
      </c>
      <c r="E23" s="38" t="s">
        <v>42</v>
      </c>
      <c r="F23" s="20">
        <v>0</v>
      </c>
      <c r="G23" s="20">
        <v>208260000</v>
      </c>
      <c r="H23" s="5">
        <f t="shared" si="2"/>
        <v>2404100000</v>
      </c>
      <c r="I23" s="5">
        <f t="shared" si="3"/>
        <v>0</v>
      </c>
      <c r="J23" s="37">
        <f t="shared" si="1"/>
        <v>1</v>
      </c>
      <c r="K23" s="140" t="s">
        <v>203</v>
      </c>
      <c r="O23" s="64" t="str">
        <f ca="1">IF(ROWS($1:8)&gt;COUNT(Dong),"",OFFSET('141-BH'!A$1,SMALL(Dong,ROWS($1:8)),))</f>
        <v/>
      </c>
      <c r="P23" s="64" t="str">
        <f ca="1">IF(ROWS($1:8)&gt;COUNT(Dong),"",OFFSET('141-BH'!B$1,SMALL(Dong,ROWS($1:8)),))</f>
        <v/>
      </c>
      <c r="Q23" s="102" t="str">
        <f ca="1">IF(ROWS($1:8)&gt;COUNT(Dong),"",OFFSET('141-BH'!D$1,SMALL(Dong,ROWS($1:8)),))</f>
        <v/>
      </c>
      <c r="R23" s="64" t="str">
        <f ca="1">IF(ROWS($1:8)&gt;COUNT(Dong),"",OFFSET('141-BH'!E$1,SMALL(Dong,ROWS($1:8)),))</f>
        <v/>
      </c>
      <c r="S23" s="95" t="str">
        <f ca="1">IF(ROWS($1:8)&gt;COUNT(Dong),"",OFFSET('141-BH'!F$1,SMALL(Dong,ROWS($1:8)),))</f>
        <v/>
      </c>
      <c r="T23" s="95" t="str">
        <f ca="1">IF(ROWS($1:8)&gt;COUNT(Dong),"",OFFSET('141-BH'!G$1,SMALL(Dong,ROWS($1:8)),))</f>
        <v/>
      </c>
      <c r="U23" s="146" t="str">
        <f ca="1">IF(IF(ROWS($1:8)&gt;COUNT(Dong),"",OFFSET('141-BH'!K$1,SMALL(Dong,ROWS($1:8)),))=0,"",IF(ROWS($1:8)&gt;COUNT(Dong),"",OFFSET('141-BH'!K$1,SMALL(Dong,ROWS($1:8)),)))</f>
        <v/>
      </c>
    </row>
    <row r="24" spans="1:21" ht="19.5" customHeight="1">
      <c r="A24" s="11">
        <v>42035</v>
      </c>
      <c r="B24" s="39" t="s">
        <v>71</v>
      </c>
      <c r="C24" s="14">
        <f t="shared" si="0"/>
        <v>42035</v>
      </c>
      <c r="D24" s="17" t="s">
        <v>30</v>
      </c>
      <c r="E24" s="38" t="s">
        <v>42</v>
      </c>
      <c r="F24" s="20">
        <v>0</v>
      </c>
      <c r="G24" s="20">
        <v>212004000</v>
      </c>
      <c r="H24" s="5">
        <f t="shared" si="2"/>
        <v>2192096000</v>
      </c>
      <c r="I24" s="5">
        <f t="shared" si="3"/>
        <v>0</v>
      </c>
      <c r="J24" s="37">
        <f t="shared" si="1"/>
        <v>1</v>
      </c>
      <c r="K24" s="140" t="s">
        <v>204</v>
      </c>
      <c r="O24" s="64" t="str">
        <f ca="1">IF(ROWS($1:9)&gt;COUNT(Dong),"",OFFSET('141-BH'!A$1,SMALL(Dong,ROWS($1:9)),))</f>
        <v/>
      </c>
      <c r="P24" s="64" t="str">
        <f ca="1">IF(ROWS($1:9)&gt;COUNT(Dong),"",OFFSET('141-BH'!B$1,SMALL(Dong,ROWS($1:9)),))</f>
        <v/>
      </c>
      <c r="Q24" s="102" t="str">
        <f ca="1">IF(ROWS($1:9)&gt;COUNT(Dong),"",OFFSET('141-BH'!D$1,SMALL(Dong,ROWS($1:9)),))</f>
        <v/>
      </c>
      <c r="R24" s="64" t="str">
        <f ca="1">IF(ROWS($1:9)&gt;COUNT(Dong),"",OFFSET('141-BH'!E$1,SMALL(Dong,ROWS($1:9)),))</f>
        <v/>
      </c>
      <c r="S24" s="95" t="str">
        <f ca="1">IF(ROWS($1:9)&gt;COUNT(Dong),"",OFFSET('141-BH'!F$1,SMALL(Dong,ROWS($1:9)),))</f>
        <v/>
      </c>
      <c r="T24" s="95" t="str">
        <f ca="1">IF(ROWS($1:9)&gt;COUNT(Dong),"",OFFSET('141-BH'!G$1,SMALL(Dong,ROWS($1:9)),))</f>
        <v/>
      </c>
      <c r="U24" s="146" t="str">
        <f ca="1">IF(IF(ROWS($1:9)&gt;COUNT(Dong),"",OFFSET('141-BH'!K$1,SMALL(Dong,ROWS($1:9)),))=0,"",IF(ROWS($1:9)&gt;COUNT(Dong),"",OFFSET('141-BH'!K$1,SMALL(Dong,ROWS($1:9)),)))</f>
        <v/>
      </c>
    </row>
    <row r="25" spans="1:21" ht="19.5" customHeight="1">
      <c r="A25" s="11">
        <v>42035</v>
      </c>
      <c r="B25" s="39" t="s">
        <v>71</v>
      </c>
      <c r="C25" s="14">
        <f t="shared" si="0"/>
        <v>42035</v>
      </c>
      <c r="D25" s="17" t="s">
        <v>31</v>
      </c>
      <c r="E25" s="38" t="s">
        <v>42</v>
      </c>
      <c r="F25" s="20">
        <v>0</v>
      </c>
      <c r="G25" s="20">
        <v>317628000</v>
      </c>
      <c r="H25" s="5">
        <f t="shared" si="2"/>
        <v>1874468000</v>
      </c>
      <c r="I25" s="5">
        <f t="shared" si="3"/>
        <v>0</v>
      </c>
      <c r="J25" s="37">
        <f t="shared" si="1"/>
        <v>1</v>
      </c>
      <c r="K25" s="140" t="s">
        <v>205</v>
      </c>
      <c r="O25" s="64" t="str">
        <f ca="1">IF(ROWS($1:10)&gt;COUNT(Dong),"",OFFSET('141-BH'!A$1,SMALL(Dong,ROWS($1:10)),))</f>
        <v/>
      </c>
      <c r="P25" s="64" t="str">
        <f ca="1">IF(ROWS($1:10)&gt;COUNT(Dong),"",OFFSET('141-BH'!B$1,SMALL(Dong,ROWS($1:10)),))</f>
        <v/>
      </c>
      <c r="Q25" s="102" t="str">
        <f ca="1">IF(ROWS($1:10)&gt;COUNT(Dong),"",OFFSET('141-BH'!D$1,SMALL(Dong,ROWS($1:10)),))</f>
        <v/>
      </c>
      <c r="R25" s="64" t="str">
        <f ca="1">IF(ROWS($1:10)&gt;COUNT(Dong),"",OFFSET('141-BH'!E$1,SMALL(Dong,ROWS($1:10)),))</f>
        <v/>
      </c>
      <c r="S25" s="95" t="str">
        <f ca="1">IF(ROWS($1:10)&gt;COUNT(Dong),"",OFFSET('141-BH'!F$1,SMALL(Dong,ROWS($1:10)),))</f>
        <v/>
      </c>
      <c r="T25" s="95" t="str">
        <f ca="1">IF(ROWS($1:10)&gt;COUNT(Dong),"",OFFSET('141-BH'!G$1,SMALL(Dong,ROWS($1:10)),))</f>
        <v/>
      </c>
      <c r="U25" s="146" t="str">
        <f ca="1">IF(IF(ROWS($1:10)&gt;COUNT(Dong),"",OFFSET('141-BH'!K$1,SMALL(Dong,ROWS($1:10)),))=0,"",IF(ROWS($1:10)&gt;COUNT(Dong),"",OFFSET('141-BH'!K$1,SMALL(Dong,ROWS($1:10)),)))</f>
        <v/>
      </c>
    </row>
    <row r="26" spans="1:21" s="53" customFormat="1" ht="19.5" customHeight="1">
      <c r="A26" s="11">
        <v>42035</v>
      </c>
      <c r="B26" s="39" t="s">
        <v>71</v>
      </c>
      <c r="C26" s="14">
        <f t="shared" si="0"/>
        <v>42035</v>
      </c>
      <c r="D26" s="17" t="s">
        <v>97</v>
      </c>
      <c r="E26" s="38" t="s">
        <v>42</v>
      </c>
      <c r="F26" s="20">
        <v>0</v>
      </c>
      <c r="G26" s="20">
        <v>209394000</v>
      </c>
      <c r="H26" s="5">
        <f t="shared" ref="H26:H82" si="4">MAX(H25+F26-I25-G26,0)</f>
        <v>1665074000</v>
      </c>
      <c r="I26" s="5">
        <f t="shared" ref="I26:I82" si="5">MAX(I25+G26-H25-F26,0)</f>
        <v>0</v>
      </c>
      <c r="J26" s="37">
        <f t="shared" si="1"/>
        <v>1</v>
      </c>
      <c r="K26" s="140" t="s">
        <v>206</v>
      </c>
      <c r="O26" s="64" t="str">
        <f ca="1">IF(ROWS($1:11)&gt;COUNT(Dong),"",OFFSET('141-BH'!A$1,SMALL(Dong,ROWS($1:11)),))</f>
        <v/>
      </c>
      <c r="P26" s="64" t="str">
        <f ca="1">IF(ROWS($1:11)&gt;COUNT(Dong),"",OFFSET('141-BH'!B$1,SMALL(Dong,ROWS($1:11)),))</f>
        <v/>
      </c>
      <c r="Q26" s="102" t="str">
        <f ca="1">IF(ROWS($1:11)&gt;COUNT(Dong),"",OFFSET('141-BH'!D$1,SMALL(Dong,ROWS($1:11)),))</f>
        <v/>
      </c>
      <c r="R26" s="64" t="str">
        <f ca="1">IF(ROWS($1:11)&gt;COUNT(Dong),"",OFFSET('141-BH'!E$1,SMALL(Dong,ROWS($1:11)),))</f>
        <v/>
      </c>
      <c r="S26" s="95" t="str">
        <f ca="1">IF(ROWS($1:11)&gt;COUNT(Dong),"",OFFSET('141-BH'!F$1,SMALL(Dong,ROWS($1:11)),))</f>
        <v/>
      </c>
      <c r="T26" s="95" t="str">
        <f ca="1">IF(ROWS($1:11)&gt;COUNT(Dong),"",OFFSET('141-BH'!G$1,SMALL(Dong,ROWS($1:11)),))</f>
        <v/>
      </c>
      <c r="U26" s="146" t="str">
        <f ca="1">IF(IF(ROWS($1:11)&gt;COUNT(Dong),"",OFFSET('141-BH'!K$1,SMALL(Dong,ROWS($1:11)),))=0,"",IF(ROWS($1:11)&gt;COUNT(Dong),"",OFFSET('141-BH'!K$1,SMALL(Dong,ROWS($1:11)),)))</f>
        <v/>
      </c>
    </row>
    <row r="27" spans="1:21" ht="19.5" customHeight="1">
      <c r="A27" s="11">
        <v>42035</v>
      </c>
      <c r="B27" s="39" t="s">
        <v>71</v>
      </c>
      <c r="C27" s="14">
        <f t="shared" si="0"/>
        <v>42035</v>
      </c>
      <c r="D27" s="17" t="s">
        <v>32</v>
      </c>
      <c r="E27" s="38" t="s">
        <v>42</v>
      </c>
      <c r="F27" s="20">
        <v>0</v>
      </c>
      <c r="G27" s="20">
        <v>212634000</v>
      </c>
      <c r="H27" s="5">
        <f t="shared" si="4"/>
        <v>1452440000</v>
      </c>
      <c r="I27" s="5">
        <f t="shared" si="5"/>
        <v>0</v>
      </c>
      <c r="J27" s="37">
        <f t="shared" si="1"/>
        <v>1</v>
      </c>
      <c r="K27" s="140" t="s">
        <v>207</v>
      </c>
      <c r="O27" s="64" t="str">
        <f ca="1">IF(ROWS($1:12)&gt;COUNT(Dong),"",OFFSET('141-BH'!A$1,SMALL(Dong,ROWS($1:12)),))</f>
        <v/>
      </c>
      <c r="P27" s="64" t="str">
        <f ca="1">IF(ROWS($1:12)&gt;COUNT(Dong),"",OFFSET('141-BH'!B$1,SMALL(Dong,ROWS($1:12)),))</f>
        <v/>
      </c>
      <c r="Q27" s="102" t="str">
        <f ca="1">IF(ROWS($1:12)&gt;COUNT(Dong),"",OFFSET('141-BH'!D$1,SMALL(Dong,ROWS($1:12)),))</f>
        <v/>
      </c>
      <c r="R27" s="64" t="str">
        <f ca="1">IF(ROWS($1:12)&gt;COUNT(Dong),"",OFFSET('141-BH'!E$1,SMALL(Dong,ROWS($1:12)),))</f>
        <v/>
      </c>
      <c r="S27" s="95" t="str">
        <f ca="1">IF(ROWS($1:12)&gt;COUNT(Dong),"",OFFSET('141-BH'!F$1,SMALL(Dong,ROWS($1:12)),))</f>
        <v/>
      </c>
      <c r="T27" s="95" t="str">
        <f ca="1">IF(ROWS($1:12)&gt;COUNT(Dong),"",OFFSET('141-BH'!G$1,SMALL(Dong,ROWS($1:12)),))</f>
        <v/>
      </c>
      <c r="U27" s="146" t="str">
        <f ca="1">IF(IF(ROWS($1:12)&gt;COUNT(Dong),"",OFFSET('141-BH'!K$1,SMALL(Dong,ROWS($1:12)),))=0,"",IF(ROWS($1:12)&gt;COUNT(Dong),"",OFFSET('141-BH'!K$1,SMALL(Dong,ROWS($1:12)),)))</f>
        <v/>
      </c>
    </row>
    <row r="28" spans="1:21" ht="19.5" customHeight="1">
      <c r="A28" s="11">
        <v>42035</v>
      </c>
      <c r="B28" s="39" t="s">
        <v>71</v>
      </c>
      <c r="C28" s="14">
        <f t="shared" si="0"/>
        <v>42035</v>
      </c>
      <c r="D28" s="17" t="s">
        <v>51</v>
      </c>
      <c r="E28" s="38" t="s">
        <v>42</v>
      </c>
      <c r="F28" s="20">
        <v>0</v>
      </c>
      <c r="G28" s="20">
        <v>107460000</v>
      </c>
      <c r="H28" s="5">
        <f t="shared" si="4"/>
        <v>1344980000</v>
      </c>
      <c r="I28" s="5">
        <f t="shared" si="5"/>
        <v>0</v>
      </c>
      <c r="J28" s="37">
        <f t="shared" si="1"/>
        <v>1</v>
      </c>
      <c r="K28" s="140" t="s">
        <v>186</v>
      </c>
      <c r="O28" s="64" t="str">
        <f ca="1">IF(ROWS($1:13)&gt;COUNT(Dong),"",OFFSET('141-BH'!A$1,SMALL(Dong,ROWS($1:13)),))</f>
        <v/>
      </c>
      <c r="P28" s="64" t="str">
        <f ca="1">IF(ROWS($1:13)&gt;COUNT(Dong),"",OFFSET('141-BH'!B$1,SMALL(Dong,ROWS($1:13)),))</f>
        <v/>
      </c>
      <c r="Q28" s="102" t="str">
        <f ca="1">IF(ROWS($1:13)&gt;COUNT(Dong),"",OFFSET('141-BH'!D$1,SMALL(Dong,ROWS($1:13)),))</f>
        <v/>
      </c>
      <c r="R28" s="64" t="str">
        <f ca="1">IF(ROWS($1:13)&gt;COUNT(Dong),"",OFFSET('141-BH'!E$1,SMALL(Dong,ROWS($1:13)),))</f>
        <v/>
      </c>
      <c r="S28" s="95" t="str">
        <f ca="1">IF(ROWS($1:13)&gt;COUNT(Dong),"",OFFSET('141-BH'!F$1,SMALL(Dong,ROWS($1:13)),))</f>
        <v/>
      </c>
      <c r="T28" s="95" t="str">
        <f ca="1">IF(ROWS($1:13)&gt;COUNT(Dong),"",OFFSET('141-BH'!G$1,SMALL(Dong,ROWS($1:13)),))</f>
        <v/>
      </c>
      <c r="U28" s="146" t="str">
        <f ca="1">IF(IF(ROWS($1:13)&gt;COUNT(Dong),"",OFFSET('141-BH'!K$1,SMALL(Dong,ROWS($1:13)),))=0,"",IF(ROWS($1:13)&gt;COUNT(Dong),"",OFFSET('141-BH'!K$1,SMALL(Dong,ROWS($1:13)),)))</f>
        <v/>
      </c>
    </row>
    <row r="29" spans="1:21" ht="19.5" customHeight="1">
      <c r="A29" s="11">
        <v>42035</v>
      </c>
      <c r="B29" s="39" t="s">
        <v>71</v>
      </c>
      <c r="C29" s="14">
        <f t="shared" si="0"/>
        <v>42035</v>
      </c>
      <c r="D29" s="17" t="s">
        <v>98</v>
      </c>
      <c r="E29" s="38" t="s">
        <v>42</v>
      </c>
      <c r="F29" s="20">
        <v>0</v>
      </c>
      <c r="G29" s="20">
        <v>107280000</v>
      </c>
      <c r="H29" s="5">
        <f t="shared" si="4"/>
        <v>1237700000</v>
      </c>
      <c r="I29" s="5">
        <f t="shared" si="5"/>
        <v>0</v>
      </c>
      <c r="J29" s="37">
        <f t="shared" si="1"/>
        <v>1</v>
      </c>
      <c r="K29" s="140" t="s">
        <v>177</v>
      </c>
      <c r="O29" s="64" t="str">
        <f ca="1">IF(ROWS($1:14)&gt;COUNT(Dong),"",OFFSET('141-BH'!A$1,SMALL(Dong,ROWS($1:14)),))</f>
        <v/>
      </c>
      <c r="P29" s="64" t="str">
        <f ca="1">IF(ROWS($1:14)&gt;COUNT(Dong),"",OFFSET('141-BH'!B$1,SMALL(Dong,ROWS($1:14)),))</f>
        <v/>
      </c>
      <c r="Q29" s="102" t="str">
        <f ca="1">IF(ROWS($1:14)&gt;COUNT(Dong),"",OFFSET('141-BH'!D$1,SMALL(Dong,ROWS($1:14)),))</f>
        <v/>
      </c>
      <c r="R29" s="64" t="str">
        <f ca="1">IF(ROWS($1:14)&gt;COUNT(Dong),"",OFFSET('141-BH'!E$1,SMALL(Dong,ROWS($1:14)),))</f>
        <v/>
      </c>
      <c r="S29" s="95" t="str">
        <f ca="1">IF(ROWS($1:14)&gt;COUNT(Dong),"",OFFSET('141-BH'!F$1,SMALL(Dong,ROWS($1:14)),))</f>
        <v/>
      </c>
      <c r="T29" s="95" t="str">
        <f ca="1">IF(ROWS($1:14)&gt;COUNT(Dong),"",OFFSET('141-BH'!G$1,SMALL(Dong,ROWS($1:14)),))</f>
        <v/>
      </c>
      <c r="U29" s="146" t="str">
        <f ca="1">IF(IF(ROWS($1:14)&gt;COUNT(Dong),"",OFFSET('141-BH'!K$1,SMALL(Dong,ROWS($1:14)),))=0,"",IF(ROWS($1:14)&gt;COUNT(Dong),"",OFFSET('141-BH'!K$1,SMALL(Dong,ROWS($1:14)),)))</f>
        <v/>
      </c>
    </row>
    <row r="30" spans="1:21" ht="19.5" customHeight="1">
      <c r="A30" s="11">
        <v>42035</v>
      </c>
      <c r="B30" s="39" t="s">
        <v>71</v>
      </c>
      <c r="C30" s="14">
        <f t="shared" si="0"/>
        <v>42035</v>
      </c>
      <c r="D30" s="17" t="s">
        <v>99</v>
      </c>
      <c r="E30" s="38" t="s">
        <v>42</v>
      </c>
      <c r="F30" s="20">
        <v>0</v>
      </c>
      <c r="G30" s="20">
        <v>332495000</v>
      </c>
      <c r="H30" s="5">
        <f t="shared" si="4"/>
        <v>905205000</v>
      </c>
      <c r="I30" s="5">
        <f t="shared" si="5"/>
        <v>0</v>
      </c>
      <c r="J30" s="37">
        <f t="shared" si="1"/>
        <v>1</v>
      </c>
      <c r="K30" s="140" t="s">
        <v>208</v>
      </c>
      <c r="O30" s="64" t="str">
        <f ca="1">IF(ROWS($1:15)&gt;COUNT(Dong),"",OFFSET('141-BH'!A$1,SMALL(Dong,ROWS($1:15)),))</f>
        <v/>
      </c>
      <c r="P30" s="64" t="str">
        <f ca="1">IF(ROWS($1:15)&gt;COUNT(Dong),"",OFFSET('141-BH'!B$1,SMALL(Dong,ROWS($1:15)),))</f>
        <v/>
      </c>
      <c r="Q30" s="102" t="str">
        <f ca="1">IF(ROWS($1:15)&gt;COUNT(Dong),"",OFFSET('141-BH'!D$1,SMALL(Dong,ROWS($1:15)),))</f>
        <v/>
      </c>
      <c r="R30" s="64" t="str">
        <f ca="1">IF(ROWS($1:15)&gt;COUNT(Dong),"",OFFSET('141-BH'!E$1,SMALL(Dong,ROWS($1:15)),))</f>
        <v/>
      </c>
      <c r="S30" s="95" t="str">
        <f ca="1">IF(ROWS($1:15)&gt;COUNT(Dong),"",OFFSET('141-BH'!F$1,SMALL(Dong,ROWS($1:15)),))</f>
        <v/>
      </c>
      <c r="T30" s="95" t="str">
        <f ca="1">IF(ROWS($1:15)&gt;COUNT(Dong),"",OFFSET('141-BH'!G$1,SMALL(Dong,ROWS($1:15)),))</f>
        <v/>
      </c>
      <c r="U30" s="146" t="str">
        <f ca="1">IF(IF(ROWS($1:15)&gt;COUNT(Dong),"",OFFSET('141-BH'!K$1,SMALL(Dong,ROWS($1:15)),))=0,"",IF(ROWS($1:15)&gt;COUNT(Dong),"",OFFSET('141-BH'!K$1,SMALL(Dong,ROWS($1:15)),)))</f>
        <v/>
      </c>
    </row>
    <row r="31" spans="1:21" s="53" customFormat="1" ht="19.5" customHeight="1">
      <c r="A31" s="11">
        <v>42035</v>
      </c>
      <c r="B31" s="39" t="s">
        <v>71</v>
      </c>
      <c r="C31" s="14">
        <f t="shared" si="0"/>
        <v>42035</v>
      </c>
      <c r="D31" s="17" t="s">
        <v>47</v>
      </c>
      <c r="E31" s="38" t="s">
        <v>42</v>
      </c>
      <c r="F31" s="20">
        <v>0</v>
      </c>
      <c r="G31" s="20">
        <v>318825000</v>
      </c>
      <c r="H31" s="5">
        <f t="shared" si="4"/>
        <v>586380000</v>
      </c>
      <c r="I31" s="5">
        <f t="shared" si="5"/>
        <v>0</v>
      </c>
      <c r="J31" s="37">
        <f t="shared" si="1"/>
        <v>1</v>
      </c>
      <c r="K31" s="140" t="s">
        <v>209</v>
      </c>
      <c r="O31" s="64" t="str">
        <f ca="1">IF(ROWS($1:16)&gt;COUNT(Dong),"",OFFSET('141-BH'!A$1,SMALL(Dong,ROWS($1:16)),))</f>
        <v/>
      </c>
      <c r="P31" s="64" t="str">
        <f ca="1">IF(ROWS($1:16)&gt;COUNT(Dong),"",OFFSET('141-BH'!B$1,SMALL(Dong,ROWS($1:16)),))</f>
        <v/>
      </c>
      <c r="Q31" s="102" t="str">
        <f ca="1">IF(ROWS($1:16)&gt;COUNT(Dong),"",OFFSET('141-BH'!D$1,SMALL(Dong,ROWS($1:16)),))</f>
        <v/>
      </c>
      <c r="R31" s="64" t="str">
        <f ca="1">IF(ROWS($1:16)&gt;COUNT(Dong),"",OFFSET('141-BH'!E$1,SMALL(Dong,ROWS($1:16)),))</f>
        <v/>
      </c>
      <c r="S31" s="95" t="str">
        <f ca="1">IF(ROWS($1:16)&gt;COUNT(Dong),"",OFFSET('141-BH'!F$1,SMALL(Dong,ROWS($1:16)),))</f>
        <v/>
      </c>
      <c r="T31" s="95" t="str">
        <f ca="1">IF(ROWS($1:16)&gt;COUNT(Dong),"",OFFSET('141-BH'!G$1,SMALL(Dong,ROWS($1:16)),))</f>
        <v/>
      </c>
      <c r="U31" s="146" t="str">
        <f ca="1">IF(IF(ROWS($1:16)&gt;COUNT(Dong),"",OFFSET('141-BH'!K$1,SMALL(Dong,ROWS($1:16)),))=0,"",IF(ROWS($1:16)&gt;COUNT(Dong),"",OFFSET('141-BH'!K$1,SMALL(Dong,ROWS($1:16)),)))</f>
        <v/>
      </c>
    </row>
    <row r="32" spans="1:21" ht="19.5" customHeight="1">
      <c r="A32" s="11">
        <v>42035</v>
      </c>
      <c r="B32" s="39" t="s">
        <v>71</v>
      </c>
      <c r="C32" s="14">
        <f t="shared" si="0"/>
        <v>42035</v>
      </c>
      <c r="D32" s="17" t="s">
        <v>49</v>
      </c>
      <c r="E32" s="38" t="s">
        <v>42</v>
      </c>
      <c r="F32" s="20">
        <v>0</v>
      </c>
      <c r="G32" s="20">
        <v>157145000</v>
      </c>
      <c r="H32" s="5">
        <f t="shared" si="4"/>
        <v>429235000</v>
      </c>
      <c r="I32" s="5">
        <f t="shared" si="5"/>
        <v>0</v>
      </c>
      <c r="J32" s="37">
        <f t="shared" si="1"/>
        <v>1</v>
      </c>
      <c r="K32" s="140" t="s">
        <v>191</v>
      </c>
      <c r="O32" s="64" t="str">
        <f ca="1">IF(ROWS($1:17)&gt;COUNT(Dong),"",OFFSET('141-BH'!A$1,SMALL(Dong,ROWS($1:17)),))</f>
        <v/>
      </c>
      <c r="P32" s="64" t="str">
        <f ca="1">IF(ROWS($1:17)&gt;COUNT(Dong),"",OFFSET('141-BH'!B$1,SMALL(Dong,ROWS($1:17)),))</f>
        <v/>
      </c>
      <c r="Q32" s="102" t="str">
        <f ca="1">IF(ROWS($1:17)&gt;COUNT(Dong),"",OFFSET('141-BH'!D$1,SMALL(Dong,ROWS($1:17)),))</f>
        <v/>
      </c>
      <c r="R32" s="64" t="str">
        <f ca="1">IF(ROWS($1:17)&gt;COUNT(Dong),"",OFFSET('141-BH'!E$1,SMALL(Dong,ROWS($1:17)),))</f>
        <v/>
      </c>
      <c r="S32" s="95" t="str">
        <f ca="1">IF(ROWS($1:17)&gt;COUNT(Dong),"",OFFSET('141-BH'!F$1,SMALL(Dong,ROWS($1:17)),))</f>
        <v/>
      </c>
      <c r="T32" s="95" t="str">
        <f ca="1">IF(ROWS($1:17)&gt;COUNT(Dong),"",OFFSET('141-BH'!G$1,SMALL(Dong,ROWS($1:17)),))</f>
        <v/>
      </c>
      <c r="U32" s="146" t="str">
        <f ca="1">IF(IF(ROWS($1:17)&gt;COUNT(Dong),"",OFFSET('141-BH'!K$1,SMALL(Dong,ROWS($1:17)),))=0,"",IF(ROWS($1:17)&gt;COUNT(Dong),"",OFFSET('141-BH'!K$1,SMALL(Dong,ROWS($1:17)),)))</f>
        <v/>
      </c>
    </row>
    <row r="33" spans="1:21" ht="19.5" customHeight="1">
      <c r="A33" s="11">
        <v>42035</v>
      </c>
      <c r="B33" s="39" t="s">
        <v>71</v>
      </c>
      <c r="C33" s="14">
        <f t="shared" si="0"/>
        <v>42035</v>
      </c>
      <c r="D33" s="17" t="s">
        <v>46</v>
      </c>
      <c r="E33" s="38" t="s">
        <v>42</v>
      </c>
      <c r="F33" s="20">
        <v>0</v>
      </c>
      <c r="G33" s="20">
        <v>243445000</v>
      </c>
      <c r="H33" s="5">
        <f t="shared" si="4"/>
        <v>185790000</v>
      </c>
      <c r="I33" s="5">
        <f t="shared" si="5"/>
        <v>0</v>
      </c>
      <c r="J33" s="37">
        <f t="shared" si="1"/>
        <v>1</v>
      </c>
      <c r="K33" s="140" t="s">
        <v>210</v>
      </c>
      <c r="O33" s="64" t="str">
        <f ca="1">IF(ROWS($1:18)&gt;COUNT(Dong),"",OFFSET('141-BH'!A$1,SMALL(Dong,ROWS($1:18)),))</f>
        <v/>
      </c>
      <c r="P33" s="64" t="str">
        <f ca="1">IF(ROWS($1:18)&gt;COUNT(Dong),"",OFFSET('141-BH'!B$1,SMALL(Dong,ROWS($1:18)),))</f>
        <v/>
      </c>
      <c r="Q33" s="102" t="str">
        <f ca="1">IF(ROWS($1:18)&gt;COUNT(Dong),"",OFFSET('141-BH'!D$1,SMALL(Dong,ROWS($1:18)),))</f>
        <v/>
      </c>
      <c r="R33" s="64" t="str">
        <f ca="1">IF(ROWS($1:18)&gt;COUNT(Dong),"",OFFSET('141-BH'!E$1,SMALL(Dong,ROWS($1:18)),))</f>
        <v/>
      </c>
      <c r="S33" s="95" t="str">
        <f ca="1">IF(ROWS($1:18)&gt;COUNT(Dong),"",OFFSET('141-BH'!F$1,SMALL(Dong,ROWS($1:18)),))</f>
        <v/>
      </c>
      <c r="T33" s="95" t="str">
        <f ca="1">IF(ROWS($1:18)&gt;COUNT(Dong),"",OFFSET('141-BH'!G$1,SMALL(Dong,ROWS($1:18)),))</f>
        <v/>
      </c>
      <c r="U33" s="146" t="str">
        <f ca="1">IF(IF(ROWS($1:18)&gt;COUNT(Dong),"",OFFSET('141-BH'!K$1,SMALL(Dong,ROWS($1:18)),))=0,"",IF(ROWS($1:18)&gt;COUNT(Dong),"",OFFSET('141-BH'!K$1,SMALL(Dong,ROWS($1:18)),)))</f>
        <v/>
      </c>
    </row>
    <row r="34" spans="1:21" ht="19.5" customHeight="1">
      <c r="A34" s="11">
        <v>42035</v>
      </c>
      <c r="B34" s="39" t="s">
        <v>71</v>
      </c>
      <c r="C34" s="14">
        <f t="shared" si="0"/>
        <v>42035</v>
      </c>
      <c r="D34" s="17" t="s">
        <v>100</v>
      </c>
      <c r="E34" s="38" t="s">
        <v>42</v>
      </c>
      <c r="F34" s="20">
        <v>0</v>
      </c>
      <c r="G34" s="20">
        <v>179280000</v>
      </c>
      <c r="H34" s="5">
        <f t="shared" si="4"/>
        <v>6510000</v>
      </c>
      <c r="I34" s="5">
        <f t="shared" si="5"/>
        <v>0</v>
      </c>
      <c r="J34" s="37">
        <f t="shared" si="1"/>
        <v>1</v>
      </c>
      <c r="K34" s="140" t="s">
        <v>211</v>
      </c>
      <c r="O34" s="64" t="str">
        <f ca="1">IF(ROWS($1:19)&gt;COUNT(Dong),"",OFFSET('141-BH'!A$1,SMALL(Dong,ROWS($1:19)),))</f>
        <v/>
      </c>
      <c r="P34" s="64" t="str">
        <f ca="1">IF(ROWS($1:19)&gt;COUNT(Dong),"",OFFSET('141-BH'!B$1,SMALL(Dong,ROWS($1:19)),))</f>
        <v/>
      </c>
      <c r="Q34" s="102" t="str">
        <f ca="1">IF(ROWS($1:19)&gt;COUNT(Dong),"",OFFSET('141-BH'!D$1,SMALL(Dong,ROWS($1:19)),))</f>
        <v/>
      </c>
      <c r="R34" s="64" t="str">
        <f ca="1">IF(ROWS($1:19)&gt;COUNT(Dong),"",OFFSET('141-BH'!E$1,SMALL(Dong,ROWS($1:19)),))</f>
        <v/>
      </c>
      <c r="S34" s="95" t="str">
        <f ca="1">IF(ROWS($1:19)&gt;COUNT(Dong),"",OFFSET('141-BH'!F$1,SMALL(Dong,ROWS($1:19)),))</f>
        <v/>
      </c>
      <c r="T34" s="95" t="str">
        <f ca="1">IF(ROWS($1:19)&gt;COUNT(Dong),"",OFFSET('141-BH'!G$1,SMALL(Dong,ROWS($1:19)),))</f>
        <v/>
      </c>
      <c r="U34" s="146" t="str">
        <f ca="1">IF(IF(ROWS($1:19)&gt;COUNT(Dong),"",OFFSET('141-BH'!K$1,SMALL(Dong,ROWS($1:19)),))=0,"",IF(ROWS($1:19)&gt;COUNT(Dong),"",OFFSET('141-BH'!K$1,SMALL(Dong,ROWS($1:19)),)))</f>
        <v/>
      </c>
    </row>
    <row r="35" spans="1:21" ht="19.5" customHeight="1">
      <c r="A35" s="14">
        <v>42039</v>
      </c>
      <c r="B35" s="24" t="s">
        <v>57</v>
      </c>
      <c r="C35" s="14">
        <f t="shared" si="0"/>
        <v>42039</v>
      </c>
      <c r="D35" s="17" t="s">
        <v>44</v>
      </c>
      <c r="E35" s="38" t="s">
        <v>45</v>
      </c>
      <c r="F35" s="9">
        <v>600000000</v>
      </c>
      <c r="G35" s="20"/>
      <c r="H35" s="5">
        <f t="shared" si="4"/>
        <v>606510000</v>
      </c>
      <c r="I35" s="5">
        <f t="shared" si="5"/>
        <v>0</v>
      </c>
      <c r="J35" s="37">
        <f t="shared" si="1"/>
        <v>2</v>
      </c>
      <c r="O35" s="64" t="str">
        <f ca="1">IF(ROWS($1:20)&gt;COUNT(Dong),"",OFFSET('141-BH'!A$1,SMALL(Dong,ROWS($1:20)),))</f>
        <v/>
      </c>
      <c r="P35" s="64" t="str">
        <f ca="1">IF(ROWS($1:20)&gt;COUNT(Dong),"",OFFSET('141-BH'!B$1,SMALL(Dong,ROWS($1:20)),))</f>
        <v/>
      </c>
      <c r="Q35" s="102" t="str">
        <f ca="1">IF(ROWS($1:20)&gt;COUNT(Dong),"",OFFSET('141-BH'!D$1,SMALL(Dong,ROWS($1:20)),))</f>
        <v/>
      </c>
      <c r="R35" s="64" t="str">
        <f ca="1">IF(ROWS($1:20)&gt;COUNT(Dong),"",OFFSET('141-BH'!E$1,SMALL(Dong,ROWS($1:20)),))</f>
        <v/>
      </c>
      <c r="S35" s="95" t="str">
        <f ca="1">IF(ROWS($1:20)&gt;COUNT(Dong),"",OFFSET('141-BH'!F$1,SMALL(Dong,ROWS($1:20)),))</f>
        <v/>
      </c>
      <c r="T35" s="95" t="str">
        <f ca="1">IF(ROWS($1:20)&gt;COUNT(Dong),"",OFFSET('141-BH'!G$1,SMALL(Dong,ROWS($1:20)),))</f>
        <v/>
      </c>
      <c r="U35" s="146" t="str">
        <f ca="1">IF(IF(ROWS($1:20)&gt;COUNT(Dong),"",OFFSET('141-BH'!K$1,SMALL(Dong,ROWS($1:20)),))=0,"",IF(ROWS($1:20)&gt;COUNT(Dong),"",OFFSET('141-BH'!K$1,SMALL(Dong,ROWS($1:20)),)))</f>
        <v/>
      </c>
    </row>
    <row r="36" spans="1:21" ht="19.5" customHeight="1">
      <c r="A36" s="14">
        <v>42040</v>
      </c>
      <c r="B36" s="24" t="s">
        <v>54</v>
      </c>
      <c r="C36" s="14">
        <f t="shared" si="0"/>
        <v>42040</v>
      </c>
      <c r="D36" s="17" t="s">
        <v>44</v>
      </c>
      <c r="E36" s="38" t="s">
        <v>45</v>
      </c>
      <c r="F36" s="9">
        <v>650000000</v>
      </c>
      <c r="G36" s="20"/>
      <c r="H36" s="5">
        <f t="shared" si="4"/>
        <v>1256510000</v>
      </c>
      <c r="I36" s="5">
        <f t="shared" si="5"/>
        <v>0</v>
      </c>
      <c r="J36" s="37">
        <f t="shared" si="1"/>
        <v>2</v>
      </c>
      <c r="O36" s="64" t="str">
        <f ca="1">IF(ROWS($1:21)&gt;COUNT(Dong),"",OFFSET('141-BH'!A$1,SMALL(Dong,ROWS($1:21)),))</f>
        <v/>
      </c>
      <c r="P36" s="64" t="str">
        <f ca="1">IF(ROWS($1:21)&gt;COUNT(Dong),"",OFFSET('141-BH'!B$1,SMALL(Dong,ROWS($1:21)),))</f>
        <v/>
      </c>
      <c r="Q36" s="102" t="str">
        <f ca="1">IF(ROWS($1:21)&gt;COUNT(Dong),"",OFFSET('141-BH'!D$1,SMALL(Dong,ROWS($1:21)),))</f>
        <v/>
      </c>
      <c r="R36" s="64" t="str">
        <f ca="1">IF(ROWS($1:21)&gt;COUNT(Dong),"",OFFSET('141-BH'!E$1,SMALL(Dong,ROWS($1:21)),))</f>
        <v/>
      </c>
      <c r="S36" s="95" t="str">
        <f ca="1">IF(ROWS($1:21)&gt;COUNT(Dong),"",OFFSET('141-BH'!F$1,SMALL(Dong,ROWS($1:21)),))</f>
        <v/>
      </c>
      <c r="T36" s="95" t="str">
        <f ca="1">IF(ROWS($1:21)&gt;COUNT(Dong),"",OFFSET('141-BH'!G$1,SMALL(Dong,ROWS($1:21)),))</f>
        <v/>
      </c>
      <c r="U36" s="146" t="str">
        <f ca="1">IF(IF(ROWS($1:21)&gt;COUNT(Dong),"",OFFSET('141-BH'!K$1,SMALL(Dong,ROWS($1:21)),))=0,"",IF(ROWS($1:21)&gt;COUNT(Dong),"",OFFSET('141-BH'!K$1,SMALL(Dong,ROWS($1:21)),)))</f>
        <v/>
      </c>
    </row>
    <row r="37" spans="1:21" ht="19.5" customHeight="1">
      <c r="A37" s="14">
        <v>42049</v>
      </c>
      <c r="B37" s="24" t="s">
        <v>55</v>
      </c>
      <c r="C37" s="14">
        <f t="shared" si="0"/>
        <v>42049</v>
      </c>
      <c r="D37" s="17" t="s">
        <v>44</v>
      </c>
      <c r="E37" s="38" t="s">
        <v>45</v>
      </c>
      <c r="F37" s="9">
        <v>650000000</v>
      </c>
      <c r="G37" s="20"/>
      <c r="H37" s="5">
        <f t="shared" si="4"/>
        <v>1906510000</v>
      </c>
      <c r="I37" s="5">
        <f t="shared" si="5"/>
        <v>0</v>
      </c>
      <c r="J37" s="37">
        <f t="shared" si="1"/>
        <v>2</v>
      </c>
      <c r="O37" s="64" t="str">
        <f ca="1">IF(ROWS($1:22)&gt;COUNT(Dong),"",OFFSET('141-BH'!A$1,SMALL(Dong,ROWS($1:22)),))</f>
        <v/>
      </c>
      <c r="P37" s="64" t="str">
        <f ca="1">IF(ROWS($1:22)&gt;COUNT(Dong),"",OFFSET('141-BH'!B$1,SMALL(Dong,ROWS($1:22)),))</f>
        <v/>
      </c>
      <c r="Q37" s="102" t="str">
        <f ca="1">IF(ROWS($1:22)&gt;COUNT(Dong),"",OFFSET('141-BH'!D$1,SMALL(Dong,ROWS($1:22)),))</f>
        <v/>
      </c>
      <c r="R37" s="64" t="str">
        <f ca="1">IF(ROWS($1:22)&gt;COUNT(Dong),"",OFFSET('141-BH'!E$1,SMALL(Dong,ROWS($1:22)),))</f>
        <v/>
      </c>
      <c r="S37" s="95" t="str">
        <f ca="1">IF(ROWS($1:22)&gt;COUNT(Dong),"",OFFSET('141-BH'!F$1,SMALL(Dong,ROWS($1:22)),))</f>
        <v/>
      </c>
      <c r="T37" s="95" t="str">
        <f ca="1">IF(ROWS($1:22)&gt;COUNT(Dong),"",OFFSET('141-BH'!G$1,SMALL(Dong,ROWS($1:22)),))</f>
        <v/>
      </c>
      <c r="U37" s="146" t="str">
        <f ca="1">IF(IF(ROWS($1:22)&gt;COUNT(Dong),"",OFFSET('141-BH'!K$1,SMALL(Dong,ROWS($1:22)),))=0,"",IF(ROWS($1:22)&gt;COUNT(Dong),"",OFFSET('141-BH'!K$1,SMALL(Dong,ROWS($1:22)),)))</f>
        <v/>
      </c>
    </row>
    <row r="38" spans="1:21" ht="19.5" customHeight="1">
      <c r="A38" s="14">
        <v>42060</v>
      </c>
      <c r="B38" s="24" t="s">
        <v>60</v>
      </c>
      <c r="C38" s="14">
        <f t="shared" si="0"/>
        <v>42060</v>
      </c>
      <c r="D38" s="17" t="s">
        <v>44</v>
      </c>
      <c r="E38" s="38" t="s">
        <v>45</v>
      </c>
      <c r="F38" s="251">
        <v>620000000</v>
      </c>
      <c r="G38" s="20"/>
      <c r="H38" s="5">
        <f t="shared" si="4"/>
        <v>2526510000</v>
      </c>
      <c r="I38" s="5">
        <f t="shared" si="5"/>
        <v>0</v>
      </c>
      <c r="J38" s="37">
        <f t="shared" si="1"/>
        <v>2</v>
      </c>
      <c r="O38" s="64" t="str">
        <f ca="1">IF(ROWS($1:23)&gt;COUNT(Dong),"",OFFSET('141-BH'!A$1,SMALL(Dong,ROWS($1:23)),))</f>
        <v/>
      </c>
      <c r="P38" s="64" t="str">
        <f ca="1">IF(ROWS($1:23)&gt;COUNT(Dong),"",OFFSET('141-BH'!B$1,SMALL(Dong,ROWS($1:23)),))</f>
        <v/>
      </c>
      <c r="Q38" s="102" t="str">
        <f ca="1">IF(ROWS($1:23)&gt;COUNT(Dong),"",OFFSET('141-BH'!D$1,SMALL(Dong,ROWS($1:23)),))</f>
        <v/>
      </c>
      <c r="R38" s="64" t="str">
        <f ca="1">IF(ROWS($1:23)&gt;COUNT(Dong),"",OFFSET('141-BH'!E$1,SMALL(Dong,ROWS($1:23)),))</f>
        <v/>
      </c>
      <c r="S38" s="95" t="str">
        <f ca="1">IF(ROWS($1:23)&gt;COUNT(Dong),"",OFFSET('141-BH'!F$1,SMALL(Dong,ROWS($1:23)),))</f>
        <v/>
      </c>
      <c r="T38" s="95" t="str">
        <f ca="1">IF(ROWS($1:23)&gt;COUNT(Dong),"",OFFSET('141-BH'!G$1,SMALL(Dong,ROWS($1:23)),))</f>
        <v/>
      </c>
      <c r="U38" s="146" t="str">
        <f ca="1">IF(IF(ROWS($1:23)&gt;COUNT(Dong),"",OFFSET('141-BH'!K$1,SMALL(Dong,ROWS($1:23)),))=0,"",IF(ROWS($1:23)&gt;COUNT(Dong),"",OFFSET('141-BH'!K$1,SMALL(Dong,ROWS($1:23)),)))</f>
        <v/>
      </c>
    </row>
    <row r="39" spans="1:21" ht="19.5" customHeight="1">
      <c r="A39" s="11">
        <v>42063</v>
      </c>
      <c r="B39" s="18" t="s">
        <v>73</v>
      </c>
      <c r="C39" s="14">
        <f t="shared" si="0"/>
        <v>42063</v>
      </c>
      <c r="D39" s="10" t="s">
        <v>96</v>
      </c>
      <c r="E39" s="38" t="s">
        <v>42</v>
      </c>
      <c r="F39" s="9"/>
      <c r="G39" s="20">
        <v>149430000</v>
      </c>
      <c r="H39" s="5">
        <f t="shared" si="4"/>
        <v>2377080000</v>
      </c>
      <c r="I39" s="5">
        <f t="shared" si="5"/>
        <v>0</v>
      </c>
      <c r="J39" s="37">
        <f t="shared" si="1"/>
        <v>2</v>
      </c>
      <c r="K39" s="140" t="s">
        <v>168</v>
      </c>
      <c r="O39" s="64" t="str">
        <f ca="1">IF(ROWS($1:24)&gt;COUNT(Dong),"",OFFSET('141-BH'!A$1,SMALL(Dong,ROWS($1:24)),))</f>
        <v/>
      </c>
      <c r="P39" s="64" t="str">
        <f ca="1">IF(ROWS($1:24)&gt;COUNT(Dong),"",OFFSET('141-BH'!B$1,SMALL(Dong,ROWS($1:24)),))</f>
        <v/>
      </c>
      <c r="Q39" s="102" t="str">
        <f ca="1">IF(ROWS($1:24)&gt;COUNT(Dong),"",OFFSET('141-BH'!D$1,SMALL(Dong,ROWS($1:24)),))</f>
        <v/>
      </c>
      <c r="R39" s="64" t="str">
        <f ca="1">IF(ROWS($1:24)&gt;COUNT(Dong),"",OFFSET('141-BH'!E$1,SMALL(Dong,ROWS($1:24)),))</f>
        <v/>
      </c>
      <c r="S39" s="95" t="str">
        <f ca="1">IF(ROWS($1:24)&gt;COUNT(Dong),"",OFFSET('141-BH'!F$1,SMALL(Dong,ROWS($1:24)),))</f>
        <v/>
      </c>
      <c r="T39" s="95" t="str">
        <f ca="1">IF(ROWS($1:24)&gt;COUNT(Dong),"",OFFSET('141-BH'!G$1,SMALL(Dong,ROWS($1:24)),))</f>
        <v/>
      </c>
      <c r="U39" s="146" t="str">
        <f ca="1">IF(IF(ROWS($1:24)&gt;COUNT(Dong),"",OFFSET('141-BH'!K$1,SMALL(Dong,ROWS($1:24)),))=0,"",IF(ROWS($1:24)&gt;COUNT(Dong),"",OFFSET('141-BH'!K$1,SMALL(Dong,ROWS($1:24)),)))</f>
        <v/>
      </c>
    </row>
    <row r="40" spans="1:21" ht="19.5" customHeight="1">
      <c r="A40" s="11">
        <v>42063</v>
      </c>
      <c r="B40" s="18" t="s">
        <v>73</v>
      </c>
      <c r="C40" s="14">
        <f t="shared" si="0"/>
        <v>42063</v>
      </c>
      <c r="D40" s="17" t="s">
        <v>29</v>
      </c>
      <c r="E40" s="38" t="s">
        <v>42</v>
      </c>
      <c r="F40" s="20"/>
      <c r="G40" s="9">
        <v>151215000</v>
      </c>
      <c r="H40" s="5">
        <f t="shared" si="4"/>
        <v>2225865000</v>
      </c>
      <c r="I40" s="5">
        <f t="shared" si="5"/>
        <v>0</v>
      </c>
      <c r="J40" s="37">
        <f t="shared" si="1"/>
        <v>2</v>
      </c>
      <c r="K40" s="140" t="s">
        <v>169</v>
      </c>
      <c r="O40" s="64" t="str">
        <f ca="1">IF(ROWS($1:25)&gt;COUNT(Dong),"",OFFSET('141-BH'!A$1,SMALL(Dong,ROWS($1:25)),))</f>
        <v/>
      </c>
      <c r="P40" s="64" t="str">
        <f ca="1">IF(ROWS($1:25)&gt;COUNT(Dong),"",OFFSET('141-BH'!B$1,SMALL(Dong,ROWS($1:25)),))</f>
        <v/>
      </c>
      <c r="Q40" s="102" t="str">
        <f ca="1">IF(ROWS($1:25)&gt;COUNT(Dong),"",OFFSET('141-BH'!D$1,SMALL(Dong,ROWS($1:25)),))</f>
        <v/>
      </c>
      <c r="R40" s="64" t="str">
        <f ca="1">IF(ROWS($1:25)&gt;COUNT(Dong),"",OFFSET('141-BH'!E$1,SMALL(Dong,ROWS($1:25)),))</f>
        <v/>
      </c>
      <c r="S40" s="95" t="str">
        <f ca="1">IF(ROWS($1:25)&gt;COUNT(Dong),"",OFFSET('141-BH'!F$1,SMALL(Dong,ROWS($1:25)),))</f>
        <v/>
      </c>
      <c r="T40" s="95" t="str">
        <f ca="1">IF(ROWS($1:25)&gt;COUNT(Dong),"",OFFSET('141-BH'!G$1,SMALL(Dong,ROWS($1:25)),))</f>
        <v/>
      </c>
      <c r="U40" s="146" t="str">
        <f ca="1">IF(IF(ROWS($1:25)&gt;COUNT(Dong),"",OFFSET('141-BH'!K$1,SMALL(Dong,ROWS($1:25)),))=0,"",IF(ROWS($1:25)&gt;COUNT(Dong),"",OFFSET('141-BH'!K$1,SMALL(Dong,ROWS($1:25)),)))</f>
        <v/>
      </c>
    </row>
    <row r="41" spans="1:21" ht="19.5" customHeight="1">
      <c r="A41" s="11">
        <v>42063</v>
      </c>
      <c r="B41" s="18" t="s">
        <v>73</v>
      </c>
      <c r="C41" s="14">
        <f t="shared" si="0"/>
        <v>42063</v>
      </c>
      <c r="D41" s="17" t="s">
        <v>30</v>
      </c>
      <c r="E41" s="38" t="s">
        <v>42</v>
      </c>
      <c r="F41" s="9"/>
      <c r="G41" s="20">
        <v>280984500</v>
      </c>
      <c r="H41" s="5">
        <f t="shared" si="4"/>
        <v>1944880500</v>
      </c>
      <c r="I41" s="5">
        <f t="shared" si="5"/>
        <v>0</v>
      </c>
      <c r="J41" s="37">
        <f t="shared" si="1"/>
        <v>2</v>
      </c>
      <c r="K41" s="140" t="s">
        <v>171</v>
      </c>
      <c r="O41" s="64" t="str">
        <f ca="1">IF(ROWS($1:26)&gt;COUNT(Dong),"",OFFSET('141-BH'!A$1,SMALL(Dong,ROWS($1:26)),))</f>
        <v/>
      </c>
      <c r="P41" s="64" t="str">
        <f ca="1">IF(ROWS($1:26)&gt;COUNT(Dong),"",OFFSET('141-BH'!B$1,SMALL(Dong,ROWS($1:26)),))</f>
        <v/>
      </c>
      <c r="Q41" s="102" t="str">
        <f ca="1">IF(ROWS($1:26)&gt;COUNT(Dong),"",OFFSET('141-BH'!D$1,SMALL(Dong,ROWS($1:26)),))</f>
        <v/>
      </c>
      <c r="R41" s="64" t="str">
        <f ca="1">IF(ROWS($1:26)&gt;COUNT(Dong),"",OFFSET('141-BH'!E$1,SMALL(Dong,ROWS($1:26)),))</f>
        <v/>
      </c>
      <c r="S41" s="95" t="str">
        <f ca="1">IF(ROWS($1:26)&gt;COUNT(Dong),"",OFFSET('141-BH'!F$1,SMALL(Dong,ROWS($1:26)),))</f>
        <v/>
      </c>
      <c r="T41" s="95" t="str">
        <f ca="1">IF(ROWS($1:26)&gt;COUNT(Dong),"",OFFSET('141-BH'!G$1,SMALL(Dong,ROWS($1:26)),))</f>
        <v/>
      </c>
      <c r="U41" s="146" t="str">
        <f ca="1">IF(IF(ROWS($1:26)&gt;COUNT(Dong),"",OFFSET('141-BH'!K$1,SMALL(Dong,ROWS($1:26)),))=0,"",IF(ROWS($1:26)&gt;COUNT(Dong),"",OFFSET('141-BH'!K$1,SMALL(Dong,ROWS($1:26)),)))</f>
        <v/>
      </c>
    </row>
    <row r="42" spans="1:21" ht="19.5" customHeight="1">
      <c r="A42" s="11">
        <v>42063</v>
      </c>
      <c r="B42" s="18" t="s">
        <v>73</v>
      </c>
      <c r="C42" s="14">
        <f t="shared" si="0"/>
        <v>42063</v>
      </c>
      <c r="D42" s="17" t="s">
        <v>32</v>
      </c>
      <c r="E42" s="38" t="s">
        <v>42</v>
      </c>
      <c r="F42" s="9"/>
      <c r="G42" s="20">
        <v>287130000</v>
      </c>
      <c r="H42" s="5">
        <f t="shared" si="4"/>
        <v>1657750500</v>
      </c>
      <c r="I42" s="5">
        <f t="shared" si="5"/>
        <v>0</v>
      </c>
      <c r="J42" s="37">
        <f t="shared" si="1"/>
        <v>2</v>
      </c>
      <c r="K42" s="140" t="s">
        <v>172</v>
      </c>
      <c r="O42" s="64" t="str">
        <f ca="1">IF(ROWS($1:27)&gt;COUNT(Dong),"",OFFSET('141-BH'!A$1,SMALL(Dong,ROWS($1:27)),))</f>
        <v/>
      </c>
      <c r="P42" s="64" t="str">
        <f ca="1">IF(ROWS($1:27)&gt;COUNT(Dong),"",OFFSET('141-BH'!B$1,SMALL(Dong,ROWS($1:27)),))</f>
        <v/>
      </c>
      <c r="Q42" s="102" t="str">
        <f ca="1">IF(ROWS($1:27)&gt;COUNT(Dong),"",OFFSET('141-BH'!D$1,SMALL(Dong,ROWS($1:27)),))</f>
        <v/>
      </c>
      <c r="R42" s="64" t="str">
        <f ca="1">IF(ROWS($1:27)&gt;COUNT(Dong),"",OFFSET('141-BH'!E$1,SMALL(Dong,ROWS($1:27)),))</f>
        <v/>
      </c>
      <c r="S42" s="95" t="str">
        <f ca="1">IF(ROWS($1:27)&gt;COUNT(Dong),"",OFFSET('141-BH'!F$1,SMALL(Dong,ROWS($1:27)),))</f>
        <v/>
      </c>
      <c r="T42" s="95" t="str">
        <f ca="1">IF(ROWS($1:27)&gt;COUNT(Dong),"",OFFSET('141-BH'!G$1,SMALL(Dong,ROWS($1:27)),))</f>
        <v/>
      </c>
      <c r="U42" s="146" t="str">
        <f ca="1">IF(IF(ROWS($1:27)&gt;COUNT(Dong),"",OFFSET('141-BH'!K$1,SMALL(Dong,ROWS($1:27)),))=0,"",IF(ROWS($1:27)&gt;COUNT(Dong),"",OFFSET('141-BH'!K$1,SMALL(Dong,ROWS($1:27)),)))</f>
        <v/>
      </c>
    </row>
    <row r="43" spans="1:21" ht="19.5" customHeight="1">
      <c r="A43" s="11">
        <v>42063</v>
      </c>
      <c r="B43" s="18" t="s">
        <v>73</v>
      </c>
      <c r="C43" s="14">
        <f t="shared" si="0"/>
        <v>42063</v>
      </c>
      <c r="D43" s="17" t="s">
        <v>51</v>
      </c>
      <c r="E43" s="38" t="s">
        <v>42</v>
      </c>
      <c r="F43" s="20"/>
      <c r="G43" s="9">
        <v>139893000</v>
      </c>
      <c r="H43" s="5">
        <f t="shared" si="4"/>
        <v>1517857500</v>
      </c>
      <c r="I43" s="5">
        <f t="shared" si="5"/>
        <v>0</v>
      </c>
      <c r="J43" s="37">
        <f t="shared" si="1"/>
        <v>2</v>
      </c>
      <c r="K43" s="140" t="s">
        <v>173</v>
      </c>
      <c r="O43" s="64" t="str">
        <f ca="1">IF(ROWS($1:28)&gt;COUNT(Dong),"",OFFSET('141-BH'!A$1,SMALL(Dong,ROWS($1:28)),))</f>
        <v/>
      </c>
      <c r="P43" s="64" t="str">
        <f ca="1">IF(ROWS($1:28)&gt;COUNT(Dong),"",OFFSET('141-BH'!B$1,SMALL(Dong,ROWS($1:28)),))</f>
        <v/>
      </c>
      <c r="Q43" s="102" t="str">
        <f ca="1">IF(ROWS($1:28)&gt;COUNT(Dong),"",OFFSET('141-BH'!D$1,SMALL(Dong,ROWS($1:28)),))</f>
        <v/>
      </c>
      <c r="R43" s="64" t="str">
        <f ca="1">IF(ROWS($1:28)&gt;COUNT(Dong),"",OFFSET('141-BH'!E$1,SMALL(Dong,ROWS($1:28)),))</f>
        <v/>
      </c>
      <c r="S43" s="95" t="str">
        <f ca="1">IF(ROWS($1:28)&gt;COUNT(Dong),"",OFFSET('141-BH'!F$1,SMALL(Dong,ROWS($1:28)),))</f>
        <v/>
      </c>
      <c r="T43" s="95" t="str">
        <f ca="1">IF(ROWS($1:28)&gt;COUNT(Dong),"",OFFSET('141-BH'!G$1,SMALL(Dong,ROWS($1:28)),))</f>
        <v/>
      </c>
      <c r="U43" s="146" t="str">
        <f ca="1">IF(IF(ROWS($1:28)&gt;COUNT(Dong),"",OFFSET('141-BH'!K$1,SMALL(Dong,ROWS($1:28)),))=0,"",IF(ROWS($1:28)&gt;COUNT(Dong),"",OFFSET('141-BH'!K$1,SMALL(Dong,ROWS($1:28)),)))</f>
        <v/>
      </c>
    </row>
    <row r="44" spans="1:21" ht="19.5" customHeight="1">
      <c r="A44" s="11">
        <v>42063</v>
      </c>
      <c r="B44" s="18" t="s">
        <v>73</v>
      </c>
      <c r="C44" s="14">
        <f t="shared" si="0"/>
        <v>42063</v>
      </c>
      <c r="D44" s="17" t="s">
        <v>98</v>
      </c>
      <c r="E44" s="38" t="s">
        <v>42</v>
      </c>
      <c r="F44" s="9"/>
      <c r="G44" s="20">
        <v>144585000</v>
      </c>
      <c r="H44" s="5">
        <f t="shared" si="4"/>
        <v>1373272500</v>
      </c>
      <c r="I44" s="5">
        <f t="shared" si="5"/>
        <v>0</v>
      </c>
      <c r="J44" s="37">
        <f t="shared" si="1"/>
        <v>2</v>
      </c>
      <c r="K44" s="140" t="s">
        <v>174</v>
      </c>
      <c r="O44" s="64" t="str">
        <f ca="1">IF(ROWS($1:29)&gt;COUNT(Dong),"",OFFSET('141-BH'!A$1,SMALL(Dong,ROWS($1:29)),))</f>
        <v/>
      </c>
      <c r="P44" s="64" t="str">
        <f ca="1">IF(ROWS($1:29)&gt;COUNT(Dong),"",OFFSET('141-BH'!B$1,SMALL(Dong,ROWS($1:29)),))</f>
        <v/>
      </c>
      <c r="Q44" s="102" t="str">
        <f ca="1">IF(ROWS($1:29)&gt;COUNT(Dong),"",OFFSET('141-BH'!D$1,SMALL(Dong,ROWS($1:29)),))</f>
        <v/>
      </c>
      <c r="R44" s="64" t="str">
        <f ca="1">IF(ROWS($1:29)&gt;COUNT(Dong),"",OFFSET('141-BH'!E$1,SMALL(Dong,ROWS($1:29)),))</f>
        <v/>
      </c>
      <c r="S44" s="95" t="str">
        <f ca="1">IF(ROWS($1:29)&gt;COUNT(Dong),"",OFFSET('141-BH'!F$1,SMALL(Dong,ROWS($1:29)),))</f>
        <v/>
      </c>
      <c r="T44" s="95" t="str">
        <f ca="1">IF(ROWS($1:29)&gt;COUNT(Dong),"",OFFSET('141-BH'!G$1,SMALL(Dong,ROWS($1:29)),))</f>
        <v/>
      </c>
      <c r="U44" s="146" t="str">
        <f ca="1">IF(IF(ROWS($1:29)&gt;COUNT(Dong),"",OFFSET('141-BH'!K$1,SMALL(Dong,ROWS($1:29)),))=0,"",IF(ROWS($1:29)&gt;COUNT(Dong),"",OFFSET('141-BH'!K$1,SMALL(Dong,ROWS($1:29)),)))</f>
        <v/>
      </c>
    </row>
    <row r="45" spans="1:21" ht="19.5" customHeight="1">
      <c r="A45" s="11">
        <v>42063</v>
      </c>
      <c r="B45" s="18" t="s">
        <v>73</v>
      </c>
      <c r="C45" s="14">
        <f t="shared" si="0"/>
        <v>42063</v>
      </c>
      <c r="D45" s="17" t="s">
        <v>99</v>
      </c>
      <c r="E45" s="38" t="s">
        <v>42</v>
      </c>
      <c r="F45" s="9"/>
      <c r="G45" s="20">
        <v>176410000</v>
      </c>
      <c r="H45" s="5">
        <f t="shared" si="4"/>
        <v>1196862500</v>
      </c>
      <c r="I45" s="5">
        <f t="shared" si="5"/>
        <v>0</v>
      </c>
      <c r="J45" s="37">
        <f t="shared" si="1"/>
        <v>2</v>
      </c>
      <c r="K45" s="140" t="s">
        <v>175</v>
      </c>
      <c r="O45" s="64" t="str">
        <f ca="1">IF(ROWS($1:30)&gt;COUNT(Dong),"",OFFSET('141-BH'!A$1,SMALL(Dong,ROWS($1:30)),))</f>
        <v/>
      </c>
      <c r="P45" s="64" t="str">
        <f ca="1">IF(ROWS($1:30)&gt;COUNT(Dong),"",OFFSET('141-BH'!B$1,SMALL(Dong,ROWS($1:30)),))</f>
        <v/>
      </c>
      <c r="Q45" s="102" t="str">
        <f ca="1">IF(ROWS($1:30)&gt;COUNT(Dong),"",OFFSET('141-BH'!D$1,SMALL(Dong,ROWS($1:30)),))</f>
        <v/>
      </c>
      <c r="R45" s="64" t="str">
        <f ca="1">IF(ROWS($1:30)&gt;COUNT(Dong),"",OFFSET('141-BH'!E$1,SMALL(Dong,ROWS($1:30)),))</f>
        <v/>
      </c>
      <c r="S45" s="95" t="str">
        <f ca="1">IF(ROWS($1:30)&gt;COUNT(Dong),"",OFFSET('141-BH'!F$1,SMALL(Dong,ROWS($1:30)),))</f>
        <v/>
      </c>
      <c r="T45" s="95" t="str">
        <f ca="1">IF(ROWS($1:30)&gt;COUNT(Dong),"",OFFSET('141-BH'!G$1,SMALL(Dong,ROWS($1:30)),))</f>
        <v/>
      </c>
      <c r="U45" s="146" t="str">
        <f ca="1">IF(IF(ROWS($1:30)&gt;COUNT(Dong),"",OFFSET('141-BH'!K$1,SMALL(Dong,ROWS($1:30)),))=0,"",IF(ROWS($1:30)&gt;COUNT(Dong),"",OFFSET('141-BH'!K$1,SMALL(Dong,ROWS($1:30)),)))</f>
        <v/>
      </c>
    </row>
    <row r="46" spans="1:21" ht="19.5" customHeight="1">
      <c r="A46" s="11">
        <v>42063</v>
      </c>
      <c r="B46" s="18" t="s">
        <v>73</v>
      </c>
      <c r="C46" s="14">
        <f t="shared" si="0"/>
        <v>42063</v>
      </c>
      <c r="D46" s="17" t="s">
        <v>47</v>
      </c>
      <c r="E46" s="38" t="s">
        <v>42</v>
      </c>
      <c r="F46" s="9"/>
      <c r="G46" s="20">
        <v>176203500</v>
      </c>
      <c r="H46" s="5">
        <f t="shared" si="4"/>
        <v>1020659000</v>
      </c>
      <c r="I46" s="5">
        <f t="shared" si="5"/>
        <v>0</v>
      </c>
      <c r="J46" s="37">
        <f t="shared" si="1"/>
        <v>2</v>
      </c>
      <c r="K46" s="140" t="s">
        <v>176</v>
      </c>
      <c r="O46" s="64" t="str">
        <f ca="1">IF(ROWS($1:31)&gt;COUNT(Dong),"",OFFSET('141-BH'!A$1,SMALL(Dong,ROWS($1:31)),))</f>
        <v/>
      </c>
      <c r="P46" s="64" t="str">
        <f ca="1">IF(ROWS($1:31)&gt;COUNT(Dong),"",OFFSET('141-BH'!B$1,SMALL(Dong,ROWS($1:31)),))</f>
        <v/>
      </c>
      <c r="Q46" s="102" t="str">
        <f ca="1">IF(ROWS($1:31)&gt;COUNT(Dong),"",OFFSET('141-BH'!D$1,SMALL(Dong,ROWS($1:31)),))</f>
        <v/>
      </c>
      <c r="R46" s="64" t="str">
        <f ca="1">IF(ROWS($1:31)&gt;COUNT(Dong),"",OFFSET('141-BH'!E$1,SMALL(Dong,ROWS($1:31)),))</f>
        <v/>
      </c>
      <c r="S46" s="95" t="str">
        <f ca="1">IF(ROWS($1:31)&gt;COUNT(Dong),"",OFFSET('141-BH'!F$1,SMALL(Dong,ROWS($1:31)),))</f>
        <v/>
      </c>
      <c r="T46" s="95" t="str">
        <f ca="1">IF(ROWS($1:31)&gt;COUNT(Dong),"",OFFSET('141-BH'!G$1,SMALL(Dong,ROWS($1:31)),))</f>
        <v/>
      </c>
      <c r="U46" s="146" t="str">
        <f ca="1">IF(IF(ROWS($1:31)&gt;COUNT(Dong),"",OFFSET('141-BH'!K$1,SMALL(Dong,ROWS($1:31)),))=0,"",IF(ROWS($1:31)&gt;COUNT(Dong),"",OFFSET('141-BH'!K$1,SMALL(Dong,ROWS($1:31)),)))</f>
        <v/>
      </c>
    </row>
    <row r="47" spans="1:21" ht="19.5" customHeight="1">
      <c r="A47" s="11">
        <v>42063</v>
      </c>
      <c r="B47" s="18" t="s">
        <v>73</v>
      </c>
      <c r="C47" s="14">
        <f t="shared" si="0"/>
        <v>42063</v>
      </c>
      <c r="D47" s="17" t="s">
        <v>49</v>
      </c>
      <c r="E47" s="38" t="s">
        <v>42</v>
      </c>
      <c r="F47" s="9"/>
      <c r="G47" s="20">
        <v>345740000</v>
      </c>
      <c r="H47" s="5">
        <f t="shared" si="4"/>
        <v>674919000</v>
      </c>
      <c r="I47" s="5">
        <f t="shared" si="5"/>
        <v>0</v>
      </c>
      <c r="J47" s="37">
        <f t="shared" si="1"/>
        <v>2</v>
      </c>
      <c r="K47" s="140" t="s">
        <v>178</v>
      </c>
      <c r="O47" s="64" t="str">
        <f ca="1">IF(ROWS($1:32)&gt;COUNT(Dong),"",OFFSET('141-BH'!A$1,SMALL(Dong,ROWS($1:32)),))</f>
        <v/>
      </c>
      <c r="P47" s="64" t="str">
        <f ca="1">IF(ROWS($1:32)&gt;COUNT(Dong),"",OFFSET('141-BH'!B$1,SMALL(Dong,ROWS($1:32)),))</f>
        <v/>
      </c>
      <c r="Q47" s="102" t="str">
        <f ca="1">IF(ROWS($1:32)&gt;COUNT(Dong),"",OFFSET('141-BH'!D$1,SMALL(Dong,ROWS($1:32)),))</f>
        <v/>
      </c>
      <c r="R47" s="64" t="str">
        <f ca="1">IF(ROWS($1:32)&gt;COUNT(Dong),"",OFFSET('141-BH'!E$1,SMALL(Dong,ROWS($1:32)),))</f>
        <v/>
      </c>
      <c r="S47" s="95" t="str">
        <f ca="1">IF(ROWS($1:32)&gt;COUNT(Dong),"",OFFSET('141-BH'!F$1,SMALL(Dong,ROWS($1:32)),))</f>
        <v/>
      </c>
      <c r="T47" s="95" t="str">
        <f ca="1">IF(ROWS($1:32)&gt;COUNT(Dong),"",OFFSET('141-BH'!G$1,SMALL(Dong,ROWS($1:32)),))</f>
        <v/>
      </c>
      <c r="U47" s="146" t="str">
        <f ca="1">IF(IF(ROWS($1:32)&gt;COUNT(Dong),"",OFFSET('141-BH'!K$1,SMALL(Dong,ROWS($1:32)),))=0,"",IF(ROWS($1:32)&gt;COUNT(Dong),"",OFFSET('141-BH'!K$1,SMALL(Dong,ROWS($1:32)),)))</f>
        <v/>
      </c>
    </row>
    <row r="48" spans="1:21" s="53" customFormat="1" ht="19.5" customHeight="1">
      <c r="A48" s="11">
        <v>42063</v>
      </c>
      <c r="B48" s="18" t="s">
        <v>73</v>
      </c>
      <c r="C48" s="14">
        <f t="shared" si="0"/>
        <v>42063</v>
      </c>
      <c r="D48" s="17" t="s">
        <v>46</v>
      </c>
      <c r="E48" s="38" t="s">
        <v>42</v>
      </c>
      <c r="F48" s="9"/>
      <c r="G48" s="20">
        <v>349398000</v>
      </c>
      <c r="H48" s="5">
        <f t="shared" si="4"/>
        <v>325521000</v>
      </c>
      <c r="I48" s="5">
        <f t="shared" si="5"/>
        <v>0</v>
      </c>
      <c r="J48" s="37">
        <f t="shared" ref="J48:J63" si="6">IF(A48&lt;&gt;"",MONTH(A48),"")</f>
        <v>2</v>
      </c>
      <c r="K48" s="140" t="s">
        <v>187</v>
      </c>
      <c r="O48" s="64" t="str">
        <f ca="1">IF(ROWS($1:33)&gt;COUNT(Dong),"",OFFSET('141-BH'!A$1,SMALL(Dong,ROWS($1:33)),))</f>
        <v/>
      </c>
      <c r="P48" s="64" t="str">
        <f ca="1">IF(ROWS($1:33)&gt;COUNT(Dong),"",OFFSET('141-BH'!B$1,SMALL(Dong,ROWS($1:33)),))</f>
        <v/>
      </c>
      <c r="Q48" s="102" t="str">
        <f ca="1">IF(ROWS($1:33)&gt;COUNT(Dong),"",OFFSET('141-BH'!D$1,SMALL(Dong,ROWS($1:33)),))</f>
        <v/>
      </c>
      <c r="R48" s="64" t="str">
        <f ca="1">IF(ROWS($1:33)&gt;COUNT(Dong),"",OFFSET('141-BH'!E$1,SMALL(Dong,ROWS($1:33)),))</f>
        <v/>
      </c>
      <c r="S48" s="95" t="str">
        <f ca="1">IF(ROWS($1:33)&gt;COUNT(Dong),"",OFFSET('141-BH'!F$1,SMALL(Dong,ROWS($1:33)),))</f>
        <v/>
      </c>
      <c r="T48" s="95" t="str">
        <f ca="1">IF(ROWS($1:33)&gt;COUNT(Dong),"",OFFSET('141-BH'!G$1,SMALL(Dong,ROWS($1:33)),))</f>
        <v/>
      </c>
      <c r="U48" s="146" t="str">
        <f ca="1">IF(IF(ROWS($1:33)&gt;COUNT(Dong),"",OFFSET('141-BH'!K$1,SMALL(Dong,ROWS($1:33)),))=0,"",IF(ROWS($1:33)&gt;COUNT(Dong),"",OFFSET('141-BH'!K$1,SMALL(Dong,ROWS($1:33)),)))</f>
        <v/>
      </c>
    </row>
    <row r="49" spans="1:21" ht="19.5" customHeight="1">
      <c r="A49" s="11">
        <v>42063</v>
      </c>
      <c r="B49" s="18" t="s">
        <v>73</v>
      </c>
      <c r="C49" s="14">
        <f t="shared" si="0"/>
        <v>42063</v>
      </c>
      <c r="D49" s="17" t="s">
        <v>105</v>
      </c>
      <c r="E49" s="38" t="s">
        <v>42</v>
      </c>
      <c r="F49" s="9"/>
      <c r="G49" s="20">
        <v>149948500</v>
      </c>
      <c r="H49" s="5">
        <f t="shared" si="4"/>
        <v>175572500</v>
      </c>
      <c r="I49" s="5">
        <f t="shared" si="5"/>
        <v>0</v>
      </c>
      <c r="J49" s="37">
        <f t="shared" si="6"/>
        <v>2</v>
      </c>
      <c r="K49" s="140" t="s">
        <v>188</v>
      </c>
      <c r="O49" s="64" t="str">
        <f ca="1">IF(ROWS($1:34)&gt;COUNT(Dong),"",OFFSET('141-BH'!A$1,SMALL(Dong,ROWS($1:34)),))</f>
        <v/>
      </c>
      <c r="P49" s="64" t="str">
        <f ca="1">IF(ROWS($1:34)&gt;COUNT(Dong),"",OFFSET('141-BH'!B$1,SMALL(Dong,ROWS($1:34)),))</f>
        <v/>
      </c>
      <c r="Q49" s="102" t="str">
        <f ca="1">IF(ROWS($1:34)&gt;COUNT(Dong),"",OFFSET('141-BH'!D$1,SMALL(Dong,ROWS($1:34)),))</f>
        <v/>
      </c>
      <c r="R49" s="64" t="str">
        <f ca="1">IF(ROWS($1:34)&gt;COUNT(Dong),"",OFFSET('141-BH'!E$1,SMALL(Dong,ROWS($1:34)),))</f>
        <v/>
      </c>
      <c r="S49" s="95" t="str">
        <f ca="1">IF(ROWS($1:34)&gt;COUNT(Dong),"",OFFSET('141-BH'!F$1,SMALL(Dong,ROWS($1:34)),))</f>
        <v/>
      </c>
      <c r="T49" s="95" t="str">
        <f ca="1">IF(ROWS($1:34)&gt;COUNT(Dong),"",OFFSET('141-BH'!G$1,SMALL(Dong,ROWS($1:34)),))</f>
        <v/>
      </c>
      <c r="U49" s="146" t="str">
        <f ca="1">IF(IF(ROWS($1:34)&gt;COUNT(Dong),"",OFFSET('141-BH'!K$1,SMALL(Dong,ROWS($1:34)),))=0,"",IF(ROWS($1:34)&gt;COUNT(Dong),"",OFFSET('141-BH'!K$1,SMALL(Dong,ROWS($1:34)),)))</f>
        <v/>
      </c>
    </row>
    <row r="50" spans="1:21" ht="19.5" customHeight="1">
      <c r="A50" s="11">
        <v>42063</v>
      </c>
      <c r="B50" s="18" t="s">
        <v>73</v>
      </c>
      <c r="C50" s="14">
        <f t="shared" si="0"/>
        <v>42063</v>
      </c>
      <c r="D50" s="17" t="s">
        <v>50</v>
      </c>
      <c r="E50" s="38" t="s">
        <v>42</v>
      </c>
      <c r="F50" s="9"/>
      <c r="G50" s="20">
        <v>173076500</v>
      </c>
      <c r="H50" s="5">
        <f t="shared" si="4"/>
        <v>2496000</v>
      </c>
      <c r="I50" s="5">
        <f t="shared" si="5"/>
        <v>0</v>
      </c>
      <c r="J50" s="37">
        <f t="shared" si="6"/>
        <v>2</v>
      </c>
      <c r="K50" s="140" t="s">
        <v>189</v>
      </c>
      <c r="O50" s="103" t="str">
        <f ca="1">IF(ROWS($1:35)&gt;COUNT(Dong),"",OFFSET('141-BH'!A$1,SMALL(Dong,ROWS($1:35)),))</f>
        <v/>
      </c>
      <c r="P50" s="103" t="str">
        <f ca="1">IF(ROWS($1:35)&gt;COUNT(Dong),"",OFFSET('141-BH'!B$1,SMALL(Dong,ROWS($1:35)),))</f>
        <v/>
      </c>
      <c r="Q50" s="104" t="str">
        <f ca="1">IF(ROWS($1:35)&gt;COUNT(Dong),"",OFFSET('141-BH'!D$1,SMALL(Dong,ROWS($1:35)),))</f>
        <v/>
      </c>
      <c r="R50" s="103" t="str">
        <f ca="1">IF(ROWS($1:35)&gt;COUNT(Dong),"",OFFSET('141-BH'!E$1,SMALL(Dong,ROWS($1:35)),))</f>
        <v/>
      </c>
      <c r="S50" s="105" t="str">
        <f ca="1">IF(ROWS($1:35)&gt;COUNT(Dong),"",OFFSET('141-BH'!F$1,SMALL(Dong,ROWS($1:35)),))</f>
        <v/>
      </c>
      <c r="T50" s="95" t="str">
        <f ca="1">IF(ROWS($1:35)&gt;COUNT(Dong),"",OFFSET('141-BH'!G$1,SMALL(Dong,ROWS($1:35)),))</f>
        <v/>
      </c>
      <c r="U50" s="146" t="str">
        <f ca="1">IF(IF(ROWS($1:35)&gt;COUNT(Dong),"",OFFSET('141-BH'!K$1,SMALL(Dong,ROWS($1:35)),))=0,"",IF(ROWS($1:35)&gt;COUNT(Dong),"",OFFSET('141-BH'!K$1,SMALL(Dong,ROWS($1:35)),)))</f>
        <v/>
      </c>
    </row>
    <row r="51" spans="1:21" ht="19.5" customHeight="1">
      <c r="A51" s="11">
        <v>42065</v>
      </c>
      <c r="B51" s="39" t="s">
        <v>219</v>
      </c>
      <c r="C51" s="14">
        <f t="shared" si="0"/>
        <v>42065</v>
      </c>
      <c r="D51" s="17" t="s">
        <v>44</v>
      </c>
      <c r="E51" s="38" t="s">
        <v>45</v>
      </c>
      <c r="F51" s="4">
        <v>350000000</v>
      </c>
      <c r="G51" s="5"/>
      <c r="H51" s="5">
        <f t="shared" si="4"/>
        <v>352496000</v>
      </c>
      <c r="I51" s="5">
        <f t="shared" si="5"/>
        <v>0</v>
      </c>
      <c r="J51" s="37">
        <f t="shared" si="6"/>
        <v>3</v>
      </c>
      <c r="O51" s="51"/>
      <c r="P51" s="106"/>
      <c r="Q51" s="107"/>
      <c r="R51" s="19"/>
      <c r="S51" s="108"/>
      <c r="T51" s="62"/>
    </row>
    <row r="52" spans="1:21" ht="19.5" customHeight="1">
      <c r="A52" s="14">
        <v>42068</v>
      </c>
      <c r="B52" s="24" t="s">
        <v>57</v>
      </c>
      <c r="C52" s="14">
        <f t="shared" si="0"/>
        <v>42068</v>
      </c>
      <c r="D52" s="17" t="s">
        <v>44</v>
      </c>
      <c r="E52" s="38" t="s">
        <v>45</v>
      </c>
      <c r="F52" s="252">
        <v>300000000</v>
      </c>
      <c r="G52" s="20"/>
      <c r="H52" s="5">
        <f t="shared" si="4"/>
        <v>652496000</v>
      </c>
      <c r="I52" s="5">
        <f t="shared" si="5"/>
        <v>0</v>
      </c>
      <c r="J52" s="37">
        <f t="shared" si="6"/>
        <v>3</v>
      </c>
      <c r="O52" s="109"/>
      <c r="P52" s="93"/>
      <c r="Q52" s="54"/>
      <c r="R52" s="110"/>
      <c r="S52" s="111"/>
      <c r="T52" s="61"/>
    </row>
    <row r="53" spans="1:21" ht="19.5" customHeight="1">
      <c r="A53" s="14">
        <v>42072</v>
      </c>
      <c r="B53" s="24" t="s">
        <v>220</v>
      </c>
      <c r="C53" s="14">
        <f t="shared" si="0"/>
        <v>42072</v>
      </c>
      <c r="D53" s="17" t="s">
        <v>44</v>
      </c>
      <c r="E53" s="38" t="s">
        <v>45</v>
      </c>
      <c r="F53" s="252">
        <v>320000000</v>
      </c>
      <c r="G53" s="20"/>
      <c r="H53" s="5">
        <f t="shared" si="4"/>
        <v>972496000</v>
      </c>
      <c r="I53" s="5">
        <f t="shared" si="5"/>
        <v>0</v>
      </c>
      <c r="J53" s="37">
        <f t="shared" si="6"/>
        <v>3</v>
      </c>
      <c r="O53" s="109"/>
      <c r="P53" s="93"/>
      <c r="Q53" s="54"/>
      <c r="R53" s="110"/>
      <c r="S53" s="112"/>
      <c r="T53" s="61"/>
    </row>
    <row r="54" spans="1:21" ht="19.5" customHeight="1">
      <c r="A54" s="14">
        <v>42094</v>
      </c>
      <c r="B54" s="18" t="s">
        <v>252</v>
      </c>
      <c r="C54" s="14">
        <f t="shared" ref="C54:C58" si="7">A54</f>
        <v>42094</v>
      </c>
      <c r="D54" s="10" t="s">
        <v>96</v>
      </c>
      <c r="E54" s="38" t="s">
        <v>42</v>
      </c>
      <c r="F54" s="9"/>
      <c r="G54" s="20">
        <v>161120000</v>
      </c>
      <c r="H54" s="5">
        <f t="shared" si="4"/>
        <v>811376000</v>
      </c>
      <c r="I54" s="5">
        <f t="shared" si="5"/>
        <v>0</v>
      </c>
      <c r="J54" s="37">
        <f t="shared" si="6"/>
        <v>3</v>
      </c>
      <c r="K54" s="140" t="s">
        <v>212</v>
      </c>
      <c r="O54" s="109"/>
      <c r="P54" s="93"/>
      <c r="Q54" s="54"/>
      <c r="R54" s="110"/>
      <c r="S54" s="111"/>
      <c r="T54" s="61"/>
    </row>
    <row r="55" spans="1:21" ht="19.5" customHeight="1">
      <c r="A55" s="14">
        <v>42094</v>
      </c>
      <c r="B55" s="18" t="s">
        <v>252</v>
      </c>
      <c r="C55" s="14">
        <f t="shared" si="7"/>
        <v>42094</v>
      </c>
      <c r="D55" s="17" t="s">
        <v>29</v>
      </c>
      <c r="E55" s="38" t="s">
        <v>42</v>
      </c>
      <c r="F55" s="9"/>
      <c r="G55" s="20">
        <v>185049500</v>
      </c>
      <c r="H55" s="5">
        <f t="shared" si="4"/>
        <v>626326500</v>
      </c>
      <c r="I55" s="5">
        <f t="shared" si="5"/>
        <v>0</v>
      </c>
      <c r="J55" s="37">
        <f t="shared" si="6"/>
        <v>3</v>
      </c>
      <c r="K55" s="140" t="s">
        <v>168</v>
      </c>
      <c r="O55" s="109"/>
      <c r="P55" s="93"/>
      <c r="Q55" s="54"/>
      <c r="R55" s="110"/>
      <c r="S55" s="111"/>
      <c r="T55" s="61"/>
    </row>
    <row r="56" spans="1:21" ht="19.5" customHeight="1">
      <c r="A56" s="14">
        <v>42094</v>
      </c>
      <c r="B56" s="18" t="s">
        <v>252</v>
      </c>
      <c r="C56" s="14">
        <f t="shared" si="7"/>
        <v>42094</v>
      </c>
      <c r="D56" s="17" t="s">
        <v>30</v>
      </c>
      <c r="E56" s="38" t="s">
        <v>42</v>
      </c>
      <c r="F56" s="9"/>
      <c r="G56" s="20">
        <v>346328500</v>
      </c>
      <c r="H56" s="5">
        <f t="shared" si="4"/>
        <v>279998000</v>
      </c>
      <c r="I56" s="5">
        <f t="shared" si="5"/>
        <v>0</v>
      </c>
      <c r="J56" s="37">
        <f t="shared" si="6"/>
        <v>3</v>
      </c>
      <c r="K56" s="140" t="s">
        <v>223</v>
      </c>
      <c r="O56" s="109"/>
      <c r="P56" s="93"/>
      <c r="Q56" s="54"/>
      <c r="R56" s="110"/>
      <c r="S56" s="111"/>
      <c r="T56" s="61"/>
    </row>
    <row r="57" spans="1:21" ht="19.5" customHeight="1">
      <c r="A57" s="14">
        <v>42094</v>
      </c>
      <c r="B57" s="18" t="s">
        <v>252</v>
      </c>
      <c r="C57" s="14">
        <f t="shared" si="7"/>
        <v>42094</v>
      </c>
      <c r="D57" s="17" t="s">
        <v>51</v>
      </c>
      <c r="E57" s="38" t="s">
        <v>42</v>
      </c>
      <c r="F57" s="9"/>
      <c r="G57" s="20">
        <v>160881500</v>
      </c>
      <c r="H57" s="5">
        <f t="shared" ref="H57:H65" si="8">MAX(H56+F57-I56-G57,0)</f>
        <v>119116500</v>
      </c>
      <c r="I57" s="5">
        <f t="shared" ref="I57:I65" si="9">MAX(I56+G57-H56-F57,0)</f>
        <v>0</v>
      </c>
      <c r="J57" s="37">
        <f t="shared" si="6"/>
        <v>3</v>
      </c>
      <c r="K57" s="140" t="s">
        <v>177</v>
      </c>
      <c r="O57" s="109"/>
      <c r="P57" s="93"/>
      <c r="Q57" s="54"/>
      <c r="R57" s="110"/>
      <c r="S57" s="111"/>
      <c r="T57" s="61"/>
    </row>
    <row r="58" spans="1:21" ht="19.5" customHeight="1">
      <c r="A58" s="14">
        <v>42094</v>
      </c>
      <c r="B58" s="18" t="s">
        <v>252</v>
      </c>
      <c r="C58" s="14">
        <f t="shared" si="7"/>
        <v>42094</v>
      </c>
      <c r="D58" s="17" t="s">
        <v>98</v>
      </c>
      <c r="E58" s="38" t="s">
        <v>42</v>
      </c>
      <c r="F58" s="9"/>
      <c r="G58" s="20">
        <v>115540000</v>
      </c>
      <c r="H58" s="5">
        <f t="shared" si="8"/>
        <v>3576500</v>
      </c>
      <c r="I58" s="5">
        <f t="shared" si="9"/>
        <v>0</v>
      </c>
      <c r="J58" s="37">
        <f t="shared" si="6"/>
        <v>3</v>
      </c>
      <c r="K58" s="140" t="s">
        <v>179</v>
      </c>
      <c r="O58" s="109"/>
      <c r="P58" s="93"/>
      <c r="Q58" s="54"/>
      <c r="R58" s="110"/>
      <c r="S58" s="111"/>
      <c r="T58" s="61"/>
    </row>
    <row r="59" spans="1:21" ht="19.5" customHeight="1">
      <c r="A59" s="11">
        <v>42101</v>
      </c>
      <c r="B59" s="24" t="s">
        <v>57</v>
      </c>
      <c r="C59" s="14">
        <f>A59</f>
        <v>42101</v>
      </c>
      <c r="D59" s="17" t="s">
        <v>44</v>
      </c>
      <c r="E59" s="38" t="s">
        <v>45</v>
      </c>
      <c r="F59" s="9">
        <v>600000000</v>
      </c>
      <c r="G59" s="25"/>
      <c r="H59" s="5">
        <f t="shared" si="8"/>
        <v>603576500</v>
      </c>
      <c r="I59" s="5">
        <f t="shared" si="9"/>
        <v>0</v>
      </c>
      <c r="J59" s="37">
        <f t="shared" si="6"/>
        <v>4</v>
      </c>
      <c r="O59" s="51"/>
      <c r="P59" s="93"/>
      <c r="Q59" s="54"/>
      <c r="R59" s="110"/>
      <c r="S59" s="111"/>
      <c r="T59" s="61"/>
    </row>
    <row r="60" spans="1:21" ht="19.5" customHeight="1">
      <c r="A60" s="11">
        <v>42110</v>
      </c>
      <c r="B60" s="24" t="s">
        <v>267</v>
      </c>
      <c r="C60" s="14">
        <v>42110</v>
      </c>
      <c r="D60" s="17" t="s">
        <v>44</v>
      </c>
      <c r="E60" s="38" t="s">
        <v>45</v>
      </c>
      <c r="F60" s="9">
        <v>450000000</v>
      </c>
      <c r="G60" s="25"/>
      <c r="H60" s="5">
        <f t="shared" si="8"/>
        <v>1053576500</v>
      </c>
      <c r="I60" s="5">
        <f t="shared" si="9"/>
        <v>0</v>
      </c>
      <c r="J60" s="37">
        <f t="shared" ref="J60" si="10">IF(A60&lt;&gt;"",MONTH(A60),"")</f>
        <v>4</v>
      </c>
      <c r="O60" s="51"/>
      <c r="P60" s="93"/>
      <c r="Q60" s="54"/>
      <c r="R60" s="110"/>
      <c r="S60" s="111"/>
      <c r="T60" s="61"/>
    </row>
    <row r="61" spans="1:21" ht="19.5" customHeight="1">
      <c r="A61" s="11">
        <v>42118</v>
      </c>
      <c r="B61" s="24" t="s">
        <v>104</v>
      </c>
      <c r="C61" s="14">
        <f t="shared" ref="C61:C62" si="11">A61</f>
        <v>42118</v>
      </c>
      <c r="D61" s="17" t="s">
        <v>44</v>
      </c>
      <c r="E61" s="38" t="s">
        <v>45</v>
      </c>
      <c r="F61" s="251">
        <v>400000000</v>
      </c>
      <c r="G61" s="25"/>
      <c r="H61" s="5">
        <f t="shared" si="8"/>
        <v>1453576500</v>
      </c>
      <c r="I61" s="5">
        <f t="shared" si="9"/>
        <v>0</v>
      </c>
      <c r="J61" s="37">
        <f t="shared" si="6"/>
        <v>4</v>
      </c>
      <c r="O61" s="51"/>
      <c r="P61" s="93"/>
      <c r="Q61" s="54"/>
      <c r="R61" s="110"/>
      <c r="S61" s="111"/>
      <c r="T61" s="61"/>
    </row>
    <row r="62" spans="1:21" ht="19.5" customHeight="1">
      <c r="A62" s="11">
        <v>42123</v>
      </c>
      <c r="B62" s="24" t="s">
        <v>270</v>
      </c>
      <c r="C62" s="14">
        <f t="shared" si="11"/>
        <v>42123</v>
      </c>
      <c r="D62" s="17" t="s">
        <v>96</v>
      </c>
      <c r="E62" s="38" t="s">
        <v>42</v>
      </c>
      <c r="F62" s="9"/>
      <c r="G62" s="20">
        <v>303004000</v>
      </c>
      <c r="H62" s="5">
        <f t="shared" si="8"/>
        <v>1150572500</v>
      </c>
      <c r="I62" s="5">
        <f t="shared" si="9"/>
        <v>0</v>
      </c>
      <c r="J62" s="37">
        <f t="shared" si="6"/>
        <v>4</v>
      </c>
      <c r="K62" s="140" t="s">
        <v>254</v>
      </c>
      <c r="O62" s="51"/>
      <c r="P62" s="93"/>
      <c r="Q62" s="54"/>
      <c r="R62" s="110"/>
      <c r="S62" s="111"/>
      <c r="T62" s="61"/>
    </row>
    <row r="63" spans="1:21" ht="19.5" customHeight="1">
      <c r="A63" s="11">
        <v>42123</v>
      </c>
      <c r="B63" s="24" t="s">
        <v>270</v>
      </c>
      <c r="C63" s="14">
        <f t="shared" ref="C63:C91" si="12">A63</f>
        <v>42123</v>
      </c>
      <c r="D63" s="243" t="s">
        <v>29</v>
      </c>
      <c r="E63" s="38" t="s">
        <v>42</v>
      </c>
      <c r="F63" s="9"/>
      <c r="G63" s="20">
        <v>373564000</v>
      </c>
      <c r="H63" s="5">
        <f t="shared" si="8"/>
        <v>777008500</v>
      </c>
      <c r="I63" s="5">
        <f t="shared" si="9"/>
        <v>0</v>
      </c>
      <c r="J63" s="37">
        <f t="shared" si="6"/>
        <v>4</v>
      </c>
      <c r="K63" s="140" t="s">
        <v>255</v>
      </c>
      <c r="O63" s="51"/>
      <c r="P63" s="93"/>
      <c r="Q63" s="54"/>
      <c r="R63" s="110"/>
      <c r="S63" s="111"/>
      <c r="T63" s="61"/>
    </row>
    <row r="64" spans="1:21" ht="19.5" customHeight="1">
      <c r="A64" s="11">
        <v>42123</v>
      </c>
      <c r="B64" s="24" t="s">
        <v>270</v>
      </c>
      <c r="C64" s="14">
        <f t="shared" si="12"/>
        <v>42123</v>
      </c>
      <c r="D64" s="17" t="s">
        <v>49</v>
      </c>
      <c r="E64" s="38" t="s">
        <v>42</v>
      </c>
      <c r="F64" s="9"/>
      <c r="G64" s="20">
        <v>89745000</v>
      </c>
      <c r="H64" s="5">
        <f t="shared" si="8"/>
        <v>687263500</v>
      </c>
      <c r="I64" s="5">
        <f t="shared" si="9"/>
        <v>0</v>
      </c>
      <c r="J64" s="37">
        <f>IF(A64&lt;&gt;"",MONTH(A64),"")</f>
        <v>4</v>
      </c>
      <c r="K64" s="140" t="s">
        <v>256</v>
      </c>
      <c r="O64" s="51"/>
      <c r="P64" s="93"/>
      <c r="Q64" s="54"/>
      <c r="R64" s="110"/>
      <c r="S64" s="111"/>
      <c r="T64" s="61"/>
    </row>
    <row r="65" spans="1:20" ht="19.5" customHeight="1">
      <c r="A65" s="11">
        <v>42123</v>
      </c>
      <c r="B65" s="24" t="s">
        <v>270</v>
      </c>
      <c r="C65" s="14">
        <f t="shared" si="12"/>
        <v>42123</v>
      </c>
      <c r="D65" s="17" t="s">
        <v>31</v>
      </c>
      <c r="E65" s="38" t="s">
        <v>42</v>
      </c>
      <c r="F65" s="9"/>
      <c r="G65" s="20">
        <v>220150000</v>
      </c>
      <c r="H65" s="5">
        <f t="shared" si="8"/>
        <v>467113500</v>
      </c>
      <c r="I65" s="5">
        <f t="shared" si="9"/>
        <v>0</v>
      </c>
      <c r="J65" s="37">
        <f>IF(A65&lt;&gt;"",MONTH(A65),"")</f>
        <v>4</v>
      </c>
      <c r="K65" s="140" t="s">
        <v>257</v>
      </c>
      <c r="O65" s="114"/>
      <c r="P65" s="93"/>
      <c r="Q65" s="54"/>
      <c r="R65" s="110"/>
      <c r="S65" s="111"/>
      <c r="T65" s="61"/>
    </row>
    <row r="66" spans="1:20" ht="19.5" customHeight="1">
      <c r="A66" s="11">
        <v>42123</v>
      </c>
      <c r="B66" s="24" t="s">
        <v>270</v>
      </c>
      <c r="C66" s="14">
        <f t="shared" si="12"/>
        <v>42123</v>
      </c>
      <c r="D66" s="17" t="s">
        <v>99</v>
      </c>
      <c r="E66" s="38" t="s">
        <v>42</v>
      </c>
      <c r="F66" s="9"/>
      <c r="G66" s="20">
        <v>78678000</v>
      </c>
      <c r="H66" s="5">
        <f t="shared" si="4"/>
        <v>388435500</v>
      </c>
      <c r="I66" s="5">
        <f t="shared" si="5"/>
        <v>0</v>
      </c>
      <c r="J66" s="37">
        <f>IF(A66&lt;&gt;"",MONTH(A66),"")</f>
        <v>4</v>
      </c>
      <c r="K66" s="244" t="s">
        <v>175</v>
      </c>
      <c r="O66" s="109"/>
      <c r="P66" s="93"/>
      <c r="Q66" s="54"/>
      <c r="R66" s="110"/>
      <c r="S66" s="111"/>
      <c r="T66" s="61"/>
    </row>
    <row r="67" spans="1:20" ht="19.5" customHeight="1">
      <c r="A67" s="11">
        <v>42123</v>
      </c>
      <c r="B67" s="24" t="s">
        <v>270</v>
      </c>
      <c r="C67" s="14">
        <f t="shared" si="12"/>
        <v>42123</v>
      </c>
      <c r="D67" s="17" t="s">
        <v>47</v>
      </c>
      <c r="E67" s="38" t="s">
        <v>42</v>
      </c>
      <c r="F67" s="9"/>
      <c r="G67" s="20">
        <v>90830000</v>
      </c>
      <c r="H67" s="5">
        <f t="shared" si="4"/>
        <v>297605500</v>
      </c>
      <c r="I67" s="5">
        <f t="shared" si="5"/>
        <v>0</v>
      </c>
      <c r="J67" s="37">
        <f t="shared" ref="J67:J128" si="13">IF(A67&lt;&gt;"",MONTH(A67),"")</f>
        <v>4</v>
      </c>
      <c r="K67" s="140" t="s">
        <v>176</v>
      </c>
      <c r="O67" s="109"/>
      <c r="P67" s="93"/>
      <c r="Q67" s="54"/>
      <c r="R67" s="110"/>
      <c r="S67" s="111"/>
      <c r="T67" s="61"/>
    </row>
    <row r="68" spans="1:20" ht="19.5" customHeight="1">
      <c r="A68" s="11">
        <v>42123</v>
      </c>
      <c r="B68" s="24" t="s">
        <v>270</v>
      </c>
      <c r="C68" s="14">
        <f t="shared" si="12"/>
        <v>42123</v>
      </c>
      <c r="D68" s="17" t="s">
        <v>30</v>
      </c>
      <c r="E68" s="38" t="s">
        <v>42</v>
      </c>
      <c r="F68" s="9"/>
      <c r="G68" s="20">
        <v>282950500</v>
      </c>
      <c r="H68" s="5">
        <f t="shared" si="4"/>
        <v>14655000</v>
      </c>
      <c r="I68" s="5">
        <f t="shared" si="5"/>
        <v>0</v>
      </c>
      <c r="J68" s="37">
        <f t="shared" si="13"/>
        <v>4</v>
      </c>
      <c r="K68" s="140" t="s">
        <v>258</v>
      </c>
      <c r="O68" s="109"/>
      <c r="P68" s="93"/>
      <c r="Q68" s="54"/>
      <c r="R68" s="110"/>
      <c r="S68" s="111"/>
      <c r="T68" s="61"/>
    </row>
    <row r="69" spans="1:20" ht="19.5" customHeight="1">
      <c r="A69" s="14">
        <v>42130</v>
      </c>
      <c r="B69" s="24" t="s">
        <v>273</v>
      </c>
      <c r="C69" s="14">
        <f t="shared" si="12"/>
        <v>42130</v>
      </c>
      <c r="D69" s="17" t="s">
        <v>44</v>
      </c>
      <c r="E69" s="38" t="s">
        <v>45</v>
      </c>
      <c r="F69" s="9">
        <v>500000000</v>
      </c>
      <c r="G69" s="9"/>
      <c r="H69" s="5">
        <f t="shared" si="4"/>
        <v>514655000</v>
      </c>
      <c r="I69" s="5">
        <f t="shared" si="5"/>
        <v>0</v>
      </c>
      <c r="J69" s="37">
        <f t="shared" si="13"/>
        <v>5</v>
      </c>
      <c r="O69" s="109"/>
      <c r="P69" s="93"/>
      <c r="Q69" s="113"/>
      <c r="R69" s="110"/>
      <c r="S69" s="111"/>
      <c r="T69" s="111"/>
    </row>
    <row r="70" spans="1:20" ht="19.5" customHeight="1">
      <c r="A70" s="14">
        <v>42134</v>
      </c>
      <c r="B70" s="24" t="s">
        <v>59</v>
      </c>
      <c r="C70" s="14">
        <f t="shared" si="12"/>
        <v>42134</v>
      </c>
      <c r="D70" s="17" t="s">
        <v>44</v>
      </c>
      <c r="E70" s="38" t="s">
        <v>45</v>
      </c>
      <c r="F70" s="9">
        <v>400000000</v>
      </c>
      <c r="G70" s="20"/>
      <c r="H70" s="5">
        <f t="shared" si="4"/>
        <v>914655000</v>
      </c>
      <c r="I70" s="5">
        <f t="shared" si="5"/>
        <v>0</v>
      </c>
      <c r="J70" s="37">
        <f t="shared" si="13"/>
        <v>5</v>
      </c>
      <c r="O70" s="109"/>
      <c r="P70" s="93"/>
      <c r="Q70" s="54"/>
      <c r="R70" s="110"/>
      <c r="S70" s="111"/>
      <c r="T70" s="61"/>
    </row>
    <row r="71" spans="1:20" ht="19.5" customHeight="1">
      <c r="A71" s="14">
        <v>42151</v>
      </c>
      <c r="B71" s="24" t="s">
        <v>60</v>
      </c>
      <c r="C71" s="14">
        <f t="shared" si="12"/>
        <v>42151</v>
      </c>
      <c r="D71" s="17" t="s">
        <v>44</v>
      </c>
      <c r="E71" s="38" t="s">
        <v>45</v>
      </c>
      <c r="F71" s="251">
        <v>350000000</v>
      </c>
      <c r="G71" s="20"/>
      <c r="H71" s="5">
        <f t="shared" si="4"/>
        <v>1264655000</v>
      </c>
      <c r="I71" s="5">
        <f t="shared" si="5"/>
        <v>0</v>
      </c>
      <c r="J71" s="37">
        <f t="shared" si="13"/>
        <v>5</v>
      </c>
      <c r="O71" s="109"/>
      <c r="P71" s="93"/>
      <c r="Q71" s="54"/>
      <c r="R71" s="110"/>
      <c r="S71" s="111"/>
      <c r="T71" s="61"/>
    </row>
    <row r="72" spans="1:20" ht="19.5" customHeight="1">
      <c r="A72" s="14">
        <v>42155</v>
      </c>
      <c r="B72" s="24" t="s">
        <v>275</v>
      </c>
      <c r="C72" s="14">
        <f t="shared" si="12"/>
        <v>42155</v>
      </c>
      <c r="D72" s="17" t="s">
        <v>99</v>
      </c>
      <c r="E72" s="38" t="s">
        <v>42</v>
      </c>
      <c r="F72" s="9"/>
      <c r="G72" s="20">
        <v>219728000</v>
      </c>
      <c r="H72" s="5">
        <f t="shared" si="4"/>
        <v>1044927000</v>
      </c>
      <c r="I72" s="5">
        <f t="shared" si="5"/>
        <v>0</v>
      </c>
      <c r="J72" s="37">
        <f t="shared" si="13"/>
        <v>5</v>
      </c>
      <c r="K72" s="140" t="s">
        <v>211</v>
      </c>
      <c r="O72" s="109"/>
      <c r="P72" s="93"/>
      <c r="Q72" s="54"/>
      <c r="R72" s="110"/>
      <c r="S72" s="111"/>
      <c r="T72" s="61"/>
    </row>
    <row r="73" spans="1:20" ht="19.5" customHeight="1">
      <c r="A73" s="14">
        <v>42155</v>
      </c>
      <c r="B73" s="24" t="s">
        <v>275</v>
      </c>
      <c r="C73" s="14">
        <f t="shared" si="12"/>
        <v>42155</v>
      </c>
      <c r="D73" s="17" t="s">
        <v>47</v>
      </c>
      <c r="E73" s="38" t="s">
        <v>42</v>
      </c>
      <c r="F73" s="9"/>
      <c r="G73" s="20">
        <v>111568000</v>
      </c>
      <c r="H73" s="5">
        <f t="shared" si="4"/>
        <v>933359000</v>
      </c>
      <c r="I73" s="5">
        <f t="shared" si="5"/>
        <v>0</v>
      </c>
      <c r="J73" s="37">
        <f t="shared" si="13"/>
        <v>5</v>
      </c>
      <c r="K73" s="140" t="s">
        <v>176</v>
      </c>
      <c r="O73" s="109"/>
      <c r="P73" s="93"/>
      <c r="Q73" s="54"/>
      <c r="R73" s="110"/>
      <c r="S73" s="111"/>
      <c r="T73" s="61"/>
    </row>
    <row r="74" spans="1:20" ht="19.5" customHeight="1">
      <c r="A74" s="14">
        <v>42155</v>
      </c>
      <c r="B74" s="24" t="s">
        <v>275</v>
      </c>
      <c r="C74" s="14">
        <f t="shared" si="12"/>
        <v>42155</v>
      </c>
      <c r="D74" s="17" t="s">
        <v>49</v>
      </c>
      <c r="E74" s="38" t="s">
        <v>42</v>
      </c>
      <c r="F74" s="9"/>
      <c r="G74" s="20">
        <v>111168000</v>
      </c>
      <c r="H74" s="5">
        <f t="shared" si="4"/>
        <v>822191000</v>
      </c>
      <c r="I74" s="5">
        <f t="shared" si="5"/>
        <v>0</v>
      </c>
      <c r="J74" s="37">
        <f t="shared" si="13"/>
        <v>5</v>
      </c>
      <c r="K74" s="140" t="s">
        <v>256</v>
      </c>
      <c r="O74" s="109"/>
      <c r="P74" s="93"/>
      <c r="Q74" s="54"/>
      <c r="R74" s="110"/>
      <c r="S74" s="111"/>
      <c r="T74" s="61"/>
    </row>
    <row r="75" spans="1:20" ht="19.5" customHeight="1">
      <c r="A75" s="14">
        <v>42155</v>
      </c>
      <c r="B75" s="24" t="s">
        <v>275</v>
      </c>
      <c r="C75" s="14">
        <f t="shared" si="12"/>
        <v>42155</v>
      </c>
      <c r="D75" s="17" t="s">
        <v>100</v>
      </c>
      <c r="E75" s="38" t="s">
        <v>42</v>
      </c>
      <c r="F75" s="9"/>
      <c r="G75" s="20">
        <v>110880000</v>
      </c>
      <c r="H75" s="5">
        <f t="shared" si="4"/>
        <v>711311000</v>
      </c>
      <c r="I75" s="5">
        <f t="shared" si="5"/>
        <v>0</v>
      </c>
      <c r="J75" s="37">
        <f t="shared" si="13"/>
        <v>5</v>
      </c>
      <c r="K75" s="140" t="s">
        <v>212</v>
      </c>
      <c r="O75" s="109"/>
      <c r="P75" s="93"/>
      <c r="Q75" s="54"/>
      <c r="R75" s="110"/>
      <c r="S75" s="111"/>
      <c r="T75" s="61"/>
    </row>
    <row r="76" spans="1:20" ht="19.5" customHeight="1">
      <c r="A76" s="14">
        <v>42155</v>
      </c>
      <c r="B76" s="24" t="s">
        <v>275</v>
      </c>
      <c r="C76" s="14">
        <f t="shared" si="12"/>
        <v>42155</v>
      </c>
      <c r="D76" s="17" t="s">
        <v>46</v>
      </c>
      <c r="E76" s="38" t="s">
        <v>42</v>
      </c>
      <c r="F76" s="9"/>
      <c r="G76" s="20">
        <v>103728000</v>
      </c>
      <c r="H76" s="5">
        <f t="shared" si="4"/>
        <v>607583000</v>
      </c>
      <c r="I76" s="5">
        <f t="shared" si="5"/>
        <v>0</v>
      </c>
      <c r="J76" s="37">
        <f t="shared" si="13"/>
        <v>5</v>
      </c>
      <c r="K76" s="140" t="s">
        <v>169</v>
      </c>
      <c r="O76" s="109"/>
      <c r="P76" s="93"/>
      <c r="Q76" s="54"/>
      <c r="R76" s="110"/>
      <c r="S76" s="111"/>
      <c r="T76" s="61"/>
    </row>
    <row r="77" spans="1:20" ht="19.5" customHeight="1">
      <c r="A77" s="14">
        <v>42155</v>
      </c>
      <c r="B77" s="24" t="s">
        <v>275</v>
      </c>
      <c r="C77" s="14">
        <f t="shared" si="12"/>
        <v>42155</v>
      </c>
      <c r="D77" s="17" t="s">
        <v>30</v>
      </c>
      <c r="E77" s="38" t="s">
        <v>42</v>
      </c>
      <c r="F77" s="9"/>
      <c r="G77" s="20">
        <v>197472000</v>
      </c>
      <c r="H77" s="5">
        <f t="shared" si="4"/>
        <v>410111000</v>
      </c>
      <c r="I77" s="5">
        <f t="shared" si="5"/>
        <v>0</v>
      </c>
      <c r="J77" s="37">
        <f t="shared" si="13"/>
        <v>5</v>
      </c>
      <c r="K77" s="140" t="s">
        <v>272</v>
      </c>
      <c r="O77" s="109"/>
      <c r="P77" s="93"/>
      <c r="Q77" s="54"/>
      <c r="R77" s="110"/>
      <c r="S77" s="111"/>
      <c r="T77" s="61"/>
    </row>
    <row r="78" spans="1:20" ht="19.5" customHeight="1">
      <c r="A78" s="14">
        <v>42155</v>
      </c>
      <c r="B78" s="24" t="s">
        <v>275</v>
      </c>
      <c r="C78" s="14">
        <f t="shared" si="12"/>
        <v>42155</v>
      </c>
      <c r="D78" s="17" t="s">
        <v>31</v>
      </c>
      <c r="E78" s="38" t="s">
        <v>42</v>
      </c>
      <c r="F78" s="9"/>
      <c r="G78" s="20">
        <v>106811000</v>
      </c>
      <c r="H78" s="5">
        <f t="shared" si="4"/>
        <v>303300000</v>
      </c>
      <c r="I78" s="5">
        <f t="shared" si="5"/>
        <v>0</v>
      </c>
      <c r="J78" s="37">
        <f t="shared" si="13"/>
        <v>5</v>
      </c>
      <c r="K78" s="140" t="s">
        <v>174</v>
      </c>
      <c r="O78" s="109"/>
      <c r="P78" s="93"/>
      <c r="Q78" s="54"/>
      <c r="R78" s="110"/>
      <c r="S78" s="111"/>
      <c r="T78" s="61"/>
    </row>
    <row r="79" spans="1:20" ht="19.5" customHeight="1">
      <c r="A79" s="14">
        <v>42155</v>
      </c>
      <c r="B79" s="24" t="s">
        <v>275</v>
      </c>
      <c r="C79" s="14">
        <f t="shared" si="12"/>
        <v>42155</v>
      </c>
      <c r="D79" s="17" t="s">
        <v>97</v>
      </c>
      <c r="E79" s="38" t="s">
        <v>42</v>
      </c>
      <c r="F79" s="9"/>
      <c r="G79" s="20">
        <v>101711000</v>
      </c>
      <c r="H79" s="5">
        <f t="shared" si="4"/>
        <v>201589000</v>
      </c>
      <c r="I79" s="5">
        <f t="shared" si="5"/>
        <v>0</v>
      </c>
      <c r="J79" s="37">
        <f t="shared" si="13"/>
        <v>5</v>
      </c>
      <c r="K79" s="140" t="s">
        <v>184</v>
      </c>
      <c r="O79" s="109"/>
      <c r="P79" s="93"/>
      <c r="Q79" s="54"/>
      <c r="R79" s="110"/>
      <c r="S79" s="111"/>
      <c r="T79" s="61"/>
    </row>
    <row r="80" spans="1:20" ht="19.5" customHeight="1">
      <c r="A80" s="14">
        <v>42155</v>
      </c>
      <c r="B80" s="24" t="s">
        <v>275</v>
      </c>
      <c r="C80" s="14">
        <f t="shared" si="12"/>
        <v>42155</v>
      </c>
      <c r="D80" s="17" t="s">
        <v>51</v>
      </c>
      <c r="E80" s="38" t="s">
        <v>42</v>
      </c>
      <c r="F80" s="9"/>
      <c r="G80" s="20">
        <v>110211000</v>
      </c>
      <c r="H80" s="5">
        <f t="shared" si="4"/>
        <v>91378000</v>
      </c>
      <c r="I80" s="5">
        <f t="shared" si="5"/>
        <v>0</v>
      </c>
      <c r="J80" s="37">
        <f t="shared" si="13"/>
        <v>5</v>
      </c>
      <c r="K80" s="140" t="s">
        <v>179</v>
      </c>
      <c r="O80" s="109"/>
      <c r="P80" s="93"/>
      <c r="Q80" s="54"/>
      <c r="R80" s="110"/>
      <c r="S80" s="111"/>
      <c r="T80" s="61"/>
    </row>
    <row r="81" spans="1:21" ht="19.5" customHeight="1">
      <c r="A81" s="14">
        <v>42155</v>
      </c>
      <c r="B81" s="24" t="s">
        <v>275</v>
      </c>
      <c r="C81" s="14">
        <f t="shared" si="12"/>
        <v>42155</v>
      </c>
      <c r="D81" s="17" t="s">
        <v>98</v>
      </c>
      <c r="E81" s="38" t="s">
        <v>42</v>
      </c>
      <c r="F81" s="9"/>
      <c r="G81" s="20">
        <v>86241000</v>
      </c>
      <c r="H81" s="5">
        <f t="shared" si="4"/>
        <v>5137000</v>
      </c>
      <c r="I81" s="5">
        <f t="shared" si="5"/>
        <v>0</v>
      </c>
      <c r="J81" s="37">
        <f t="shared" si="13"/>
        <v>5</v>
      </c>
      <c r="K81" s="140" t="s">
        <v>188</v>
      </c>
      <c r="O81" s="109"/>
      <c r="P81" s="93"/>
      <c r="Q81" s="54"/>
      <c r="R81" s="110"/>
      <c r="S81" s="111"/>
      <c r="T81" s="61"/>
    </row>
    <row r="82" spans="1:21" ht="19.5" customHeight="1">
      <c r="A82" s="14">
        <f>C82</f>
        <v>42156</v>
      </c>
      <c r="B82" s="24" t="s">
        <v>298</v>
      </c>
      <c r="C82" s="14">
        <v>42156</v>
      </c>
      <c r="D82" s="17" t="s">
        <v>44</v>
      </c>
      <c r="E82" s="38" t="s">
        <v>45</v>
      </c>
      <c r="F82" s="9">
        <v>550000000</v>
      </c>
      <c r="G82" s="20"/>
      <c r="H82" s="5">
        <f t="shared" si="4"/>
        <v>555137000</v>
      </c>
      <c r="I82" s="5">
        <f t="shared" si="5"/>
        <v>0</v>
      </c>
      <c r="J82" s="37">
        <f t="shared" si="13"/>
        <v>6</v>
      </c>
      <c r="O82" s="109"/>
      <c r="P82" s="93"/>
      <c r="Q82" s="54"/>
      <c r="R82" s="110"/>
      <c r="S82" s="111"/>
      <c r="T82" s="61"/>
    </row>
    <row r="83" spans="1:21" ht="19.5" customHeight="1">
      <c r="A83" s="14">
        <f>C83</f>
        <v>42179</v>
      </c>
      <c r="B83" s="24" t="s">
        <v>67</v>
      </c>
      <c r="C83" s="14">
        <v>42179</v>
      </c>
      <c r="D83" s="17" t="s">
        <v>44</v>
      </c>
      <c r="E83" s="38" t="s">
        <v>45</v>
      </c>
      <c r="F83" s="251">
        <v>510000000</v>
      </c>
      <c r="G83" s="9"/>
      <c r="H83" s="5">
        <f t="shared" ref="H83:H92" si="14">MAX(H82+F83-I82-G83,0)</f>
        <v>1065137000</v>
      </c>
      <c r="I83" s="5">
        <f t="shared" ref="I83:I92" si="15">MAX(I82+G83-H82-F83,0)</f>
        <v>0</v>
      </c>
      <c r="J83" s="37">
        <f t="shared" si="13"/>
        <v>6</v>
      </c>
      <c r="O83" s="109"/>
      <c r="P83" s="93"/>
      <c r="Q83" s="113"/>
      <c r="R83" s="110"/>
      <c r="S83" s="111"/>
      <c r="T83" s="111"/>
    </row>
    <row r="84" spans="1:21" ht="19.5" customHeight="1">
      <c r="A84" s="14">
        <v>42185</v>
      </c>
      <c r="B84" s="24"/>
      <c r="C84" s="14">
        <f t="shared" si="12"/>
        <v>42185</v>
      </c>
      <c r="D84" s="17" t="s">
        <v>29</v>
      </c>
      <c r="E84" s="38" t="s">
        <v>42</v>
      </c>
      <c r="F84" s="9"/>
      <c r="G84" s="20">
        <v>79068000</v>
      </c>
      <c r="H84" s="5">
        <f t="shared" si="14"/>
        <v>986069000</v>
      </c>
      <c r="I84" s="5">
        <f t="shared" si="15"/>
        <v>0</v>
      </c>
      <c r="J84" s="37">
        <f t="shared" si="13"/>
        <v>6</v>
      </c>
      <c r="K84" s="140" t="s">
        <v>175</v>
      </c>
      <c r="O84" s="109"/>
      <c r="P84" s="93"/>
      <c r="Q84" s="54"/>
      <c r="R84" s="110"/>
      <c r="S84" s="111"/>
      <c r="T84" s="61"/>
    </row>
    <row r="85" spans="1:21" ht="19.5" customHeight="1">
      <c r="A85" s="14">
        <v>42185</v>
      </c>
      <c r="B85" s="24"/>
      <c r="C85" s="14">
        <f t="shared" si="12"/>
        <v>42185</v>
      </c>
      <c r="D85" s="17" t="s">
        <v>30</v>
      </c>
      <c r="E85" s="38" t="s">
        <v>42</v>
      </c>
      <c r="F85" s="9"/>
      <c r="G85" s="20">
        <v>237852500</v>
      </c>
      <c r="H85" s="5">
        <f t="shared" si="14"/>
        <v>748216500</v>
      </c>
      <c r="I85" s="5">
        <f t="shared" si="15"/>
        <v>0</v>
      </c>
      <c r="J85" s="37">
        <f t="shared" si="13"/>
        <v>6</v>
      </c>
      <c r="K85" s="140" t="s">
        <v>322</v>
      </c>
      <c r="O85" s="109"/>
      <c r="P85" s="93"/>
      <c r="Q85" s="54"/>
      <c r="R85" s="110"/>
      <c r="S85" s="111"/>
      <c r="T85" s="61"/>
    </row>
    <row r="86" spans="1:21" ht="19.5" customHeight="1">
      <c r="A86" s="14">
        <v>42185</v>
      </c>
      <c r="B86" s="24"/>
      <c r="C86" s="14">
        <f t="shared" si="12"/>
        <v>42185</v>
      </c>
      <c r="D86" s="17" t="s">
        <v>31</v>
      </c>
      <c r="E86" s="38" t="s">
        <v>42</v>
      </c>
      <c r="F86" s="9"/>
      <c r="G86" s="20">
        <v>232886000</v>
      </c>
      <c r="H86" s="5">
        <f t="shared" si="14"/>
        <v>515330500</v>
      </c>
      <c r="I86" s="5">
        <f t="shared" si="15"/>
        <v>0</v>
      </c>
      <c r="J86" s="37">
        <f t="shared" si="13"/>
        <v>6</v>
      </c>
      <c r="K86" s="140" t="s">
        <v>323</v>
      </c>
      <c r="O86" s="109"/>
      <c r="P86" s="93"/>
      <c r="Q86" s="54"/>
      <c r="R86" s="110"/>
      <c r="S86" s="111"/>
      <c r="T86" s="61"/>
    </row>
    <row r="87" spans="1:21" ht="19.5" customHeight="1">
      <c r="A87" s="14">
        <v>42185</v>
      </c>
      <c r="B87" s="24"/>
      <c r="C87" s="14">
        <f t="shared" si="12"/>
        <v>42185</v>
      </c>
      <c r="D87" s="17" t="s">
        <v>97</v>
      </c>
      <c r="E87" s="38" t="s">
        <v>42</v>
      </c>
      <c r="F87" s="9"/>
      <c r="G87" s="20">
        <v>240316000</v>
      </c>
      <c r="H87" s="5">
        <f t="shared" si="14"/>
        <v>275014500</v>
      </c>
      <c r="I87" s="5">
        <f t="shared" si="15"/>
        <v>0</v>
      </c>
      <c r="J87" s="37">
        <f t="shared" si="13"/>
        <v>6</v>
      </c>
      <c r="K87" s="140" t="s">
        <v>324</v>
      </c>
      <c r="O87" s="109"/>
      <c r="P87" s="93"/>
      <c r="Q87" s="54"/>
      <c r="R87" s="110"/>
      <c r="S87" s="111"/>
      <c r="T87" s="61"/>
    </row>
    <row r="88" spans="1:21" ht="19.5" customHeight="1">
      <c r="A88" s="14">
        <v>42185</v>
      </c>
      <c r="B88" s="24"/>
      <c r="C88" s="14">
        <f t="shared" si="12"/>
        <v>42185</v>
      </c>
      <c r="D88" s="17" t="s">
        <v>32</v>
      </c>
      <c r="E88" s="38" t="s">
        <v>42</v>
      </c>
      <c r="F88" s="9"/>
      <c r="G88" s="20">
        <v>76740000</v>
      </c>
      <c r="H88" s="5">
        <f t="shared" si="14"/>
        <v>198274500</v>
      </c>
      <c r="I88" s="5">
        <f t="shared" si="15"/>
        <v>0</v>
      </c>
      <c r="J88" s="37">
        <f t="shared" si="13"/>
        <v>6</v>
      </c>
      <c r="K88" s="140" t="s">
        <v>181</v>
      </c>
      <c r="O88" s="109"/>
      <c r="P88" s="93"/>
      <c r="Q88" s="54"/>
      <c r="R88" s="110"/>
      <c r="S88" s="111"/>
      <c r="T88" s="61"/>
    </row>
    <row r="89" spans="1:21" s="53" customFormat="1" ht="19.5" customHeight="1">
      <c r="A89" s="14">
        <v>42185</v>
      </c>
      <c r="B89" s="24"/>
      <c r="C89" s="14">
        <f t="shared" si="12"/>
        <v>42185</v>
      </c>
      <c r="D89" s="17" t="s">
        <v>51</v>
      </c>
      <c r="E89" s="38" t="s">
        <v>42</v>
      </c>
      <c r="F89" s="9"/>
      <c r="G89" s="20">
        <v>95112500</v>
      </c>
      <c r="H89" s="5">
        <f t="shared" si="14"/>
        <v>103162000</v>
      </c>
      <c r="I89" s="5">
        <f t="shared" si="15"/>
        <v>0</v>
      </c>
      <c r="J89" s="37">
        <f t="shared" si="13"/>
        <v>6</v>
      </c>
      <c r="K89" s="140" t="s">
        <v>197</v>
      </c>
      <c r="O89" s="109"/>
      <c r="P89" s="93"/>
      <c r="Q89" s="54"/>
      <c r="R89" s="110"/>
      <c r="S89" s="111"/>
      <c r="T89" s="61"/>
      <c r="U89" s="147"/>
    </row>
    <row r="90" spans="1:21" ht="19.5" customHeight="1">
      <c r="A90" s="14">
        <v>42185</v>
      </c>
      <c r="B90" s="24"/>
      <c r="C90" s="14">
        <f t="shared" si="12"/>
        <v>42185</v>
      </c>
      <c r="D90" s="17" t="s">
        <v>98</v>
      </c>
      <c r="E90" s="38" t="s">
        <v>42</v>
      </c>
      <c r="F90" s="9"/>
      <c r="G90" s="20">
        <v>95375000</v>
      </c>
      <c r="H90" s="5">
        <f t="shared" si="14"/>
        <v>7787000</v>
      </c>
      <c r="I90" s="5">
        <f t="shared" si="15"/>
        <v>0</v>
      </c>
      <c r="J90" s="37">
        <f t="shared" si="13"/>
        <v>6</v>
      </c>
      <c r="K90" s="140" t="s">
        <v>198</v>
      </c>
      <c r="O90" s="109"/>
      <c r="P90" s="93"/>
      <c r="Q90" s="54"/>
      <c r="R90" s="110"/>
      <c r="S90" s="111"/>
      <c r="T90" s="61"/>
    </row>
    <row r="91" spans="1:21" ht="19.5" customHeight="1">
      <c r="A91" s="14"/>
      <c r="B91" s="24"/>
      <c r="C91" s="14">
        <f t="shared" si="12"/>
        <v>0</v>
      </c>
      <c r="D91" s="17" t="s">
        <v>44</v>
      </c>
      <c r="E91" s="38" t="s">
        <v>45</v>
      </c>
      <c r="F91" s="251">
        <v>250000000</v>
      </c>
      <c r="G91" s="20"/>
      <c r="H91" s="5">
        <f t="shared" si="14"/>
        <v>257787000</v>
      </c>
      <c r="I91" s="5">
        <f t="shared" si="15"/>
        <v>0</v>
      </c>
      <c r="J91" s="37" t="str">
        <f t="shared" si="13"/>
        <v/>
      </c>
      <c r="O91" s="109"/>
      <c r="P91" s="93"/>
      <c r="Q91" s="54"/>
      <c r="R91" s="110"/>
      <c r="S91" s="111"/>
      <c r="T91" s="61"/>
    </row>
    <row r="92" spans="1:21" ht="19.5" customHeight="1">
      <c r="A92" s="14">
        <v>42216</v>
      </c>
      <c r="B92" s="24"/>
      <c r="C92" s="14">
        <f t="shared" ref="C92:C95" si="16">A92</f>
        <v>42216</v>
      </c>
      <c r="D92" s="17" t="s">
        <v>46</v>
      </c>
      <c r="E92" s="38" t="s">
        <v>42</v>
      </c>
      <c r="F92" s="9"/>
      <c r="G92" s="20">
        <v>74700000</v>
      </c>
      <c r="H92" s="5">
        <f t="shared" si="14"/>
        <v>183087000</v>
      </c>
      <c r="I92" s="5">
        <f t="shared" si="15"/>
        <v>0</v>
      </c>
      <c r="J92" s="37">
        <f t="shared" si="13"/>
        <v>7</v>
      </c>
      <c r="K92" s="140" t="s">
        <v>181</v>
      </c>
      <c r="O92" s="109"/>
      <c r="P92" s="93"/>
      <c r="Q92" s="54"/>
      <c r="R92" s="110"/>
      <c r="S92" s="111"/>
      <c r="T92" s="61"/>
    </row>
    <row r="93" spans="1:21" ht="19.5" customHeight="1">
      <c r="A93" s="14">
        <v>42216</v>
      </c>
      <c r="B93" s="24"/>
      <c r="C93" s="14">
        <f t="shared" si="16"/>
        <v>42216</v>
      </c>
      <c r="D93" s="17" t="s">
        <v>105</v>
      </c>
      <c r="E93" s="38" t="s">
        <v>42</v>
      </c>
      <c r="F93" s="9"/>
      <c r="G93" s="20">
        <v>83400000</v>
      </c>
      <c r="H93" s="5">
        <f t="shared" ref="H93:H151" si="17">MAX(H92+F93-I92-G93,0)</f>
        <v>99687000</v>
      </c>
      <c r="I93" s="5">
        <f t="shared" ref="I93:I151" si="18">MAX(I92+G93-H92-F93,0)</f>
        <v>0</v>
      </c>
      <c r="J93" s="37">
        <f t="shared" si="13"/>
        <v>7</v>
      </c>
      <c r="K93" s="140" t="s">
        <v>182</v>
      </c>
      <c r="O93" s="109"/>
      <c r="P93" s="93"/>
      <c r="Q93" s="54"/>
      <c r="R93" s="110"/>
      <c r="S93" s="111"/>
      <c r="T93" s="61"/>
    </row>
    <row r="94" spans="1:21" ht="19.5" customHeight="1">
      <c r="A94" s="14">
        <v>42216</v>
      </c>
      <c r="B94" s="24"/>
      <c r="C94" s="14">
        <f t="shared" si="16"/>
        <v>42216</v>
      </c>
      <c r="D94" s="17" t="s">
        <v>50</v>
      </c>
      <c r="E94" s="38" t="s">
        <v>42</v>
      </c>
      <c r="F94" s="9"/>
      <c r="G94" s="20">
        <v>81900000</v>
      </c>
      <c r="H94" s="5">
        <f t="shared" si="17"/>
        <v>17787000</v>
      </c>
      <c r="I94" s="5">
        <f t="shared" si="18"/>
        <v>0</v>
      </c>
      <c r="J94" s="37">
        <f t="shared" si="13"/>
        <v>7</v>
      </c>
      <c r="K94" s="140" t="s">
        <v>183</v>
      </c>
      <c r="O94" s="109"/>
      <c r="P94" s="93"/>
      <c r="Q94" s="54"/>
      <c r="R94" s="110"/>
      <c r="S94" s="111"/>
      <c r="T94" s="61"/>
    </row>
    <row r="95" spans="1:21" ht="19.5" customHeight="1">
      <c r="A95" s="14"/>
      <c r="B95" s="24"/>
      <c r="C95" s="14">
        <f t="shared" si="16"/>
        <v>0</v>
      </c>
      <c r="D95" s="17" t="s">
        <v>44</v>
      </c>
      <c r="E95" s="38" t="s">
        <v>45</v>
      </c>
      <c r="F95" s="9">
        <v>300000000</v>
      </c>
      <c r="G95" s="20"/>
      <c r="H95" s="5">
        <f t="shared" si="17"/>
        <v>317787000</v>
      </c>
      <c r="I95" s="5">
        <f t="shared" si="18"/>
        <v>0</v>
      </c>
      <c r="J95" s="37" t="str">
        <f t="shared" si="13"/>
        <v/>
      </c>
      <c r="O95" s="109"/>
      <c r="P95" s="93"/>
      <c r="Q95" s="54"/>
      <c r="R95" s="110"/>
      <c r="S95" s="111"/>
      <c r="T95" s="61"/>
    </row>
    <row r="96" spans="1:21" ht="19.5" customHeight="1">
      <c r="A96" s="14"/>
      <c r="B96" s="24"/>
      <c r="C96" s="14">
        <f t="shared" ref="C96:C101" si="19">A96</f>
        <v>0</v>
      </c>
      <c r="D96" s="17" t="s">
        <v>44</v>
      </c>
      <c r="E96" s="38" t="s">
        <v>45</v>
      </c>
      <c r="F96" s="9">
        <v>320000000</v>
      </c>
      <c r="G96" s="20"/>
      <c r="H96" s="5">
        <f t="shared" si="17"/>
        <v>637787000</v>
      </c>
      <c r="I96" s="5">
        <f t="shared" si="18"/>
        <v>0</v>
      </c>
      <c r="J96" s="37" t="str">
        <f t="shared" si="13"/>
        <v/>
      </c>
      <c r="O96" s="109"/>
      <c r="P96" s="93"/>
      <c r="Q96" s="54"/>
      <c r="R96" s="110"/>
      <c r="S96" s="111"/>
      <c r="T96" s="61"/>
    </row>
    <row r="97" spans="1:20" ht="19.5" customHeight="1">
      <c r="A97" s="14">
        <v>42247</v>
      </c>
      <c r="B97" s="24"/>
      <c r="C97" s="14">
        <f t="shared" si="19"/>
        <v>42247</v>
      </c>
      <c r="D97" s="243" t="s">
        <v>46</v>
      </c>
      <c r="E97" s="38" t="s">
        <v>42</v>
      </c>
      <c r="F97" s="9"/>
      <c r="G97" s="20">
        <v>205168000</v>
      </c>
      <c r="H97" s="5">
        <f t="shared" si="17"/>
        <v>432619000</v>
      </c>
      <c r="I97" s="5">
        <f t="shared" si="18"/>
        <v>0</v>
      </c>
      <c r="J97" s="37">
        <f t="shared" si="13"/>
        <v>8</v>
      </c>
      <c r="K97" s="140" t="s">
        <v>264</v>
      </c>
      <c r="O97" s="109"/>
      <c r="P97" s="93"/>
      <c r="Q97" s="54"/>
      <c r="R97" s="110"/>
      <c r="S97" s="111"/>
      <c r="T97" s="61"/>
    </row>
    <row r="98" spans="1:20" ht="19.5" customHeight="1">
      <c r="A98" s="14">
        <v>42247</v>
      </c>
      <c r="B98" s="24"/>
      <c r="C98" s="14">
        <f t="shared" si="19"/>
        <v>42247</v>
      </c>
      <c r="D98" s="243" t="s">
        <v>105</v>
      </c>
      <c r="E98" s="38" t="s">
        <v>42</v>
      </c>
      <c r="F98" s="9"/>
      <c r="G98" s="20">
        <v>218560000</v>
      </c>
      <c r="H98" s="5">
        <f t="shared" si="17"/>
        <v>214059000</v>
      </c>
      <c r="I98" s="5">
        <f t="shared" si="18"/>
        <v>0</v>
      </c>
      <c r="J98" s="37">
        <f t="shared" si="13"/>
        <v>8</v>
      </c>
      <c r="K98" s="140" t="s">
        <v>342</v>
      </c>
      <c r="O98" s="109"/>
      <c r="P98" s="93"/>
      <c r="Q98" s="54"/>
      <c r="R98" s="110"/>
      <c r="S98" s="111"/>
      <c r="T98" s="61"/>
    </row>
    <row r="99" spans="1:20" ht="19.5" customHeight="1">
      <c r="A99" s="14">
        <v>42247</v>
      </c>
      <c r="B99" s="24"/>
      <c r="C99" s="14">
        <f t="shared" si="19"/>
        <v>42247</v>
      </c>
      <c r="D99" s="243" t="s">
        <v>50</v>
      </c>
      <c r="E99" s="38" t="s">
        <v>42</v>
      </c>
      <c r="F99" s="9"/>
      <c r="G99" s="20">
        <v>206032000</v>
      </c>
      <c r="H99" s="5">
        <f t="shared" si="17"/>
        <v>8027000</v>
      </c>
      <c r="I99" s="5">
        <f t="shared" si="18"/>
        <v>0</v>
      </c>
      <c r="J99" s="37">
        <f t="shared" si="13"/>
        <v>8</v>
      </c>
      <c r="K99" s="140" t="s">
        <v>343</v>
      </c>
      <c r="O99" s="109"/>
      <c r="P99" s="93"/>
      <c r="Q99" s="54"/>
      <c r="R99" s="110"/>
      <c r="S99" s="111"/>
      <c r="T99" s="61"/>
    </row>
    <row r="100" spans="1:20" ht="19.5" customHeight="1">
      <c r="A100" s="14"/>
      <c r="B100" s="24"/>
      <c r="C100" s="14">
        <f t="shared" si="19"/>
        <v>0</v>
      </c>
      <c r="D100" s="17"/>
      <c r="E100" s="38"/>
      <c r="F100" s="9"/>
      <c r="G100" s="20"/>
      <c r="H100" s="5">
        <f t="shared" si="17"/>
        <v>8027000</v>
      </c>
      <c r="I100" s="5">
        <f t="shared" si="18"/>
        <v>0</v>
      </c>
      <c r="J100" s="37" t="str">
        <f t="shared" si="13"/>
        <v/>
      </c>
      <c r="O100" s="109"/>
      <c r="P100" s="93"/>
      <c r="Q100" s="54"/>
      <c r="R100" s="110"/>
      <c r="S100" s="111"/>
      <c r="T100" s="61"/>
    </row>
    <row r="101" spans="1:20" ht="19.5" customHeight="1">
      <c r="A101" s="14"/>
      <c r="B101" s="24"/>
      <c r="C101" s="14">
        <f t="shared" si="19"/>
        <v>0</v>
      </c>
      <c r="D101" s="10"/>
      <c r="E101" s="38"/>
      <c r="F101" s="9"/>
      <c r="G101" s="9"/>
      <c r="H101" s="5">
        <f t="shared" si="17"/>
        <v>8027000</v>
      </c>
      <c r="I101" s="5">
        <f t="shared" si="18"/>
        <v>0</v>
      </c>
      <c r="J101" s="37" t="str">
        <f t="shared" si="13"/>
        <v/>
      </c>
      <c r="O101" s="109"/>
      <c r="P101" s="93"/>
      <c r="Q101" s="113"/>
      <c r="R101" s="110"/>
      <c r="S101" s="111"/>
      <c r="T101" s="111"/>
    </row>
    <row r="102" spans="1:20" ht="19.5" customHeight="1">
      <c r="A102" s="14"/>
      <c r="B102" s="24"/>
      <c r="C102" s="14"/>
      <c r="D102" s="17"/>
      <c r="E102" s="38"/>
      <c r="F102" s="9"/>
      <c r="G102" s="20"/>
      <c r="H102" s="5">
        <f t="shared" si="17"/>
        <v>8027000</v>
      </c>
      <c r="I102" s="5">
        <f t="shared" si="18"/>
        <v>0</v>
      </c>
      <c r="J102" s="37" t="str">
        <f t="shared" si="13"/>
        <v/>
      </c>
      <c r="O102" s="109"/>
      <c r="P102" s="93"/>
      <c r="Q102" s="54"/>
      <c r="R102" s="110"/>
      <c r="S102" s="111"/>
      <c r="T102" s="61"/>
    </row>
    <row r="103" spans="1:20" ht="19.5" customHeight="1">
      <c r="A103" s="14"/>
      <c r="B103" s="24"/>
      <c r="C103" s="14"/>
      <c r="D103" s="17"/>
      <c r="E103" s="38"/>
      <c r="F103" s="9"/>
      <c r="G103" s="20"/>
      <c r="H103" s="5">
        <f t="shared" si="17"/>
        <v>8027000</v>
      </c>
      <c r="I103" s="5">
        <f t="shared" si="18"/>
        <v>0</v>
      </c>
      <c r="J103" s="37" t="str">
        <f t="shared" si="13"/>
        <v/>
      </c>
      <c r="O103" s="109"/>
      <c r="P103" s="93"/>
      <c r="Q103" s="54"/>
      <c r="R103" s="110"/>
      <c r="S103" s="111"/>
      <c r="T103" s="61"/>
    </row>
    <row r="104" spans="1:20" ht="19.5" customHeight="1">
      <c r="A104" s="14"/>
      <c r="B104" s="24"/>
      <c r="C104" s="14"/>
      <c r="D104" s="17"/>
      <c r="E104" s="38"/>
      <c r="F104" s="9"/>
      <c r="G104" s="20"/>
      <c r="H104" s="5">
        <f t="shared" si="17"/>
        <v>8027000</v>
      </c>
      <c r="I104" s="5">
        <f t="shared" si="18"/>
        <v>0</v>
      </c>
      <c r="J104" s="37" t="str">
        <f t="shared" si="13"/>
        <v/>
      </c>
      <c r="O104" s="109"/>
      <c r="P104" s="93"/>
      <c r="Q104" s="54"/>
      <c r="R104" s="110"/>
      <c r="S104" s="111"/>
      <c r="T104" s="61"/>
    </row>
    <row r="105" spans="1:20" ht="19.5" customHeight="1">
      <c r="A105" s="14"/>
      <c r="B105" s="24"/>
      <c r="C105" s="14"/>
      <c r="D105" s="17"/>
      <c r="E105" s="38"/>
      <c r="F105" s="9"/>
      <c r="G105" s="20"/>
      <c r="H105" s="5">
        <f t="shared" si="17"/>
        <v>8027000</v>
      </c>
      <c r="I105" s="5">
        <f t="shared" si="18"/>
        <v>0</v>
      </c>
      <c r="J105" s="37" t="str">
        <f t="shared" si="13"/>
        <v/>
      </c>
      <c r="O105" s="109"/>
      <c r="P105" s="93"/>
      <c r="Q105" s="54"/>
      <c r="R105" s="110"/>
      <c r="S105" s="111"/>
      <c r="T105" s="61"/>
    </row>
    <row r="106" spans="1:20" ht="19.5" customHeight="1">
      <c r="A106" s="14"/>
      <c r="B106" s="24"/>
      <c r="C106" s="14"/>
      <c r="D106" s="17"/>
      <c r="E106" s="38"/>
      <c r="F106" s="9"/>
      <c r="G106" s="20"/>
      <c r="H106" s="5">
        <f t="shared" si="17"/>
        <v>8027000</v>
      </c>
      <c r="I106" s="5">
        <f t="shared" si="18"/>
        <v>0</v>
      </c>
      <c r="J106" s="37" t="str">
        <f t="shared" si="13"/>
        <v/>
      </c>
      <c r="O106" s="109"/>
      <c r="P106" s="93"/>
      <c r="Q106" s="54"/>
      <c r="R106" s="110"/>
      <c r="S106" s="111"/>
      <c r="T106" s="61"/>
    </row>
    <row r="107" spans="1:20" ht="19.5" customHeight="1">
      <c r="A107" s="14"/>
      <c r="B107" s="24"/>
      <c r="C107" s="14"/>
      <c r="D107" s="17"/>
      <c r="E107" s="38"/>
      <c r="F107" s="9"/>
      <c r="G107" s="20"/>
      <c r="H107" s="5">
        <f t="shared" si="17"/>
        <v>8027000</v>
      </c>
      <c r="I107" s="5">
        <f t="shared" si="18"/>
        <v>0</v>
      </c>
      <c r="J107" s="37" t="str">
        <f t="shared" si="13"/>
        <v/>
      </c>
      <c r="O107" s="109"/>
      <c r="P107" s="93"/>
      <c r="Q107" s="54"/>
      <c r="R107" s="110"/>
      <c r="S107" s="111"/>
      <c r="T107" s="61"/>
    </row>
    <row r="108" spans="1:20" ht="19.5" customHeight="1">
      <c r="A108" s="14"/>
      <c r="B108" s="24"/>
      <c r="C108" s="14"/>
      <c r="D108" s="17"/>
      <c r="E108" s="38"/>
      <c r="F108" s="9"/>
      <c r="G108" s="20"/>
      <c r="H108" s="5">
        <f t="shared" si="17"/>
        <v>8027000</v>
      </c>
      <c r="I108" s="5">
        <f t="shared" si="18"/>
        <v>0</v>
      </c>
      <c r="J108" s="37" t="str">
        <f t="shared" si="13"/>
        <v/>
      </c>
      <c r="O108" s="109"/>
      <c r="P108" s="93"/>
      <c r="Q108" s="54"/>
      <c r="R108" s="110"/>
      <c r="S108" s="111"/>
      <c r="T108" s="61"/>
    </row>
    <row r="109" spans="1:20" ht="19.5" customHeight="1">
      <c r="A109" s="14"/>
      <c r="B109" s="24"/>
      <c r="C109" s="14"/>
      <c r="D109" s="17"/>
      <c r="E109" s="38"/>
      <c r="F109" s="9"/>
      <c r="G109" s="20"/>
      <c r="H109" s="5">
        <f t="shared" si="17"/>
        <v>8027000</v>
      </c>
      <c r="I109" s="5">
        <f t="shared" si="18"/>
        <v>0</v>
      </c>
      <c r="J109" s="37" t="str">
        <f t="shared" si="13"/>
        <v/>
      </c>
      <c r="O109" s="109"/>
      <c r="P109" s="93"/>
      <c r="Q109" s="54"/>
      <c r="R109" s="110"/>
      <c r="S109" s="111"/>
      <c r="T109" s="61"/>
    </row>
    <row r="110" spans="1:20" ht="19.5" customHeight="1">
      <c r="A110" s="14"/>
      <c r="B110" s="24"/>
      <c r="C110" s="14"/>
      <c r="D110" s="17"/>
      <c r="E110" s="38"/>
      <c r="F110" s="9"/>
      <c r="G110" s="20"/>
      <c r="H110" s="5">
        <f t="shared" si="17"/>
        <v>8027000</v>
      </c>
      <c r="I110" s="5">
        <f t="shared" si="18"/>
        <v>0</v>
      </c>
      <c r="J110" s="37" t="str">
        <f t="shared" si="13"/>
        <v/>
      </c>
      <c r="O110" s="109"/>
      <c r="P110" s="93"/>
      <c r="Q110" s="54"/>
      <c r="R110" s="110"/>
      <c r="S110" s="111"/>
      <c r="T110" s="61"/>
    </row>
    <row r="111" spans="1:20" ht="19.5" customHeight="1">
      <c r="A111" s="14"/>
      <c r="B111" s="24"/>
      <c r="C111" s="14"/>
      <c r="D111" s="17"/>
      <c r="E111" s="38"/>
      <c r="F111" s="9"/>
      <c r="G111" s="20"/>
      <c r="H111" s="5">
        <f t="shared" si="17"/>
        <v>8027000</v>
      </c>
      <c r="I111" s="5">
        <f t="shared" si="18"/>
        <v>0</v>
      </c>
      <c r="J111" s="37" t="str">
        <f t="shared" si="13"/>
        <v/>
      </c>
      <c r="O111" s="109"/>
      <c r="P111" s="93"/>
      <c r="Q111" s="54"/>
      <c r="R111" s="110"/>
      <c r="S111" s="111"/>
      <c r="T111" s="61"/>
    </row>
    <row r="112" spans="1:20" ht="19.5" customHeight="1">
      <c r="A112" s="14"/>
      <c r="B112" s="24"/>
      <c r="C112" s="14"/>
      <c r="D112" s="17"/>
      <c r="E112" s="38"/>
      <c r="F112" s="9"/>
      <c r="G112" s="20"/>
      <c r="H112" s="5">
        <f t="shared" si="17"/>
        <v>8027000</v>
      </c>
      <c r="I112" s="5">
        <f t="shared" si="18"/>
        <v>0</v>
      </c>
      <c r="J112" s="37" t="str">
        <f t="shared" si="13"/>
        <v/>
      </c>
      <c r="O112" s="109"/>
      <c r="P112" s="93"/>
      <c r="Q112" s="54"/>
      <c r="R112" s="110"/>
      <c r="S112" s="111"/>
      <c r="T112" s="61"/>
    </row>
    <row r="113" spans="1:20" ht="19.5" customHeight="1">
      <c r="A113" s="11"/>
      <c r="B113" s="18"/>
      <c r="C113" s="14"/>
      <c r="D113" s="17"/>
      <c r="E113" s="38"/>
      <c r="F113" s="9"/>
      <c r="G113" s="20"/>
      <c r="H113" s="5">
        <f t="shared" si="17"/>
        <v>8027000</v>
      </c>
      <c r="I113" s="5">
        <f t="shared" si="18"/>
        <v>0</v>
      </c>
      <c r="J113" s="37" t="str">
        <f t="shared" si="13"/>
        <v/>
      </c>
      <c r="O113" s="51"/>
      <c r="P113" s="115"/>
      <c r="Q113" s="54"/>
      <c r="R113" s="110"/>
      <c r="S113" s="111"/>
      <c r="T113" s="61"/>
    </row>
    <row r="114" spans="1:20" ht="19.5" customHeight="1">
      <c r="A114" s="11"/>
      <c r="B114" s="18"/>
      <c r="C114" s="14"/>
      <c r="D114" s="17"/>
      <c r="E114" s="38"/>
      <c r="F114" s="9"/>
      <c r="G114" s="20"/>
      <c r="H114" s="5">
        <f t="shared" si="17"/>
        <v>8027000</v>
      </c>
      <c r="I114" s="5">
        <f t="shared" si="18"/>
        <v>0</v>
      </c>
      <c r="J114" s="37" t="str">
        <f t="shared" si="13"/>
        <v/>
      </c>
      <c r="O114" s="51"/>
      <c r="P114" s="115"/>
      <c r="Q114" s="54"/>
      <c r="R114" s="110"/>
      <c r="S114" s="111"/>
      <c r="T114" s="61"/>
    </row>
    <row r="115" spans="1:20" ht="19.5" customHeight="1">
      <c r="A115" s="11"/>
      <c r="B115" s="18"/>
      <c r="C115" s="14"/>
      <c r="D115" s="17"/>
      <c r="E115" s="38"/>
      <c r="F115" s="9"/>
      <c r="G115" s="20"/>
      <c r="H115" s="5">
        <f t="shared" si="17"/>
        <v>8027000</v>
      </c>
      <c r="I115" s="5">
        <f t="shared" si="18"/>
        <v>0</v>
      </c>
      <c r="J115" s="37" t="str">
        <f t="shared" si="13"/>
        <v/>
      </c>
      <c r="O115" s="51"/>
      <c r="P115" s="115"/>
      <c r="Q115" s="54"/>
      <c r="R115" s="110"/>
      <c r="S115" s="111"/>
      <c r="T115" s="61"/>
    </row>
    <row r="116" spans="1:20" ht="19.5" customHeight="1">
      <c r="A116" s="14"/>
      <c r="B116" s="24"/>
      <c r="C116" s="14"/>
      <c r="D116" s="10"/>
      <c r="E116" s="38"/>
      <c r="F116" s="9"/>
      <c r="G116" s="9"/>
      <c r="H116" s="5">
        <f t="shared" si="17"/>
        <v>8027000</v>
      </c>
      <c r="I116" s="5">
        <f t="shared" si="18"/>
        <v>0</v>
      </c>
      <c r="J116" s="37" t="str">
        <f t="shared" si="13"/>
        <v/>
      </c>
      <c r="O116" s="109"/>
      <c r="P116" s="93"/>
      <c r="Q116" s="113"/>
      <c r="R116" s="110"/>
      <c r="S116" s="111"/>
      <c r="T116" s="111"/>
    </row>
    <row r="117" spans="1:20" ht="19.5" customHeight="1">
      <c r="A117" s="14"/>
      <c r="B117" s="24"/>
      <c r="C117" s="14"/>
      <c r="D117" s="17"/>
      <c r="E117" s="38"/>
      <c r="F117" s="9"/>
      <c r="G117" s="20"/>
      <c r="H117" s="5">
        <f t="shared" si="17"/>
        <v>8027000</v>
      </c>
      <c r="I117" s="5">
        <f t="shared" si="18"/>
        <v>0</v>
      </c>
      <c r="J117" s="37" t="str">
        <f t="shared" si="13"/>
        <v/>
      </c>
      <c r="O117" s="109"/>
      <c r="P117" s="93"/>
      <c r="Q117" s="54"/>
      <c r="R117" s="110"/>
      <c r="S117" s="111"/>
      <c r="T117" s="61"/>
    </row>
    <row r="118" spans="1:20" ht="19.5" customHeight="1">
      <c r="A118" s="14"/>
      <c r="B118" s="24"/>
      <c r="C118" s="14"/>
      <c r="D118" s="17"/>
      <c r="E118" s="38"/>
      <c r="F118" s="9"/>
      <c r="G118" s="20"/>
      <c r="H118" s="5">
        <f t="shared" si="17"/>
        <v>8027000</v>
      </c>
      <c r="I118" s="5">
        <f t="shared" si="18"/>
        <v>0</v>
      </c>
      <c r="J118" s="37" t="str">
        <f t="shared" si="13"/>
        <v/>
      </c>
      <c r="O118" s="109"/>
      <c r="P118" s="93"/>
      <c r="Q118" s="54"/>
      <c r="R118" s="110"/>
      <c r="S118" s="111"/>
      <c r="T118" s="61"/>
    </row>
    <row r="119" spans="1:20" ht="19.5" customHeight="1">
      <c r="A119" s="14"/>
      <c r="B119" s="24"/>
      <c r="C119" s="14"/>
      <c r="D119" s="17"/>
      <c r="E119" s="38"/>
      <c r="F119" s="9"/>
      <c r="G119" s="20"/>
      <c r="H119" s="5">
        <f t="shared" si="17"/>
        <v>8027000</v>
      </c>
      <c r="I119" s="5">
        <f t="shared" si="18"/>
        <v>0</v>
      </c>
      <c r="J119" s="37" t="str">
        <f t="shared" si="13"/>
        <v/>
      </c>
      <c r="O119" s="109"/>
      <c r="P119" s="93"/>
      <c r="Q119" s="54"/>
      <c r="R119" s="110"/>
      <c r="S119" s="111"/>
      <c r="T119" s="61"/>
    </row>
    <row r="120" spans="1:20" ht="19.5" customHeight="1">
      <c r="A120" s="14"/>
      <c r="B120" s="24"/>
      <c r="C120" s="14"/>
      <c r="D120" s="17"/>
      <c r="E120" s="38"/>
      <c r="F120" s="9"/>
      <c r="G120" s="20"/>
      <c r="H120" s="5">
        <f t="shared" si="17"/>
        <v>8027000</v>
      </c>
      <c r="I120" s="5">
        <f t="shared" si="18"/>
        <v>0</v>
      </c>
      <c r="J120" s="37" t="str">
        <f t="shared" si="13"/>
        <v/>
      </c>
      <c r="O120" s="109"/>
      <c r="P120" s="93"/>
      <c r="Q120" s="54"/>
      <c r="R120" s="110"/>
      <c r="S120" s="111"/>
      <c r="T120" s="61"/>
    </row>
    <row r="121" spans="1:20" ht="19.5" customHeight="1">
      <c r="A121" s="14"/>
      <c r="B121" s="24"/>
      <c r="C121" s="14"/>
      <c r="D121" s="17"/>
      <c r="E121" s="38"/>
      <c r="F121" s="9"/>
      <c r="G121" s="20"/>
      <c r="H121" s="5">
        <f t="shared" si="17"/>
        <v>8027000</v>
      </c>
      <c r="I121" s="5">
        <f t="shared" si="18"/>
        <v>0</v>
      </c>
      <c r="J121" s="37" t="str">
        <f t="shared" si="13"/>
        <v/>
      </c>
      <c r="O121" s="109"/>
      <c r="P121" s="93"/>
      <c r="Q121" s="54"/>
      <c r="R121" s="110"/>
      <c r="S121" s="111"/>
      <c r="T121" s="61"/>
    </row>
    <row r="122" spans="1:20" ht="19.5" customHeight="1">
      <c r="A122" s="14"/>
      <c r="B122" s="24"/>
      <c r="C122" s="14"/>
      <c r="D122" s="17"/>
      <c r="E122" s="38"/>
      <c r="F122" s="9"/>
      <c r="G122" s="20"/>
      <c r="H122" s="5">
        <f t="shared" si="17"/>
        <v>8027000</v>
      </c>
      <c r="I122" s="5">
        <f t="shared" si="18"/>
        <v>0</v>
      </c>
      <c r="J122" s="37" t="str">
        <f t="shared" si="13"/>
        <v/>
      </c>
      <c r="O122" s="109"/>
      <c r="P122" s="93"/>
      <c r="Q122" s="54"/>
      <c r="R122" s="110"/>
      <c r="S122" s="111"/>
      <c r="T122" s="61"/>
    </row>
    <row r="123" spans="1:20" ht="19.5" customHeight="1">
      <c r="A123" s="14"/>
      <c r="B123" s="24"/>
      <c r="C123" s="14"/>
      <c r="D123" s="17"/>
      <c r="E123" s="38"/>
      <c r="F123" s="9"/>
      <c r="G123" s="20"/>
      <c r="H123" s="5">
        <f t="shared" si="17"/>
        <v>8027000</v>
      </c>
      <c r="I123" s="5">
        <f t="shared" si="18"/>
        <v>0</v>
      </c>
      <c r="J123" s="37" t="str">
        <f t="shared" si="13"/>
        <v/>
      </c>
      <c r="O123" s="109"/>
      <c r="P123" s="93"/>
      <c r="Q123" s="54"/>
      <c r="R123" s="110"/>
      <c r="S123" s="111"/>
      <c r="T123" s="61"/>
    </row>
    <row r="124" spans="1:20" ht="19.5" customHeight="1">
      <c r="A124" s="14"/>
      <c r="B124" s="24"/>
      <c r="C124" s="14"/>
      <c r="D124" s="17"/>
      <c r="E124" s="38"/>
      <c r="F124" s="9"/>
      <c r="G124" s="20"/>
      <c r="H124" s="5">
        <f t="shared" si="17"/>
        <v>8027000</v>
      </c>
      <c r="I124" s="5">
        <f t="shared" si="18"/>
        <v>0</v>
      </c>
      <c r="J124" s="37" t="str">
        <f t="shared" si="13"/>
        <v/>
      </c>
      <c r="O124" s="109"/>
      <c r="P124" s="93"/>
      <c r="Q124" s="54"/>
      <c r="R124" s="110"/>
      <c r="S124" s="111"/>
      <c r="T124" s="61"/>
    </row>
    <row r="125" spans="1:20" ht="19.5" customHeight="1">
      <c r="A125" s="14"/>
      <c r="B125" s="24"/>
      <c r="C125" s="14"/>
      <c r="D125" s="17"/>
      <c r="E125" s="38"/>
      <c r="F125" s="9"/>
      <c r="G125" s="20"/>
      <c r="H125" s="5">
        <f t="shared" si="17"/>
        <v>8027000</v>
      </c>
      <c r="I125" s="5">
        <f t="shared" si="18"/>
        <v>0</v>
      </c>
      <c r="J125" s="37" t="str">
        <f t="shared" si="13"/>
        <v/>
      </c>
      <c r="O125" s="109"/>
      <c r="P125" s="93"/>
      <c r="Q125" s="54"/>
      <c r="R125" s="110"/>
      <c r="S125" s="111"/>
      <c r="T125" s="61"/>
    </row>
    <row r="126" spans="1:20" ht="19.5" customHeight="1">
      <c r="A126" s="14"/>
      <c r="B126" s="24"/>
      <c r="C126" s="14"/>
      <c r="D126" s="17"/>
      <c r="E126" s="38"/>
      <c r="F126" s="9"/>
      <c r="G126" s="20"/>
      <c r="H126" s="5">
        <f t="shared" si="17"/>
        <v>8027000</v>
      </c>
      <c r="I126" s="5">
        <f t="shared" si="18"/>
        <v>0</v>
      </c>
      <c r="J126" s="37" t="str">
        <f t="shared" si="13"/>
        <v/>
      </c>
      <c r="O126" s="109"/>
      <c r="P126" s="93"/>
      <c r="Q126" s="54"/>
      <c r="R126" s="110"/>
      <c r="S126" s="111"/>
      <c r="T126" s="61"/>
    </row>
    <row r="127" spans="1:20" ht="19.5" customHeight="1">
      <c r="A127" s="14"/>
      <c r="B127" s="24"/>
      <c r="C127" s="14"/>
      <c r="D127" s="17"/>
      <c r="E127" s="38"/>
      <c r="F127" s="9"/>
      <c r="G127" s="20"/>
      <c r="H127" s="5">
        <f t="shared" si="17"/>
        <v>8027000</v>
      </c>
      <c r="I127" s="5">
        <f t="shared" si="18"/>
        <v>0</v>
      </c>
      <c r="J127" s="37" t="str">
        <f t="shared" si="13"/>
        <v/>
      </c>
      <c r="O127" s="109"/>
      <c r="P127" s="93"/>
      <c r="Q127" s="54"/>
      <c r="R127" s="110"/>
      <c r="S127" s="111"/>
      <c r="T127" s="61"/>
    </row>
    <row r="128" spans="1:20" ht="19.5" customHeight="1">
      <c r="A128" s="14"/>
      <c r="B128" s="24"/>
      <c r="C128" s="14"/>
      <c r="D128" s="17"/>
      <c r="E128" s="38"/>
      <c r="F128" s="9"/>
      <c r="G128" s="20"/>
      <c r="H128" s="5">
        <f t="shared" si="17"/>
        <v>8027000</v>
      </c>
      <c r="I128" s="5">
        <f t="shared" si="18"/>
        <v>0</v>
      </c>
      <c r="J128" s="37" t="str">
        <f t="shared" si="13"/>
        <v/>
      </c>
      <c r="O128" s="109"/>
      <c r="P128" s="93"/>
      <c r="Q128" s="54"/>
      <c r="R128" s="110"/>
      <c r="S128" s="111"/>
      <c r="T128" s="61"/>
    </row>
    <row r="129" spans="1:21" ht="19.5" customHeight="1">
      <c r="A129" s="14"/>
      <c r="B129" s="24"/>
      <c r="C129" s="14"/>
      <c r="D129" s="17"/>
      <c r="E129" s="38"/>
      <c r="F129" s="9"/>
      <c r="G129" s="20"/>
      <c r="H129" s="5">
        <f t="shared" si="17"/>
        <v>8027000</v>
      </c>
      <c r="I129" s="5">
        <f t="shared" si="18"/>
        <v>0</v>
      </c>
      <c r="J129" s="37" t="str">
        <f t="shared" ref="J129:J192" si="20">IF(A129&lt;&gt;"",MONTH(A129),"")</f>
        <v/>
      </c>
      <c r="O129" s="109"/>
      <c r="P129" s="93"/>
      <c r="Q129" s="54"/>
      <c r="R129" s="110"/>
      <c r="S129" s="111"/>
      <c r="T129" s="61"/>
    </row>
    <row r="130" spans="1:21" ht="19.5" customHeight="1">
      <c r="A130" s="14"/>
      <c r="B130" s="24"/>
      <c r="C130" s="14"/>
      <c r="D130" s="17"/>
      <c r="E130" s="38"/>
      <c r="F130" s="55"/>
      <c r="G130" s="20"/>
      <c r="H130" s="5">
        <f t="shared" si="17"/>
        <v>8027000</v>
      </c>
      <c r="I130" s="5">
        <f t="shared" si="18"/>
        <v>0</v>
      </c>
      <c r="J130" s="37" t="str">
        <f t="shared" si="20"/>
        <v/>
      </c>
      <c r="O130" s="109"/>
      <c r="P130" s="93"/>
      <c r="Q130" s="54"/>
      <c r="R130" s="110"/>
      <c r="S130" s="116"/>
      <c r="T130" s="61"/>
    </row>
    <row r="131" spans="1:21" ht="19.5" customHeight="1">
      <c r="A131" s="14"/>
      <c r="B131" s="24"/>
      <c r="C131" s="14"/>
      <c r="D131" s="17"/>
      <c r="E131" s="38"/>
      <c r="F131" s="55"/>
      <c r="G131" s="20"/>
      <c r="H131" s="5">
        <f t="shared" si="17"/>
        <v>8027000</v>
      </c>
      <c r="I131" s="5">
        <f t="shared" si="18"/>
        <v>0</v>
      </c>
      <c r="J131" s="37" t="str">
        <f t="shared" si="20"/>
        <v/>
      </c>
      <c r="O131" s="109"/>
      <c r="P131" s="93"/>
      <c r="Q131" s="54"/>
      <c r="R131" s="110"/>
      <c r="S131" s="116"/>
      <c r="T131" s="61"/>
    </row>
    <row r="132" spans="1:21" ht="19.5" customHeight="1">
      <c r="A132" s="14"/>
      <c r="B132" s="24"/>
      <c r="C132" s="14"/>
      <c r="D132" s="17"/>
      <c r="E132" s="38"/>
      <c r="F132" s="55"/>
      <c r="G132" s="20"/>
      <c r="H132" s="5">
        <f t="shared" si="17"/>
        <v>8027000</v>
      </c>
      <c r="I132" s="5">
        <f t="shared" si="18"/>
        <v>0</v>
      </c>
      <c r="J132" s="37" t="str">
        <f t="shared" si="20"/>
        <v/>
      </c>
      <c r="O132" s="109"/>
      <c r="P132" s="93"/>
      <c r="Q132" s="54"/>
      <c r="R132" s="110"/>
      <c r="S132" s="116"/>
      <c r="T132" s="61"/>
    </row>
    <row r="133" spans="1:21" ht="19.5" customHeight="1">
      <c r="A133" s="14"/>
      <c r="B133" s="24"/>
      <c r="C133" s="14"/>
      <c r="D133" s="17"/>
      <c r="E133" s="38"/>
      <c r="F133" s="55"/>
      <c r="G133" s="20"/>
      <c r="H133" s="5">
        <f t="shared" si="17"/>
        <v>8027000</v>
      </c>
      <c r="I133" s="5">
        <f t="shared" si="18"/>
        <v>0</v>
      </c>
      <c r="J133" s="37" t="str">
        <f t="shared" si="20"/>
        <v/>
      </c>
      <c r="O133" s="109"/>
      <c r="P133" s="93"/>
      <c r="Q133" s="54"/>
      <c r="R133" s="110"/>
      <c r="S133" s="116"/>
      <c r="T133" s="61"/>
    </row>
    <row r="134" spans="1:21" ht="19.5" customHeight="1">
      <c r="A134" s="14"/>
      <c r="B134" s="24"/>
      <c r="C134" s="14"/>
      <c r="D134" s="17"/>
      <c r="E134" s="38"/>
      <c r="F134" s="55"/>
      <c r="G134" s="20"/>
      <c r="H134" s="5">
        <f t="shared" si="17"/>
        <v>8027000</v>
      </c>
      <c r="I134" s="5">
        <f t="shared" si="18"/>
        <v>0</v>
      </c>
      <c r="J134" s="37" t="str">
        <f t="shared" si="20"/>
        <v/>
      </c>
      <c r="O134" s="109"/>
      <c r="P134" s="93"/>
      <c r="Q134" s="54"/>
      <c r="R134" s="110"/>
      <c r="S134" s="116"/>
      <c r="T134" s="61"/>
    </row>
    <row r="135" spans="1:21" ht="19.5" customHeight="1">
      <c r="A135" s="14"/>
      <c r="B135" s="24"/>
      <c r="C135" s="14"/>
      <c r="D135" s="10"/>
      <c r="E135" s="38"/>
      <c r="F135" s="9"/>
      <c r="G135" s="9"/>
      <c r="H135" s="5">
        <f t="shared" si="17"/>
        <v>8027000</v>
      </c>
      <c r="I135" s="5">
        <f t="shared" si="18"/>
        <v>0</v>
      </c>
      <c r="J135" s="37" t="str">
        <f t="shared" si="20"/>
        <v/>
      </c>
      <c r="O135" s="109"/>
      <c r="P135" s="93"/>
      <c r="Q135" s="113"/>
      <c r="R135" s="110"/>
      <c r="S135" s="111"/>
      <c r="T135" s="111"/>
    </row>
    <row r="136" spans="1:21" ht="19.5" customHeight="1">
      <c r="A136" s="14"/>
      <c r="B136" s="24"/>
      <c r="C136" s="14"/>
      <c r="D136" s="17"/>
      <c r="E136" s="38"/>
      <c r="F136" s="9"/>
      <c r="G136" s="20"/>
      <c r="H136" s="5">
        <f t="shared" si="17"/>
        <v>8027000</v>
      </c>
      <c r="I136" s="5">
        <f t="shared" si="18"/>
        <v>0</v>
      </c>
      <c r="J136" s="37" t="str">
        <f t="shared" si="20"/>
        <v/>
      </c>
      <c r="O136" s="109"/>
      <c r="P136" s="93"/>
      <c r="Q136" s="54"/>
      <c r="R136" s="110"/>
      <c r="S136" s="111"/>
      <c r="T136" s="61"/>
    </row>
    <row r="137" spans="1:21" ht="19.5" customHeight="1">
      <c r="A137" s="14"/>
      <c r="B137" s="24"/>
      <c r="C137" s="14"/>
      <c r="D137" s="17"/>
      <c r="E137" s="38"/>
      <c r="F137" s="9"/>
      <c r="G137" s="20"/>
      <c r="H137" s="5">
        <f t="shared" si="17"/>
        <v>8027000</v>
      </c>
      <c r="I137" s="5">
        <f t="shared" si="18"/>
        <v>0</v>
      </c>
      <c r="J137" s="37" t="str">
        <f t="shared" si="20"/>
        <v/>
      </c>
      <c r="O137" s="109"/>
      <c r="P137" s="93"/>
      <c r="Q137" s="54"/>
      <c r="R137" s="110"/>
      <c r="S137" s="111"/>
      <c r="T137" s="61"/>
    </row>
    <row r="138" spans="1:21" ht="19.5" customHeight="1">
      <c r="A138" s="14"/>
      <c r="B138" s="24"/>
      <c r="C138" s="14"/>
      <c r="D138" s="17"/>
      <c r="E138" s="38"/>
      <c r="F138" s="9"/>
      <c r="G138" s="20"/>
      <c r="H138" s="5">
        <f t="shared" si="17"/>
        <v>8027000</v>
      </c>
      <c r="I138" s="5">
        <f t="shared" si="18"/>
        <v>0</v>
      </c>
      <c r="J138" s="37" t="str">
        <f t="shared" si="20"/>
        <v/>
      </c>
      <c r="O138" s="109"/>
      <c r="P138" s="93"/>
      <c r="Q138" s="54"/>
      <c r="R138" s="110"/>
      <c r="S138" s="111"/>
      <c r="T138" s="61"/>
    </row>
    <row r="139" spans="1:21" ht="19.5" customHeight="1">
      <c r="A139" s="14"/>
      <c r="B139" s="24"/>
      <c r="C139" s="14"/>
      <c r="D139" s="17"/>
      <c r="E139" s="38"/>
      <c r="F139" s="9"/>
      <c r="G139" s="20"/>
      <c r="H139" s="5">
        <f t="shared" si="17"/>
        <v>8027000</v>
      </c>
      <c r="I139" s="5">
        <f t="shared" si="18"/>
        <v>0</v>
      </c>
      <c r="J139" s="37" t="str">
        <f t="shared" si="20"/>
        <v/>
      </c>
      <c r="O139" s="109"/>
      <c r="P139" s="93"/>
      <c r="Q139" s="54"/>
      <c r="R139" s="110"/>
      <c r="S139" s="111"/>
      <c r="T139" s="61"/>
    </row>
    <row r="140" spans="1:21" ht="19.5" customHeight="1">
      <c r="A140" s="14"/>
      <c r="B140" s="24"/>
      <c r="C140" s="14"/>
      <c r="D140" s="17"/>
      <c r="E140" s="38"/>
      <c r="F140" s="9"/>
      <c r="G140" s="20"/>
      <c r="H140" s="5">
        <f t="shared" si="17"/>
        <v>8027000</v>
      </c>
      <c r="I140" s="5">
        <f t="shared" si="18"/>
        <v>0</v>
      </c>
      <c r="J140" s="37" t="str">
        <f t="shared" si="20"/>
        <v/>
      </c>
      <c r="O140" s="109"/>
      <c r="P140" s="93"/>
      <c r="Q140" s="54"/>
      <c r="R140" s="110"/>
      <c r="S140" s="111"/>
      <c r="T140" s="61"/>
    </row>
    <row r="141" spans="1:21" ht="19.5" customHeight="1">
      <c r="A141" s="14"/>
      <c r="B141" s="24"/>
      <c r="C141" s="14"/>
      <c r="D141" s="17"/>
      <c r="E141" s="38"/>
      <c r="F141" s="9"/>
      <c r="G141" s="20"/>
      <c r="H141" s="5">
        <f t="shared" si="17"/>
        <v>8027000</v>
      </c>
      <c r="I141" s="5">
        <f t="shared" si="18"/>
        <v>0</v>
      </c>
      <c r="J141" s="37" t="str">
        <f t="shared" si="20"/>
        <v/>
      </c>
      <c r="O141" s="109"/>
      <c r="P141" s="93"/>
      <c r="Q141" s="54"/>
      <c r="R141" s="110"/>
      <c r="S141" s="111"/>
      <c r="T141" s="61"/>
    </row>
    <row r="142" spans="1:21" ht="19.5" customHeight="1">
      <c r="A142" s="14"/>
      <c r="B142" s="24"/>
      <c r="C142" s="14"/>
      <c r="D142" s="17"/>
      <c r="E142" s="38"/>
      <c r="F142" s="9"/>
      <c r="G142" s="20"/>
      <c r="H142" s="5">
        <f t="shared" si="17"/>
        <v>8027000</v>
      </c>
      <c r="I142" s="5">
        <f t="shared" si="18"/>
        <v>0</v>
      </c>
      <c r="J142" s="37" t="str">
        <f t="shared" si="20"/>
        <v/>
      </c>
      <c r="O142" s="109"/>
      <c r="P142" s="93"/>
      <c r="Q142" s="54"/>
      <c r="R142" s="110"/>
      <c r="S142" s="111"/>
      <c r="T142" s="61"/>
    </row>
    <row r="143" spans="1:21" s="53" customFormat="1" ht="19.5" customHeight="1">
      <c r="A143" s="14"/>
      <c r="B143" s="24"/>
      <c r="C143" s="14"/>
      <c r="D143" s="17"/>
      <c r="E143" s="38"/>
      <c r="F143" s="9"/>
      <c r="G143" s="20"/>
      <c r="H143" s="5">
        <f t="shared" si="17"/>
        <v>8027000</v>
      </c>
      <c r="I143" s="5">
        <f t="shared" si="18"/>
        <v>0</v>
      </c>
      <c r="J143" s="37" t="str">
        <f t="shared" si="20"/>
        <v/>
      </c>
      <c r="K143" s="140"/>
      <c r="O143" s="109"/>
      <c r="P143" s="93"/>
      <c r="Q143" s="54"/>
      <c r="R143" s="110"/>
      <c r="S143" s="111"/>
      <c r="T143" s="61"/>
      <c r="U143" s="147"/>
    </row>
    <row r="144" spans="1:21" ht="19.5" customHeight="1">
      <c r="A144" s="14"/>
      <c r="B144" s="24"/>
      <c r="C144" s="14"/>
      <c r="D144" s="17"/>
      <c r="E144" s="38"/>
      <c r="F144" s="9"/>
      <c r="G144" s="20"/>
      <c r="H144" s="5">
        <f t="shared" si="17"/>
        <v>8027000</v>
      </c>
      <c r="I144" s="5">
        <f t="shared" si="18"/>
        <v>0</v>
      </c>
      <c r="J144" s="37" t="str">
        <f t="shared" si="20"/>
        <v/>
      </c>
      <c r="O144" s="109"/>
      <c r="P144" s="93"/>
      <c r="Q144" s="54"/>
      <c r="R144" s="110"/>
      <c r="S144" s="111"/>
      <c r="T144" s="61"/>
    </row>
    <row r="145" spans="1:21" ht="19.5" customHeight="1">
      <c r="A145" s="14"/>
      <c r="B145" s="24"/>
      <c r="C145" s="14"/>
      <c r="D145" s="17"/>
      <c r="E145" s="38"/>
      <c r="F145" s="9"/>
      <c r="G145" s="20"/>
      <c r="H145" s="5">
        <f t="shared" si="17"/>
        <v>8027000</v>
      </c>
      <c r="I145" s="5">
        <f t="shared" si="18"/>
        <v>0</v>
      </c>
      <c r="J145" s="37" t="str">
        <f t="shared" si="20"/>
        <v/>
      </c>
      <c r="O145" s="109"/>
      <c r="P145" s="93"/>
      <c r="Q145" s="54"/>
      <c r="R145" s="110"/>
      <c r="S145" s="111"/>
      <c r="T145" s="61"/>
    </row>
    <row r="146" spans="1:21" ht="19.5" customHeight="1">
      <c r="A146" s="14"/>
      <c r="B146" s="24"/>
      <c r="C146" s="14"/>
      <c r="D146" s="17"/>
      <c r="E146" s="38"/>
      <c r="F146" s="9"/>
      <c r="G146" s="20"/>
      <c r="H146" s="5">
        <f t="shared" si="17"/>
        <v>8027000</v>
      </c>
      <c r="I146" s="5">
        <f t="shared" si="18"/>
        <v>0</v>
      </c>
      <c r="J146" s="37" t="str">
        <f t="shared" si="20"/>
        <v/>
      </c>
      <c r="O146" s="109"/>
      <c r="P146" s="93"/>
      <c r="Q146" s="54"/>
      <c r="R146" s="110"/>
      <c r="S146" s="111"/>
      <c r="T146" s="61"/>
    </row>
    <row r="147" spans="1:21" ht="19.5" customHeight="1">
      <c r="A147" s="14"/>
      <c r="B147" s="24"/>
      <c r="C147" s="14"/>
      <c r="D147" s="17"/>
      <c r="E147" s="38"/>
      <c r="F147" s="9"/>
      <c r="G147" s="20"/>
      <c r="H147" s="5">
        <f t="shared" si="17"/>
        <v>8027000</v>
      </c>
      <c r="I147" s="5">
        <f t="shared" si="18"/>
        <v>0</v>
      </c>
      <c r="J147" s="37" t="str">
        <f t="shared" si="20"/>
        <v/>
      </c>
      <c r="O147" s="109"/>
      <c r="P147" s="93"/>
      <c r="Q147" s="54"/>
      <c r="R147" s="110"/>
      <c r="S147" s="111"/>
      <c r="T147" s="61"/>
    </row>
    <row r="148" spans="1:21" ht="19.5" customHeight="1">
      <c r="A148" s="14"/>
      <c r="B148" s="24"/>
      <c r="C148" s="14"/>
      <c r="D148" s="17"/>
      <c r="E148" s="38"/>
      <c r="F148" s="9"/>
      <c r="G148" s="20"/>
      <c r="H148" s="5">
        <f t="shared" si="17"/>
        <v>8027000</v>
      </c>
      <c r="I148" s="5">
        <f t="shared" si="18"/>
        <v>0</v>
      </c>
      <c r="J148" s="37" t="str">
        <f t="shared" si="20"/>
        <v/>
      </c>
      <c r="O148" s="109"/>
      <c r="P148" s="93"/>
      <c r="Q148" s="54"/>
      <c r="R148" s="110"/>
      <c r="S148" s="111"/>
      <c r="T148" s="61"/>
    </row>
    <row r="149" spans="1:21" ht="19.5" customHeight="1">
      <c r="A149" s="14"/>
      <c r="B149" s="24"/>
      <c r="C149" s="14"/>
      <c r="D149" s="17"/>
      <c r="E149" s="38"/>
      <c r="F149" s="9"/>
      <c r="G149" s="20"/>
      <c r="H149" s="5">
        <f t="shared" si="17"/>
        <v>8027000</v>
      </c>
      <c r="I149" s="5">
        <f t="shared" si="18"/>
        <v>0</v>
      </c>
      <c r="J149" s="37" t="str">
        <f t="shared" si="20"/>
        <v/>
      </c>
      <c r="O149" s="109"/>
      <c r="P149" s="93"/>
      <c r="Q149" s="54"/>
      <c r="R149" s="110"/>
      <c r="S149" s="111"/>
      <c r="T149" s="61"/>
    </row>
    <row r="150" spans="1:21" ht="19.5" customHeight="1">
      <c r="A150" s="14"/>
      <c r="B150" s="24"/>
      <c r="C150" s="14"/>
      <c r="D150" s="17"/>
      <c r="E150" s="38"/>
      <c r="F150" s="9"/>
      <c r="G150" s="20"/>
      <c r="H150" s="5">
        <f t="shared" si="17"/>
        <v>8027000</v>
      </c>
      <c r="I150" s="5">
        <f t="shared" si="18"/>
        <v>0</v>
      </c>
      <c r="J150" s="37" t="str">
        <f t="shared" si="20"/>
        <v/>
      </c>
      <c r="O150" s="109"/>
      <c r="P150" s="93"/>
      <c r="Q150" s="54"/>
      <c r="R150" s="110"/>
      <c r="S150" s="111"/>
      <c r="T150" s="61"/>
    </row>
    <row r="151" spans="1:21" s="53" customFormat="1" ht="19.5" customHeight="1">
      <c r="A151" s="14"/>
      <c r="B151" s="24"/>
      <c r="C151" s="14"/>
      <c r="D151" s="17"/>
      <c r="E151" s="38"/>
      <c r="F151" s="9"/>
      <c r="G151" s="20"/>
      <c r="H151" s="5">
        <f t="shared" si="17"/>
        <v>8027000</v>
      </c>
      <c r="I151" s="5">
        <f t="shared" si="18"/>
        <v>0</v>
      </c>
      <c r="J151" s="37" t="str">
        <f t="shared" si="20"/>
        <v/>
      </c>
      <c r="K151" s="140"/>
      <c r="O151" s="109"/>
      <c r="P151" s="93"/>
      <c r="Q151" s="54"/>
      <c r="R151" s="110"/>
      <c r="S151" s="111"/>
      <c r="T151" s="61"/>
      <c r="U151" s="147"/>
    </row>
    <row r="152" spans="1:21" ht="19.5" customHeight="1">
      <c r="A152" s="11"/>
      <c r="B152" s="24"/>
      <c r="C152" s="14"/>
      <c r="D152" s="17"/>
      <c r="E152" s="38"/>
      <c r="F152" s="55"/>
      <c r="G152" s="5"/>
      <c r="H152" s="5">
        <f t="shared" ref="H152:H202" si="21">MAX(H151+F152-I151-G152,0)</f>
        <v>8027000</v>
      </c>
      <c r="I152" s="5">
        <f t="shared" ref="I152:I202" si="22">MAX(I151+G152-H151-F152,0)</f>
        <v>0</v>
      </c>
      <c r="J152" s="37" t="str">
        <f t="shared" si="20"/>
        <v/>
      </c>
      <c r="O152" s="51"/>
      <c r="P152" s="93"/>
      <c r="Q152" s="54"/>
      <c r="R152" s="110"/>
      <c r="S152" s="116"/>
      <c r="T152" s="62"/>
    </row>
    <row r="153" spans="1:21" ht="19.5" customHeight="1">
      <c r="A153" s="11"/>
      <c r="B153" s="24"/>
      <c r="C153" s="14"/>
      <c r="D153" s="17"/>
      <c r="E153" s="38"/>
      <c r="F153" s="55"/>
      <c r="G153" s="5"/>
      <c r="H153" s="5">
        <f t="shared" si="21"/>
        <v>8027000</v>
      </c>
      <c r="I153" s="5">
        <f t="shared" si="22"/>
        <v>0</v>
      </c>
      <c r="J153" s="37" t="str">
        <f t="shared" si="20"/>
        <v/>
      </c>
      <c r="O153" s="51"/>
      <c r="P153" s="93"/>
      <c r="Q153" s="54"/>
      <c r="R153" s="110"/>
      <c r="S153" s="116"/>
      <c r="T153" s="62"/>
    </row>
    <row r="154" spans="1:21" ht="19.5" customHeight="1">
      <c r="A154" s="14"/>
      <c r="B154" s="24"/>
      <c r="C154" s="14"/>
      <c r="D154" s="17"/>
      <c r="E154" s="38"/>
      <c r="F154" s="55"/>
      <c r="G154" s="20"/>
      <c r="H154" s="5">
        <f t="shared" si="21"/>
        <v>8027000</v>
      </c>
      <c r="I154" s="5">
        <f t="shared" si="22"/>
        <v>0</v>
      </c>
      <c r="J154" s="37" t="str">
        <f t="shared" si="20"/>
        <v/>
      </c>
      <c r="O154" s="109"/>
      <c r="P154" s="93"/>
      <c r="Q154" s="54"/>
      <c r="R154" s="110"/>
      <c r="S154" s="116"/>
      <c r="T154" s="61"/>
    </row>
    <row r="155" spans="1:21" ht="19.5" customHeight="1">
      <c r="A155" s="14"/>
      <c r="B155" s="24"/>
      <c r="C155" s="14"/>
      <c r="D155" s="17"/>
      <c r="E155" s="38"/>
      <c r="F155" s="55"/>
      <c r="G155" s="20"/>
      <c r="H155" s="5">
        <f t="shared" si="21"/>
        <v>8027000</v>
      </c>
      <c r="I155" s="5">
        <f t="shared" si="22"/>
        <v>0</v>
      </c>
      <c r="J155" s="37" t="str">
        <f t="shared" si="20"/>
        <v/>
      </c>
      <c r="O155" s="109"/>
      <c r="P155" s="93"/>
      <c r="Q155" s="54"/>
      <c r="R155" s="110"/>
      <c r="S155" s="116"/>
      <c r="T155" s="61"/>
    </row>
    <row r="156" spans="1:21" ht="19.5" customHeight="1">
      <c r="A156" s="14"/>
      <c r="B156" s="24"/>
      <c r="C156" s="14"/>
      <c r="D156" s="17"/>
      <c r="E156" s="38"/>
      <c r="F156" s="55"/>
      <c r="G156" s="5"/>
      <c r="H156" s="5">
        <f t="shared" si="21"/>
        <v>8027000</v>
      </c>
      <c r="I156" s="5">
        <f t="shared" si="22"/>
        <v>0</v>
      </c>
      <c r="J156" s="37" t="str">
        <f t="shared" si="20"/>
        <v/>
      </c>
      <c r="O156" s="109"/>
      <c r="P156" s="93"/>
      <c r="Q156" s="54"/>
      <c r="R156" s="110"/>
      <c r="S156" s="116"/>
      <c r="T156" s="62"/>
    </row>
    <row r="157" spans="1:21" ht="19.5" customHeight="1">
      <c r="A157" s="11"/>
      <c r="B157" s="24"/>
      <c r="C157" s="14"/>
      <c r="D157" s="10"/>
      <c r="E157" s="38"/>
      <c r="F157" s="9"/>
      <c r="G157" s="20"/>
      <c r="H157" s="5">
        <f t="shared" si="21"/>
        <v>8027000</v>
      </c>
      <c r="I157" s="5">
        <f t="shared" si="22"/>
        <v>0</v>
      </c>
      <c r="J157" s="37" t="str">
        <f t="shared" si="20"/>
        <v/>
      </c>
      <c r="O157" s="51"/>
      <c r="P157" s="93"/>
      <c r="Q157" s="113"/>
      <c r="R157" s="110"/>
      <c r="S157" s="111"/>
      <c r="T157" s="61"/>
    </row>
    <row r="158" spans="1:21" ht="19.5" customHeight="1">
      <c r="A158" s="11"/>
      <c r="B158" s="24"/>
      <c r="C158" s="14"/>
      <c r="D158" s="17"/>
      <c r="E158" s="38"/>
      <c r="F158" s="9"/>
      <c r="G158" s="20"/>
      <c r="H158" s="5">
        <f t="shared" si="21"/>
        <v>8027000</v>
      </c>
      <c r="I158" s="5">
        <f t="shared" si="22"/>
        <v>0</v>
      </c>
      <c r="J158" s="37" t="str">
        <f t="shared" si="20"/>
        <v/>
      </c>
      <c r="O158" s="51"/>
      <c r="P158" s="93"/>
      <c r="Q158" s="54"/>
      <c r="R158" s="110"/>
      <c r="S158" s="111"/>
      <c r="T158" s="61"/>
    </row>
    <row r="159" spans="1:21" ht="19.5" customHeight="1">
      <c r="A159" s="11"/>
      <c r="B159" s="24"/>
      <c r="C159" s="14"/>
      <c r="D159" s="17"/>
      <c r="E159" s="38"/>
      <c r="F159" s="9"/>
      <c r="G159" s="25"/>
      <c r="H159" s="5">
        <f t="shared" si="21"/>
        <v>8027000</v>
      </c>
      <c r="I159" s="5">
        <f t="shared" si="22"/>
        <v>0</v>
      </c>
      <c r="J159" s="37" t="str">
        <f t="shared" si="20"/>
        <v/>
      </c>
      <c r="O159" s="51"/>
      <c r="P159" s="93"/>
      <c r="Q159" s="54"/>
      <c r="R159" s="110"/>
      <c r="S159" s="111"/>
      <c r="T159" s="61"/>
    </row>
    <row r="160" spans="1:21" ht="19.5" customHeight="1">
      <c r="A160" s="11"/>
      <c r="B160" s="24"/>
      <c r="C160" s="14"/>
      <c r="D160" s="17"/>
      <c r="E160" s="38"/>
      <c r="F160" s="9"/>
      <c r="G160" s="20"/>
      <c r="H160" s="5">
        <f t="shared" si="21"/>
        <v>8027000</v>
      </c>
      <c r="I160" s="5">
        <f t="shared" si="22"/>
        <v>0</v>
      </c>
      <c r="J160" s="37" t="str">
        <f t="shared" si="20"/>
        <v/>
      </c>
      <c r="O160" s="51"/>
      <c r="P160" s="93"/>
      <c r="Q160" s="54"/>
      <c r="R160" s="110"/>
      <c r="S160" s="111"/>
      <c r="T160" s="61"/>
    </row>
    <row r="161" spans="1:20" ht="19.5" customHeight="1">
      <c r="A161" s="11"/>
      <c r="B161" s="24"/>
      <c r="C161" s="14"/>
      <c r="D161" s="17"/>
      <c r="E161" s="38"/>
      <c r="F161" s="9"/>
      <c r="G161" s="20"/>
      <c r="H161" s="5">
        <f t="shared" si="21"/>
        <v>8027000</v>
      </c>
      <c r="I161" s="5">
        <f t="shared" si="22"/>
        <v>0</v>
      </c>
      <c r="J161" s="37" t="str">
        <f t="shared" si="20"/>
        <v/>
      </c>
      <c r="O161" s="51"/>
      <c r="P161" s="93"/>
      <c r="Q161" s="54"/>
      <c r="R161" s="110"/>
      <c r="S161" s="111"/>
      <c r="T161" s="61"/>
    </row>
    <row r="162" spans="1:20" ht="19.5" customHeight="1">
      <c r="A162" s="11"/>
      <c r="B162" s="24"/>
      <c r="C162" s="14"/>
      <c r="D162" s="17"/>
      <c r="E162" s="38"/>
      <c r="F162" s="9"/>
      <c r="G162" s="20"/>
      <c r="H162" s="5">
        <f t="shared" si="21"/>
        <v>8027000</v>
      </c>
      <c r="I162" s="5">
        <f t="shared" si="22"/>
        <v>0</v>
      </c>
      <c r="J162" s="37" t="str">
        <f t="shared" si="20"/>
        <v/>
      </c>
      <c r="O162" s="51"/>
      <c r="P162" s="93"/>
      <c r="Q162" s="54"/>
      <c r="R162" s="110"/>
      <c r="S162" s="111"/>
      <c r="T162" s="61"/>
    </row>
    <row r="163" spans="1:20" ht="19.5" customHeight="1">
      <c r="A163" s="11"/>
      <c r="B163" s="24"/>
      <c r="C163" s="14"/>
      <c r="D163" s="17"/>
      <c r="E163" s="38"/>
      <c r="F163" s="9"/>
      <c r="G163" s="20"/>
      <c r="H163" s="5">
        <f t="shared" si="21"/>
        <v>8027000</v>
      </c>
      <c r="I163" s="5">
        <f t="shared" si="22"/>
        <v>0</v>
      </c>
      <c r="J163" s="37" t="str">
        <f t="shared" si="20"/>
        <v/>
      </c>
      <c r="O163" s="51"/>
      <c r="P163" s="93"/>
      <c r="Q163" s="54"/>
      <c r="R163" s="110"/>
      <c r="S163" s="111"/>
      <c r="T163" s="61"/>
    </row>
    <row r="164" spans="1:20" ht="19.5" customHeight="1">
      <c r="A164" s="11"/>
      <c r="B164" s="24"/>
      <c r="C164" s="14"/>
      <c r="D164" s="17"/>
      <c r="E164" s="38"/>
      <c r="F164" s="9"/>
      <c r="G164" s="20"/>
      <c r="H164" s="5">
        <f t="shared" si="21"/>
        <v>8027000</v>
      </c>
      <c r="I164" s="5">
        <f t="shared" si="22"/>
        <v>0</v>
      </c>
      <c r="J164" s="37" t="str">
        <f t="shared" si="20"/>
        <v/>
      </c>
      <c r="O164" s="51"/>
      <c r="P164" s="93"/>
      <c r="Q164" s="54"/>
      <c r="R164" s="110"/>
      <c r="S164" s="111"/>
      <c r="T164" s="61"/>
    </row>
    <row r="165" spans="1:20" ht="19.5" customHeight="1">
      <c r="A165" s="11"/>
      <c r="B165" s="24"/>
      <c r="C165" s="14"/>
      <c r="D165" s="17"/>
      <c r="E165" s="38"/>
      <c r="F165" s="9"/>
      <c r="G165" s="20"/>
      <c r="H165" s="5">
        <f t="shared" si="21"/>
        <v>8027000</v>
      </c>
      <c r="I165" s="5">
        <f t="shared" si="22"/>
        <v>0</v>
      </c>
      <c r="J165" s="37" t="str">
        <f t="shared" si="20"/>
        <v/>
      </c>
      <c r="O165" s="51"/>
      <c r="P165" s="93"/>
      <c r="Q165" s="54"/>
      <c r="R165" s="110"/>
      <c r="S165" s="111"/>
      <c r="T165" s="61"/>
    </row>
    <row r="166" spans="1:20" ht="19.5" customHeight="1">
      <c r="A166" s="11"/>
      <c r="B166" s="24"/>
      <c r="C166" s="14"/>
      <c r="D166" s="17"/>
      <c r="E166" s="38"/>
      <c r="F166" s="9"/>
      <c r="G166" s="20"/>
      <c r="H166" s="5">
        <f t="shared" si="21"/>
        <v>8027000</v>
      </c>
      <c r="I166" s="5">
        <f t="shared" si="22"/>
        <v>0</v>
      </c>
      <c r="J166" s="37" t="str">
        <f t="shared" si="20"/>
        <v/>
      </c>
      <c r="O166" s="51"/>
      <c r="P166" s="93"/>
      <c r="Q166" s="54"/>
      <c r="R166" s="110"/>
      <c r="S166" s="111"/>
      <c r="T166" s="61"/>
    </row>
    <row r="167" spans="1:20" ht="19.5" customHeight="1">
      <c r="A167" s="11"/>
      <c r="B167" s="24"/>
      <c r="C167" s="14"/>
      <c r="D167" s="17"/>
      <c r="E167" s="38"/>
      <c r="F167" s="9"/>
      <c r="G167" s="20"/>
      <c r="H167" s="5">
        <f t="shared" si="21"/>
        <v>8027000</v>
      </c>
      <c r="I167" s="5">
        <f t="shared" si="22"/>
        <v>0</v>
      </c>
      <c r="J167" s="37" t="str">
        <f t="shared" si="20"/>
        <v/>
      </c>
      <c r="O167" s="51"/>
      <c r="P167" s="93"/>
      <c r="Q167" s="54"/>
      <c r="R167" s="110"/>
      <c r="S167" s="111"/>
      <c r="T167" s="61"/>
    </row>
    <row r="168" spans="1:20" ht="19.5" customHeight="1">
      <c r="A168" s="11"/>
      <c r="B168" s="24"/>
      <c r="C168" s="14"/>
      <c r="D168" s="17"/>
      <c r="E168" s="38"/>
      <c r="F168" s="9"/>
      <c r="G168" s="20"/>
      <c r="H168" s="5">
        <f t="shared" si="21"/>
        <v>8027000</v>
      </c>
      <c r="I168" s="5">
        <f t="shared" si="22"/>
        <v>0</v>
      </c>
      <c r="J168" s="37" t="str">
        <f t="shared" si="20"/>
        <v/>
      </c>
      <c r="O168" s="51"/>
      <c r="P168" s="93"/>
      <c r="Q168" s="54"/>
      <c r="R168" s="110"/>
      <c r="S168" s="111"/>
      <c r="T168" s="61"/>
    </row>
    <row r="169" spans="1:20" ht="19.5" customHeight="1">
      <c r="A169" s="11"/>
      <c r="B169" s="24"/>
      <c r="C169" s="14"/>
      <c r="D169" s="17"/>
      <c r="E169" s="38"/>
      <c r="F169" s="55"/>
      <c r="G169" s="20"/>
      <c r="H169" s="5">
        <f t="shared" si="21"/>
        <v>8027000</v>
      </c>
      <c r="I169" s="5">
        <f t="shared" si="22"/>
        <v>0</v>
      </c>
      <c r="J169" s="37" t="str">
        <f t="shared" si="20"/>
        <v/>
      </c>
      <c r="O169" s="51"/>
      <c r="P169" s="93"/>
      <c r="Q169" s="54"/>
      <c r="R169" s="110"/>
      <c r="S169" s="116"/>
      <c r="T169" s="61"/>
    </row>
    <row r="170" spans="1:20" ht="19.5" customHeight="1">
      <c r="A170" s="11"/>
      <c r="B170" s="24"/>
      <c r="C170" s="14"/>
      <c r="D170" s="17"/>
      <c r="E170" s="38"/>
      <c r="F170" s="55"/>
      <c r="G170" s="20"/>
      <c r="H170" s="5">
        <f t="shared" si="21"/>
        <v>8027000</v>
      </c>
      <c r="I170" s="5">
        <f t="shared" si="22"/>
        <v>0</v>
      </c>
      <c r="J170" s="37" t="str">
        <f t="shared" si="20"/>
        <v/>
      </c>
      <c r="O170" s="51"/>
      <c r="P170" s="93"/>
      <c r="Q170" s="54"/>
      <c r="R170" s="110"/>
      <c r="S170" s="116"/>
      <c r="T170" s="61"/>
    </row>
    <row r="171" spans="1:20" ht="19.5" customHeight="1">
      <c r="A171" s="11"/>
      <c r="B171" s="24"/>
      <c r="C171" s="14"/>
      <c r="D171" s="17"/>
      <c r="E171" s="38"/>
      <c r="F171" s="55"/>
      <c r="G171" s="20"/>
      <c r="H171" s="5">
        <f t="shared" si="21"/>
        <v>8027000</v>
      </c>
      <c r="I171" s="5">
        <f t="shared" si="22"/>
        <v>0</v>
      </c>
      <c r="J171" s="37" t="str">
        <f t="shared" si="20"/>
        <v/>
      </c>
      <c r="O171" s="51"/>
      <c r="P171" s="93"/>
      <c r="Q171" s="54"/>
      <c r="R171" s="110"/>
      <c r="S171" s="116"/>
      <c r="T171" s="61"/>
    </row>
    <row r="172" spans="1:20" ht="19.5" customHeight="1">
      <c r="A172" s="11"/>
      <c r="B172" s="24"/>
      <c r="C172" s="14"/>
      <c r="D172" s="17"/>
      <c r="E172" s="38"/>
      <c r="F172" s="55"/>
      <c r="G172" s="20"/>
      <c r="H172" s="5">
        <f t="shared" si="21"/>
        <v>8027000</v>
      </c>
      <c r="I172" s="5">
        <f t="shared" si="22"/>
        <v>0</v>
      </c>
      <c r="J172" s="37" t="str">
        <f t="shared" si="20"/>
        <v/>
      </c>
      <c r="O172" s="51"/>
      <c r="P172" s="93"/>
      <c r="Q172" s="54"/>
      <c r="R172" s="110"/>
      <c r="S172" s="116"/>
      <c r="T172" s="61"/>
    </row>
    <row r="173" spans="1:20" ht="19.5" customHeight="1">
      <c r="A173" s="14"/>
      <c r="B173" s="24"/>
      <c r="C173" s="14"/>
      <c r="D173" s="17"/>
      <c r="E173" s="38"/>
      <c r="F173" s="55"/>
      <c r="G173" s="20"/>
      <c r="H173" s="5">
        <f t="shared" si="21"/>
        <v>8027000</v>
      </c>
      <c r="I173" s="5">
        <f t="shared" si="22"/>
        <v>0</v>
      </c>
      <c r="J173" s="37" t="str">
        <f t="shared" si="20"/>
        <v/>
      </c>
      <c r="O173" s="109"/>
      <c r="P173" s="93"/>
      <c r="Q173" s="54"/>
      <c r="R173" s="110"/>
      <c r="S173" s="116"/>
      <c r="T173" s="61"/>
    </row>
    <row r="174" spans="1:20" ht="19.5" customHeight="1">
      <c r="A174" s="14"/>
      <c r="B174" s="24"/>
      <c r="C174" s="14"/>
      <c r="D174" s="17"/>
      <c r="E174" s="38"/>
      <c r="F174" s="55"/>
      <c r="G174" s="20"/>
      <c r="H174" s="5">
        <f t="shared" si="21"/>
        <v>8027000</v>
      </c>
      <c r="I174" s="5">
        <f t="shared" si="22"/>
        <v>0</v>
      </c>
      <c r="J174" s="37" t="str">
        <f t="shared" si="20"/>
        <v/>
      </c>
      <c r="O174" s="109"/>
      <c r="P174" s="93"/>
      <c r="Q174" s="54"/>
      <c r="R174" s="110"/>
      <c r="S174" s="116"/>
      <c r="T174" s="61"/>
    </row>
    <row r="175" spans="1:20" ht="19.5" customHeight="1">
      <c r="A175" s="14"/>
      <c r="B175" s="24"/>
      <c r="C175" s="14"/>
      <c r="D175" s="17"/>
      <c r="E175" s="38"/>
      <c r="F175" s="55"/>
      <c r="G175" s="20"/>
      <c r="H175" s="5">
        <f t="shared" si="21"/>
        <v>8027000</v>
      </c>
      <c r="I175" s="5">
        <f t="shared" si="22"/>
        <v>0</v>
      </c>
      <c r="J175" s="37" t="str">
        <f t="shared" si="20"/>
        <v/>
      </c>
      <c r="O175" s="109"/>
      <c r="P175" s="93"/>
      <c r="Q175" s="54"/>
      <c r="R175" s="110"/>
      <c r="S175" s="116"/>
      <c r="T175" s="61"/>
    </row>
    <row r="176" spans="1:20" ht="19.5" customHeight="1">
      <c r="A176" s="14"/>
      <c r="B176" s="24"/>
      <c r="C176" s="14"/>
      <c r="D176" s="17"/>
      <c r="E176" s="38"/>
      <c r="F176" s="55"/>
      <c r="G176" s="20"/>
      <c r="H176" s="5">
        <f t="shared" si="21"/>
        <v>8027000</v>
      </c>
      <c r="I176" s="5">
        <f t="shared" si="22"/>
        <v>0</v>
      </c>
      <c r="J176" s="37" t="str">
        <f t="shared" si="20"/>
        <v/>
      </c>
      <c r="O176" s="109"/>
      <c r="P176" s="93"/>
      <c r="Q176" s="54"/>
      <c r="R176" s="110"/>
      <c r="S176" s="116"/>
      <c r="T176" s="61"/>
    </row>
    <row r="177" spans="1:20" ht="19.5" customHeight="1">
      <c r="A177" s="14"/>
      <c r="B177" s="24"/>
      <c r="C177" s="14"/>
      <c r="D177" s="17"/>
      <c r="E177" s="38"/>
      <c r="F177" s="55"/>
      <c r="G177" s="20"/>
      <c r="H177" s="5">
        <f t="shared" si="21"/>
        <v>8027000</v>
      </c>
      <c r="I177" s="5">
        <f t="shared" si="22"/>
        <v>0</v>
      </c>
      <c r="J177" s="37" t="str">
        <f t="shared" si="20"/>
        <v/>
      </c>
      <c r="O177" s="109"/>
      <c r="P177" s="93"/>
      <c r="Q177" s="54"/>
      <c r="R177" s="110"/>
      <c r="S177" s="116"/>
      <c r="T177" s="61"/>
    </row>
    <row r="178" spans="1:20" ht="19.5" customHeight="1">
      <c r="A178" s="11"/>
      <c r="B178" s="24"/>
      <c r="C178" s="14"/>
      <c r="D178" s="10"/>
      <c r="E178" s="38"/>
      <c r="F178" s="9"/>
      <c r="G178" s="20"/>
      <c r="H178" s="5">
        <f t="shared" si="21"/>
        <v>8027000</v>
      </c>
      <c r="I178" s="5">
        <f t="shared" si="22"/>
        <v>0</v>
      </c>
      <c r="J178" s="37" t="str">
        <f t="shared" si="20"/>
        <v/>
      </c>
      <c r="O178" s="51"/>
      <c r="P178" s="93"/>
      <c r="Q178" s="113"/>
      <c r="R178" s="110"/>
      <c r="S178" s="111"/>
      <c r="T178" s="61"/>
    </row>
    <row r="179" spans="1:20" ht="19.5" customHeight="1">
      <c r="A179" s="11"/>
      <c r="B179" s="24"/>
      <c r="C179" s="14"/>
      <c r="D179" s="17"/>
      <c r="E179" s="38"/>
      <c r="F179" s="9"/>
      <c r="G179" s="20"/>
      <c r="H179" s="5">
        <f t="shared" si="21"/>
        <v>8027000</v>
      </c>
      <c r="I179" s="5">
        <f t="shared" si="22"/>
        <v>0</v>
      </c>
      <c r="J179" s="37" t="str">
        <f t="shared" si="20"/>
        <v/>
      </c>
      <c r="O179" s="51"/>
      <c r="P179" s="93"/>
      <c r="Q179" s="54"/>
      <c r="R179" s="110"/>
      <c r="S179" s="111"/>
      <c r="T179" s="61"/>
    </row>
    <row r="180" spans="1:20" ht="19.5" customHeight="1">
      <c r="A180" s="11"/>
      <c r="B180" s="24"/>
      <c r="C180" s="14"/>
      <c r="D180" s="17"/>
      <c r="E180" s="38"/>
      <c r="F180" s="9"/>
      <c r="G180" s="20"/>
      <c r="H180" s="5">
        <f t="shared" si="21"/>
        <v>8027000</v>
      </c>
      <c r="I180" s="5">
        <f t="shared" si="22"/>
        <v>0</v>
      </c>
      <c r="J180" s="37" t="str">
        <f t="shared" si="20"/>
        <v/>
      </c>
      <c r="O180" s="51"/>
      <c r="P180" s="93"/>
      <c r="Q180" s="54"/>
      <c r="R180" s="110"/>
      <c r="S180" s="111"/>
      <c r="T180" s="61"/>
    </row>
    <row r="181" spans="1:20" ht="19.5" customHeight="1">
      <c r="A181" s="11"/>
      <c r="B181" s="24"/>
      <c r="C181" s="14"/>
      <c r="D181" s="17"/>
      <c r="E181" s="38"/>
      <c r="F181" s="9"/>
      <c r="G181" s="20"/>
      <c r="H181" s="5">
        <f t="shared" si="21"/>
        <v>8027000</v>
      </c>
      <c r="I181" s="5">
        <f t="shared" si="22"/>
        <v>0</v>
      </c>
      <c r="J181" s="37" t="str">
        <f t="shared" si="20"/>
        <v/>
      </c>
      <c r="O181" s="51"/>
      <c r="P181" s="93"/>
      <c r="Q181" s="54"/>
      <c r="R181" s="110"/>
      <c r="S181" s="111"/>
      <c r="T181" s="61"/>
    </row>
    <row r="182" spans="1:20" ht="19.5" customHeight="1">
      <c r="A182" s="11"/>
      <c r="B182" s="24"/>
      <c r="C182" s="14"/>
      <c r="D182" s="17"/>
      <c r="E182" s="38"/>
      <c r="F182" s="9"/>
      <c r="G182" s="20"/>
      <c r="H182" s="5">
        <f t="shared" si="21"/>
        <v>8027000</v>
      </c>
      <c r="I182" s="5">
        <f t="shared" si="22"/>
        <v>0</v>
      </c>
      <c r="J182" s="37" t="str">
        <f t="shared" si="20"/>
        <v/>
      </c>
      <c r="O182" s="51"/>
      <c r="P182" s="93"/>
      <c r="Q182" s="54"/>
      <c r="R182" s="110"/>
      <c r="S182" s="111"/>
      <c r="T182" s="61"/>
    </row>
    <row r="183" spans="1:20" ht="19.5" customHeight="1">
      <c r="A183" s="11"/>
      <c r="B183" s="24"/>
      <c r="C183" s="14"/>
      <c r="D183" s="17"/>
      <c r="E183" s="38"/>
      <c r="F183" s="9"/>
      <c r="G183" s="20"/>
      <c r="H183" s="5">
        <f t="shared" si="21"/>
        <v>8027000</v>
      </c>
      <c r="I183" s="5">
        <f t="shared" si="22"/>
        <v>0</v>
      </c>
      <c r="J183" s="37" t="str">
        <f t="shared" si="20"/>
        <v/>
      </c>
      <c r="O183" s="51"/>
      <c r="P183" s="93"/>
      <c r="Q183" s="54"/>
      <c r="R183" s="110"/>
      <c r="S183" s="111"/>
      <c r="T183" s="61"/>
    </row>
    <row r="184" spans="1:20" ht="19.5" customHeight="1">
      <c r="A184" s="11"/>
      <c r="B184" s="24"/>
      <c r="C184" s="14"/>
      <c r="D184" s="17"/>
      <c r="E184" s="38"/>
      <c r="F184" s="9"/>
      <c r="G184" s="20"/>
      <c r="H184" s="5">
        <f t="shared" si="21"/>
        <v>8027000</v>
      </c>
      <c r="I184" s="5">
        <f t="shared" si="22"/>
        <v>0</v>
      </c>
      <c r="J184" s="37" t="str">
        <f t="shared" si="20"/>
        <v/>
      </c>
      <c r="O184" s="51"/>
      <c r="P184" s="93"/>
      <c r="Q184" s="54"/>
      <c r="R184" s="110"/>
      <c r="S184" s="111"/>
      <c r="T184" s="61"/>
    </row>
    <row r="185" spans="1:20" ht="19.5" customHeight="1">
      <c r="A185" s="11"/>
      <c r="B185" s="24"/>
      <c r="C185" s="14"/>
      <c r="D185" s="17"/>
      <c r="E185" s="38"/>
      <c r="F185" s="9"/>
      <c r="G185" s="20"/>
      <c r="H185" s="5">
        <f t="shared" si="21"/>
        <v>8027000</v>
      </c>
      <c r="I185" s="5">
        <f t="shared" si="22"/>
        <v>0</v>
      </c>
      <c r="J185" s="37" t="str">
        <f t="shared" si="20"/>
        <v/>
      </c>
      <c r="O185" s="51"/>
      <c r="P185" s="93"/>
      <c r="Q185" s="54"/>
      <c r="R185" s="110"/>
      <c r="S185" s="111"/>
      <c r="T185" s="61"/>
    </row>
    <row r="186" spans="1:20" ht="19.5" customHeight="1">
      <c r="A186" s="11"/>
      <c r="B186" s="24"/>
      <c r="C186" s="14"/>
      <c r="D186" s="17"/>
      <c r="E186" s="38"/>
      <c r="F186" s="9"/>
      <c r="G186" s="20"/>
      <c r="H186" s="5">
        <f t="shared" si="21"/>
        <v>8027000</v>
      </c>
      <c r="I186" s="5">
        <f t="shared" si="22"/>
        <v>0</v>
      </c>
      <c r="J186" s="37" t="str">
        <f t="shared" si="20"/>
        <v/>
      </c>
      <c r="O186" s="51"/>
      <c r="P186" s="93"/>
      <c r="Q186" s="54"/>
      <c r="R186" s="110"/>
      <c r="S186" s="111"/>
      <c r="T186" s="61"/>
    </row>
    <row r="187" spans="1:20" ht="19.5" customHeight="1">
      <c r="A187" s="11"/>
      <c r="B187" s="24"/>
      <c r="C187" s="14"/>
      <c r="D187" s="17"/>
      <c r="E187" s="38"/>
      <c r="F187" s="9"/>
      <c r="G187" s="20"/>
      <c r="H187" s="5">
        <f t="shared" si="21"/>
        <v>8027000</v>
      </c>
      <c r="I187" s="5">
        <f t="shared" si="22"/>
        <v>0</v>
      </c>
      <c r="J187" s="37" t="str">
        <f t="shared" si="20"/>
        <v/>
      </c>
      <c r="O187" s="51"/>
      <c r="P187" s="93"/>
      <c r="Q187" s="54"/>
      <c r="R187" s="110"/>
      <c r="S187" s="111"/>
      <c r="T187" s="61"/>
    </row>
    <row r="188" spans="1:20" ht="19.5" customHeight="1">
      <c r="A188" s="11"/>
      <c r="B188" s="24"/>
      <c r="C188" s="14"/>
      <c r="D188" s="17"/>
      <c r="E188" s="38"/>
      <c r="F188" s="9"/>
      <c r="G188" s="20"/>
      <c r="H188" s="5">
        <f t="shared" si="21"/>
        <v>8027000</v>
      </c>
      <c r="I188" s="5">
        <f t="shared" si="22"/>
        <v>0</v>
      </c>
      <c r="J188" s="37" t="str">
        <f t="shared" si="20"/>
        <v/>
      </c>
      <c r="O188" s="51"/>
      <c r="P188" s="93"/>
      <c r="Q188" s="54"/>
      <c r="R188" s="110"/>
      <c r="S188" s="111"/>
      <c r="T188" s="61"/>
    </row>
    <row r="189" spans="1:20" ht="19.5" customHeight="1">
      <c r="A189" s="11"/>
      <c r="B189" s="24"/>
      <c r="C189" s="14"/>
      <c r="D189" s="17"/>
      <c r="E189" s="38"/>
      <c r="F189" s="9"/>
      <c r="G189" s="20"/>
      <c r="H189" s="5">
        <f t="shared" si="21"/>
        <v>8027000</v>
      </c>
      <c r="I189" s="5">
        <f t="shared" si="22"/>
        <v>0</v>
      </c>
      <c r="J189" s="37" t="str">
        <f t="shared" si="20"/>
        <v/>
      </c>
      <c r="O189" s="51"/>
      <c r="P189" s="93"/>
      <c r="Q189" s="54"/>
      <c r="R189" s="110"/>
      <c r="S189" s="111"/>
      <c r="T189" s="61"/>
    </row>
    <row r="190" spans="1:20" ht="19.5" customHeight="1">
      <c r="A190" s="11"/>
      <c r="B190" s="24"/>
      <c r="C190" s="14"/>
      <c r="D190" s="17"/>
      <c r="E190" s="38"/>
      <c r="F190" s="9"/>
      <c r="G190" s="20"/>
      <c r="H190" s="5">
        <f t="shared" si="21"/>
        <v>8027000</v>
      </c>
      <c r="I190" s="5">
        <f t="shared" si="22"/>
        <v>0</v>
      </c>
      <c r="J190" s="37" t="str">
        <f t="shared" si="20"/>
        <v/>
      </c>
      <c r="O190" s="51"/>
      <c r="P190" s="93"/>
      <c r="Q190" s="54"/>
      <c r="R190" s="110"/>
      <c r="S190" s="111"/>
      <c r="T190" s="61"/>
    </row>
    <row r="191" spans="1:20" ht="19.5" customHeight="1">
      <c r="A191" s="11"/>
      <c r="B191" s="24"/>
      <c r="C191" s="14"/>
      <c r="D191" s="17"/>
      <c r="E191" s="38"/>
      <c r="F191" s="55"/>
      <c r="G191" s="20"/>
      <c r="H191" s="5">
        <f t="shared" si="21"/>
        <v>8027000</v>
      </c>
      <c r="I191" s="5">
        <f t="shared" si="22"/>
        <v>0</v>
      </c>
      <c r="J191" s="37" t="str">
        <f t="shared" si="20"/>
        <v/>
      </c>
      <c r="O191" s="51"/>
      <c r="P191" s="93"/>
      <c r="Q191" s="54"/>
      <c r="R191" s="110"/>
      <c r="S191" s="116"/>
      <c r="T191" s="61"/>
    </row>
    <row r="192" spans="1:20" ht="19.5" customHeight="1">
      <c r="A192" s="11"/>
      <c r="B192" s="24"/>
      <c r="C192" s="14"/>
      <c r="D192" s="17"/>
      <c r="E192" s="38"/>
      <c r="F192" s="55"/>
      <c r="G192" s="20"/>
      <c r="H192" s="5">
        <f t="shared" si="21"/>
        <v>8027000</v>
      </c>
      <c r="I192" s="5">
        <f t="shared" si="22"/>
        <v>0</v>
      </c>
      <c r="J192" s="37" t="str">
        <f t="shared" si="20"/>
        <v/>
      </c>
      <c r="O192" s="51"/>
      <c r="P192" s="93"/>
      <c r="Q192" s="54"/>
      <c r="R192" s="110"/>
      <c r="S192" s="116"/>
      <c r="T192" s="61"/>
    </row>
    <row r="193" spans="1:21" ht="19.5" customHeight="1">
      <c r="A193" s="11"/>
      <c r="B193" s="24"/>
      <c r="C193" s="14"/>
      <c r="D193" s="17"/>
      <c r="E193" s="38"/>
      <c r="F193" s="55"/>
      <c r="G193" s="20"/>
      <c r="H193" s="5">
        <f t="shared" si="21"/>
        <v>8027000</v>
      </c>
      <c r="I193" s="5">
        <f t="shared" si="22"/>
        <v>0</v>
      </c>
      <c r="J193" s="37" t="str">
        <f t="shared" ref="J193:J203" si="23">IF(A193&lt;&gt;"",MONTH(A193),"")</f>
        <v/>
      </c>
      <c r="O193" s="51"/>
      <c r="P193" s="93"/>
      <c r="Q193" s="54"/>
      <c r="R193" s="110"/>
      <c r="S193" s="116"/>
      <c r="T193" s="61"/>
    </row>
    <row r="194" spans="1:21" ht="19.5" customHeight="1">
      <c r="A194" s="14"/>
      <c r="B194" s="24"/>
      <c r="C194" s="14"/>
      <c r="D194" s="17"/>
      <c r="E194" s="38"/>
      <c r="F194" s="60"/>
      <c r="G194" s="20"/>
      <c r="H194" s="5">
        <f t="shared" si="21"/>
        <v>8027000</v>
      </c>
      <c r="I194" s="5">
        <f t="shared" si="22"/>
        <v>0</v>
      </c>
      <c r="J194" s="37" t="str">
        <f t="shared" si="23"/>
        <v/>
      </c>
      <c r="O194" s="109"/>
      <c r="P194" s="93"/>
      <c r="Q194" s="54"/>
      <c r="R194" s="110"/>
      <c r="S194" s="117"/>
      <c r="T194" s="61"/>
    </row>
    <row r="195" spans="1:21" ht="19.5" customHeight="1">
      <c r="A195" s="11"/>
      <c r="B195" s="18"/>
      <c r="C195" s="14"/>
      <c r="D195" s="17"/>
      <c r="E195" s="38"/>
      <c r="F195" s="60"/>
      <c r="G195" s="20"/>
      <c r="H195" s="5">
        <f t="shared" si="21"/>
        <v>8027000</v>
      </c>
      <c r="I195" s="5">
        <f t="shared" si="22"/>
        <v>0</v>
      </c>
      <c r="J195" s="37" t="str">
        <f t="shared" si="23"/>
        <v/>
      </c>
      <c r="O195" s="51"/>
      <c r="P195" s="115"/>
      <c r="Q195" s="54"/>
      <c r="R195" s="110"/>
      <c r="S195" s="117"/>
      <c r="T195" s="61"/>
    </row>
    <row r="196" spans="1:21" ht="19.5" customHeight="1">
      <c r="A196" s="11"/>
      <c r="B196" s="18"/>
      <c r="C196" s="14"/>
      <c r="D196" s="17"/>
      <c r="E196" s="38"/>
      <c r="F196" s="60"/>
      <c r="G196" s="9"/>
      <c r="H196" s="5">
        <f t="shared" si="21"/>
        <v>8027000</v>
      </c>
      <c r="I196" s="5">
        <f t="shared" si="22"/>
        <v>0</v>
      </c>
      <c r="J196" s="37" t="str">
        <f t="shared" si="23"/>
        <v/>
      </c>
      <c r="O196" s="51"/>
      <c r="P196" s="115"/>
      <c r="Q196" s="54"/>
      <c r="R196" s="110"/>
      <c r="S196" s="117"/>
      <c r="T196" s="111"/>
    </row>
    <row r="197" spans="1:21" ht="19.5" customHeight="1">
      <c r="A197" s="11"/>
      <c r="B197" s="18"/>
      <c r="C197" s="14"/>
      <c r="D197" s="17"/>
      <c r="E197" s="38"/>
      <c r="F197" s="60"/>
      <c r="G197" s="20"/>
      <c r="H197" s="5">
        <f t="shared" si="21"/>
        <v>8027000</v>
      </c>
      <c r="I197" s="5">
        <f t="shared" si="22"/>
        <v>0</v>
      </c>
      <c r="J197" s="37" t="str">
        <f t="shared" si="23"/>
        <v/>
      </c>
      <c r="O197" s="51"/>
      <c r="P197" s="115"/>
      <c r="Q197" s="54"/>
      <c r="R197" s="110"/>
      <c r="S197" s="117"/>
      <c r="T197" s="61"/>
    </row>
    <row r="198" spans="1:21" ht="19.5" customHeight="1">
      <c r="A198" s="11"/>
      <c r="B198" s="18"/>
      <c r="C198" s="14"/>
      <c r="D198" s="17"/>
      <c r="E198" s="38"/>
      <c r="F198" s="60"/>
      <c r="G198" s="16"/>
      <c r="H198" s="5">
        <f t="shared" si="21"/>
        <v>8027000</v>
      </c>
      <c r="I198" s="5">
        <f t="shared" si="22"/>
        <v>0</v>
      </c>
      <c r="J198" s="37" t="str">
        <f t="shared" si="23"/>
        <v/>
      </c>
      <c r="O198" s="51"/>
      <c r="P198" s="115"/>
      <c r="Q198" s="54"/>
      <c r="R198" s="110"/>
      <c r="S198" s="117"/>
      <c r="T198" s="118"/>
    </row>
    <row r="199" spans="1:21" ht="19.5" customHeight="1">
      <c r="A199" s="11"/>
      <c r="B199" s="18"/>
      <c r="C199" s="14"/>
      <c r="D199" s="17"/>
      <c r="E199" s="38"/>
      <c r="F199" s="60"/>
      <c r="G199" s="5"/>
      <c r="H199" s="5">
        <f t="shared" si="21"/>
        <v>8027000</v>
      </c>
      <c r="I199" s="5">
        <f t="shared" si="22"/>
        <v>0</v>
      </c>
      <c r="J199" s="37" t="str">
        <f t="shared" si="23"/>
        <v/>
      </c>
      <c r="O199" s="51"/>
      <c r="P199" s="115"/>
      <c r="Q199" s="54"/>
      <c r="R199" s="110"/>
      <c r="S199" s="117"/>
      <c r="T199" s="62"/>
    </row>
    <row r="200" spans="1:21" ht="19.5" customHeight="1">
      <c r="A200" s="11"/>
      <c r="B200" s="18"/>
      <c r="C200" s="14"/>
      <c r="D200" s="17"/>
      <c r="E200" s="38"/>
      <c r="F200" s="60"/>
      <c r="G200" s="16"/>
      <c r="H200" s="5">
        <f t="shared" si="21"/>
        <v>8027000</v>
      </c>
      <c r="I200" s="5">
        <f t="shared" si="22"/>
        <v>0</v>
      </c>
      <c r="J200" s="37" t="str">
        <f t="shared" si="23"/>
        <v/>
      </c>
      <c r="O200" s="51"/>
      <c r="P200" s="115"/>
      <c r="Q200" s="54"/>
      <c r="R200" s="110"/>
      <c r="S200" s="117"/>
      <c r="T200" s="118"/>
    </row>
    <row r="201" spans="1:21" ht="19.5" customHeight="1">
      <c r="A201" s="11"/>
      <c r="B201" s="18"/>
      <c r="C201" s="14"/>
      <c r="D201" s="17"/>
      <c r="E201" s="38"/>
      <c r="F201" s="60"/>
      <c r="G201" s="16"/>
      <c r="H201" s="5">
        <f t="shared" si="21"/>
        <v>8027000</v>
      </c>
      <c r="I201" s="5">
        <f t="shared" si="22"/>
        <v>0</v>
      </c>
      <c r="J201" s="37" t="str">
        <f t="shared" si="23"/>
        <v/>
      </c>
      <c r="O201" s="51"/>
      <c r="P201" s="115"/>
      <c r="Q201" s="54"/>
      <c r="R201" s="110"/>
      <c r="S201" s="117"/>
      <c r="T201" s="118"/>
    </row>
    <row r="202" spans="1:21" ht="19.5" customHeight="1">
      <c r="A202" s="11"/>
      <c r="B202" s="18"/>
      <c r="C202" s="14"/>
      <c r="D202" s="63"/>
      <c r="E202" s="38"/>
      <c r="F202" s="60"/>
      <c r="G202" s="16"/>
      <c r="H202" s="5">
        <f t="shared" si="21"/>
        <v>8027000</v>
      </c>
      <c r="I202" s="5">
        <f t="shared" si="22"/>
        <v>0</v>
      </c>
      <c r="J202" s="37" t="str">
        <f t="shared" si="23"/>
        <v/>
      </c>
      <c r="O202" s="51"/>
      <c r="P202" s="115"/>
      <c r="Q202" s="119"/>
      <c r="R202" s="110"/>
      <c r="S202" s="117"/>
      <c r="T202" s="118"/>
    </row>
    <row r="203" spans="1:21" ht="19.5" customHeight="1">
      <c r="A203" s="11"/>
      <c r="B203" s="39"/>
      <c r="C203" s="11"/>
      <c r="D203" s="17"/>
      <c r="E203" s="26"/>
      <c r="F203" s="4"/>
      <c r="G203" s="5"/>
      <c r="H203" s="5"/>
      <c r="I203" s="5"/>
      <c r="J203" s="37" t="str">
        <f t="shared" si="23"/>
        <v/>
      </c>
      <c r="O203" s="51"/>
      <c r="P203" s="106"/>
      <c r="Q203" s="54"/>
      <c r="R203" s="19"/>
      <c r="S203" s="108"/>
      <c r="T203" s="62"/>
    </row>
    <row r="204" spans="1:21" ht="19.5" customHeight="1">
      <c r="A204" s="11"/>
      <c r="B204" s="39"/>
      <c r="C204" s="11"/>
      <c r="D204" s="40" t="s">
        <v>22</v>
      </c>
      <c r="E204" s="26" t="s">
        <v>23</v>
      </c>
      <c r="F204" s="4">
        <f>SUM(F16:F203)</f>
        <v>10840000000</v>
      </c>
      <c r="G204" s="4">
        <f>SUM(G16:G203)</f>
        <v>10831973000</v>
      </c>
      <c r="H204" s="4" t="s">
        <v>23</v>
      </c>
      <c r="I204" s="4" t="s">
        <v>23</v>
      </c>
      <c r="O204" s="51"/>
      <c r="P204" s="106"/>
      <c r="Q204" s="107" t="s">
        <v>22</v>
      </c>
      <c r="R204" s="19" t="s">
        <v>23</v>
      </c>
      <c r="S204" s="108">
        <f ca="1">SUM(S17:S203)</f>
        <v>0</v>
      </c>
      <c r="T204" s="108">
        <f ca="1">SUM(T17:T203)</f>
        <v>424592000</v>
      </c>
    </row>
    <row r="205" spans="1:21" ht="19.5" customHeight="1">
      <c r="A205" s="41"/>
      <c r="B205" s="42"/>
      <c r="C205" s="41"/>
      <c r="D205" s="43" t="s">
        <v>24</v>
      </c>
      <c r="E205" s="44" t="s">
        <v>23</v>
      </c>
      <c r="F205" s="6" t="s">
        <v>23</v>
      </c>
      <c r="G205" s="8" t="s">
        <v>23</v>
      </c>
      <c r="H205" s="8">
        <f>IF(H15-I15+F204-G204&gt;0,H15-I15+F204-G204,0)</f>
        <v>8027000</v>
      </c>
      <c r="I205" s="8">
        <f>IF(I15-H15+G204-F204&gt;0,I15-H15+G204-F204,0)</f>
        <v>0</v>
      </c>
      <c r="O205" s="51"/>
      <c r="P205" s="106"/>
      <c r="Q205" s="107" t="s">
        <v>24</v>
      </c>
      <c r="R205" s="19" t="s">
        <v>23</v>
      </c>
      <c r="S205" s="108" t="s">
        <v>23</v>
      </c>
      <c r="T205" s="62" t="s">
        <v>23</v>
      </c>
    </row>
    <row r="206" spans="1:21">
      <c r="F206" s="46">
        <f>F204+'141-TT'!F140</f>
        <v>25690000000</v>
      </c>
      <c r="G206" s="45">
        <f>G204+'141-TT'!G140</f>
        <v>25674855000</v>
      </c>
      <c r="I206" s="46"/>
      <c r="K206" s="215"/>
      <c r="O206" s="19"/>
      <c r="P206" s="106"/>
      <c r="Q206" s="54"/>
      <c r="R206" s="19"/>
      <c r="S206" s="19"/>
      <c r="T206" s="62"/>
    </row>
    <row r="207" spans="1:21" s="1" customFormat="1">
      <c r="A207" s="28"/>
      <c r="B207" s="28"/>
      <c r="C207" s="47" t="s">
        <v>48</v>
      </c>
      <c r="D207" s="29"/>
      <c r="E207" s="28"/>
      <c r="F207" s="28"/>
      <c r="G207" s="45"/>
      <c r="H207" s="45"/>
      <c r="I207" s="45"/>
      <c r="J207" s="59"/>
      <c r="K207" s="57">
        <f>H205+'141-TT'!H141</f>
        <v>15145000</v>
      </c>
      <c r="L207" s="59"/>
      <c r="M207" s="59"/>
      <c r="N207" s="59"/>
      <c r="O207" s="19"/>
      <c r="P207" s="19"/>
      <c r="Q207" s="54"/>
      <c r="R207" s="19"/>
      <c r="S207" s="19"/>
      <c r="T207" s="62"/>
      <c r="U207" s="148"/>
    </row>
    <row r="208" spans="1:21" s="1" customFormat="1">
      <c r="A208" s="28"/>
      <c r="B208" s="28"/>
      <c r="C208" s="47" t="s">
        <v>151</v>
      </c>
      <c r="D208" s="29"/>
      <c r="E208" s="28"/>
      <c r="F208" s="28"/>
      <c r="G208" s="45"/>
      <c r="H208" s="46"/>
      <c r="I208" s="46"/>
      <c r="J208" s="61"/>
      <c r="K208" s="57"/>
      <c r="L208" s="61"/>
      <c r="M208" s="59"/>
      <c r="N208" s="59"/>
      <c r="O208" s="19"/>
      <c r="P208" s="19"/>
      <c r="Q208" s="54"/>
      <c r="R208" s="19"/>
      <c r="S208" s="19"/>
      <c r="T208" s="62"/>
      <c r="U208" s="148"/>
    </row>
    <row r="209" spans="1:21" s="1" customFormat="1">
      <c r="A209" s="28"/>
      <c r="B209" s="28"/>
      <c r="C209" s="28"/>
      <c r="D209" s="29"/>
      <c r="E209" s="303" t="s">
        <v>167</v>
      </c>
      <c r="F209" s="303"/>
      <c r="G209" s="303"/>
      <c r="H209" s="303"/>
      <c r="I209" s="303"/>
      <c r="J209" s="61"/>
      <c r="K209" s="118"/>
      <c r="L209" s="61"/>
      <c r="M209" s="59"/>
      <c r="N209" s="59"/>
      <c r="O209" s="19"/>
      <c r="P209" s="19"/>
      <c r="Q209" s="54"/>
      <c r="R209" s="59"/>
      <c r="S209" s="59"/>
      <c r="T209" s="59"/>
      <c r="U209" s="148"/>
    </row>
    <row r="210" spans="1:21" s="1" customFormat="1">
      <c r="A210" s="303" t="s">
        <v>25</v>
      </c>
      <c r="B210" s="303"/>
      <c r="C210" s="303"/>
      <c r="D210" s="303"/>
      <c r="E210" s="303" t="s">
        <v>26</v>
      </c>
      <c r="F210" s="303"/>
      <c r="G210" s="303"/>
      <c r="H210" s="303"/>
      <c r="I210" s="303"/>
      <c r="J210" s="61"/>
      <c r="K210" s="142"/>
      <c r="L210" s="62"/>
      <c r="M210" s="59"/>
      <c r="N210" s="59"/>
      <c r="O210" s="319" t="s">
        <v>25</v>
      </c>
      <c r="P210" s="319"/>
      <c r="Q210" s="319"/>
      <c r="R210" s="59"/>
      <c r="S210" s="59"/>
      <c r="T210" s="59"/>
      <c r="U210" s="148"/>
    </row>
    <row r="211" spans="1:21" s="1" customFormat="1">
      <c r="A211" s="303" t="s">
        <v>27</v>
      </c>
      <c r="B211" s="303"/>
      <c r="C211" s="303"/>
      <c r="D211" s="303"/>
      <c r="E211" s="303" t="s">
        <v>27</v>
      </c>
      <c r="F211" s="303"/>
      <c r="G211" s="303"/>
      <c r="H211" s="303"/>
      <c r="I211" s="303"/>
      <c r="J211" s="61"/>
      <c r="K211" s="141"/>
      <c r="L211" s="61"/>
      <c r="M211" s="59"/>
      <c r="N211" s="59"/>
      <c r="O211" s="319" t="s">
        <v>27</v>
      </c>
      <c r="P211" s="319"/>
      <c r="Q211" s="319"/>
      <c r="R211" s="59"/>
      <c r="S211" s="59"/>
      <c r="T211" s="59"/>
      <c r="U211" s="148"/>
    </row>
    <row r="212" spans="1:21" s="1" customFormat="1">
      <c r="A212" s="28"/>
      <c r="B212" s="28"/>
      <c r="C212" s="28"/>
      <c r="D212" s="29"/>
      <c r="E212" s="28"/>
      <c r="F212" s="28"/>
      <c r="G212" s="45"/>
      <c r="H212" s="28"/>
      <c r="I212" s="28"/>
      <c r="J212" s="61"/>
      <c r="K212" s="118"/>
      <c r="L212" s="61"/>
      <c r="M212" s="59"/>
      <c r="N212" s="59"/>
      <c r="O212" s="19"/>
      <c r="P212" s="19"/>
      <c r="Q212" s="54"/>
      <c r="R212" s="19"/>
      <c r="S212" s="19"/>
      <c r="T212" s="62"/>
      <c r="U212" s="148"/>
    </row>
    <row r="213" spans="1:21">
      <c r="F213" s="46"/>
      <c r="G213" s="46"/>
      <c r="H213" s="45"/>
      <c r="J213" s="61"/>
      <c r="K213" s="143"/>
      <c r="L213" s="61"/>
      <c r="M213" s="54"/>
      <c r="N213" s="54"/>
      <c r="O213" s="19"/>
      <c r="P213" s="106"/>
      <c r="Q213" s="54"/>
      <c r="R213" s="19"/>
      <c r="S213" s="121"/>
      <c r="T213" s="121"/>
    </row>
    <row r="214" spans="1:21">
      <c r="F214" s="46"/>
      <c r="H214" s="45"/>
      <c r="J214" s="61"/>
      <c r="K214" s="142"/>
      <c r="L214" s="61"/>
      <c r="M214" s="54"/>
      <c r="N214" s="54"/>
      <c r="O214" s="19"/>
      <c r="P214" s="106"/>
      <c r="Q214" s="54"/>
      <c r="R214" s="19"/>
      <c r="S214" s="121"/>
      <c r="T214" s="62"/>
    </row>
    <row r="215" spans="1:21">
      <c r="F215" s="46"/>
      <c r="H215" s="45"/>
      <c r="J215" s="61"/>
      <c r="K215" s="143"/>
      <c r="L215" s="61"/>
      <c r="M215" s="54"/>
      <c r="N215" s="54"/>
      <c r="O215" s="19"/>
      <c r="P215" s="106"/>
      <c r="Q215" s="54"/>
      <c r="R215" s="19"/>
      <c r="S215" s="121"/>
      <c r="T215" s="62"/>
    </row>
    <row r="216" spans="1:21">
      <c r="F216" s="46"/>
      <c r="H216" s="45"/>
      <c r="J216" s="61"/>
      <c r="K216" s="142"/>
      <c r="L216" s="61"/>
      <c r="M216" s="54"/>
      <c r="N216" s="54"/>
      <c r="O216" s="19"/>
      <c r="P216" s="106"/>
      <c r="Q216" s="54"/>
      <c r="R216" s="19"/>
      <c r="S216" s="121"/>
      <c r="T216" s="62"/>
    </row>
    <row r="217" spans="1:21">
      <c r="H217" s="46"/>
      <c r="J217" s="61"/>
      <c r="K217" s="143"/>
      <c r="L217" s="61"/>
      <c r="M217" s="54"/>
      <c r="N217" s="54"/>
      <c r="O217" s="19"/>
      <c r="P217" s="106"/>
      <c r="Q217" s="54"/>
      <c r="R217" s="19"/>
      <c r="S217" s="19"/>
      <c r="T217" s="62"/>
    </row>
    <row r="218" spans="1:21">
      <c r="F218" s="46"/>
      <c r="G218" s="46"/>
      <c r="J218" s="54"/>
      <c r="K218" s="143"/>
      <c r="L218" s="54"/>
      <c r="M218" s="54"/>
      <c r="N218" s="54"/>
      <c r="O218" s="19"/>
      <c r="P218" s="106"/>
      <c r="Q218" s="54"/>
      <c r="R218" s="19"/>
      <c r="S218" s="121"/>
      <c r="T218" s="121"/>
    </row>
    <row r="219" spans="1:21">
      <c r="J219" s="54"/>
      <c r="K219" s="143"/>
      <c r="L219" s="54"/>
      <c r="M219" s="54"/>
      <c r="N219" s="54"/>
      <c r="O219" s="19"/>
      <c r="P219" s="106"/>
      <c r="Q219" s="54"/>
      <c r="R219" s="19"/>
      <c r="S219" s="19"/>
      <c r="T219" s="62"/>
    </row>
    <row r="220" spans="1:21">
      <c r="J220" s="54"/>
      <c r="K220" s="143"/>
      <c r="L220" s="54"/>
      <c r="M220" s="54"/>
      <c r="N220" s="54"/>
      <c r="O220" s="19"/>
      <c r="P220" s="106"/>
      <c r="Q220" s="54"/>
      <c r="R220" s="19"/>
      <c r="S220" s="19"/>
      <c r="T220" s="62"/>
    </row>
    <row r="221" spans="1:21">
      <c r="J221" s="54"/>
      <c r="K221" s="143"/>
      <c r="L221" s="54"/>
      <c r="M221" s="54"/>
      <c r="N221" s="54"/>
      <c r="O221" s="19"/>
      <c r="P221" s="106"/>
      <c r="Q221" s="54"/>
      <c r="R221" s="19"/>
      <c r="S221" s="19"/>
      <c r="T221" s="62"/>
    </row>
    <row r="222" spans="1:21">
      <c r="O222" s="19"/>
      <c r="P222" s="106"/>
      <c r="Q222" s="54"/>
      <c r="R222" s="19"/>
      <c r="S222" s="19"/>
      <c r="T222" s="62"/>
    </row>
    <row r="223" spans="1:21">
      <c r="O223" s="19"/>
      <c r="P223" s="106"/>
      <c r="Q223" s="54"/>
      <c r="R223" s="19"/>
      <c r="S223" s="19"/>
      <c r="T223" s="62"/>
    </row>
    <row r="224" spans="1:21">
      <c r="O224" s="19"/>
      <c r="P224" s="106"/>
      <c r="Q224" s="54"/>
      <c r="R224" s="19"/>
      <c r="S224" s="19"/>
      <c r="T224" s="62"/>
    </row>
    <row r="225" spans="15:20">
      <c r="O225" s="19"/>
      <c r="P225" s="106"/>
      <c r="Q225" s="54"/>
      <c r="R225" s="19"/>
      <c r="S225" s="19"/>
      <c r="T225" s="62"/>
    </row>
    <row r="226" spans="15:20">
      <c r="O226" s="19"/>
      <c r="P226" s="106"/>
      <c r="Q226" s="54"/>
      <c r="R226" s="19"/>
      <c r="S226" s="19"/>
      <c r="T226" s="62"/>
    </row>
    <row r="227" spans="15:20">
      <c r="O227" s="19"/>
      <c r="P227" s="106"/>
      <c r="Q227" s="54"/>
      <c r="R227" s="19"/>
      <c r="S227" s="19"/>
      <c r="T227" s="62"/>
    </row>
    <row r="228" spans="15:20">
      <c r="O228" s="19"/>
      <c r="P228" s="106"/>
      <c r="Q228" s="54"/>
      <c r="R228" s="19"/>
      <c r="S228" s="19"/>
      <c r="T228" s="62"/>
    </row>
    <row r="229" spans="15:20">
      <c r="O229" s="19"/>
      <c r="P229" s="106"/>
      <c r="Q229" s="54"/>
      <c r="R229" s="19"/>
      <c r="S229" s="19"/>
      <c r="T229" s="62"/>
    </row>
    <row r="230" spans="15:20">
      <c r="O230" s="19"/>
      <c r="P230" s="106"/>
      <c r="Q230" s="54"/>
      <c r="R230" s="19"/>
      <c r="S230" s="19"/>
      <c r="T230" s="62"/>
    </row>
    <row r="231" spans="15:20">
      <c r="O231" s="19"/>
      <c r="P231" s="106"/>
      <c r="Q231" s="54"/>
      <c r="R231" s="19"/>
      <c r="S231" s="19"/>
      <c r="T231" s="62"/>
    </row>
    <row r="232" spans="15:20">
      <c r="O232" s="19"/>
      <c r="P232" s="106"/>
      <c r="Q232" s="54"/>
      <c r="R232" s="19"/>
      <c r="S232" s="19"/>
      <c r="T232" s="62"/>
    </row>
    <row r="233" spans="15:20">
      <c r="O233" s="19"/>
      <c r="P233" s="106"/>
      <c r="Q233" s="54"/>
      <c r="R233" s="19"/>
      <c r="S233" s="19"/>
      <c r="T233" s="62"/>
    </row>
    <row r="234" spans="15:20">
      <c r="O234" s="19"/>
      <c r="P234" s="106"/>
      <c r="Q234" s="54"/>
      <c r="R234" s="19"/>
      <c r="S234" s="19"/>
      <c r="T234" s="62"/>
    </row>
    <row r="235" spans="15:20">
      <c r="O235" s="19"/>
      <c r="P235" s="106"/>
      <c r="Q235" s="54"/>
      <c r="R235" s="19"/>
      <c r="S235" s="19"/>
      <c r="T235" s="62"/>
    </row>
    <row r="236" spans="15:20">
      <c r="O236" s="19"/>
      <c r="P236" s="106"/>
      <c r="Q236" s="54"/>
      <c r="R236" s="19"/>
      <c r="S236" s="19"/>
      <c r="T236" s="62"/>
    </row>
    <row r="237" spans="15:20">
      <c r="O237" s="19"/>
      <c r="P237" s="106"/>
      <c r="Q237" s="54"/>
      <c r="R237" s="19"/>
      <c r="S237" s="19"/>
      <c r="T237" s="62"/>
    </row>
    <row r="238" spans="15:20">
      <c r="O238" s="19"/>
      <c r="P238" s="106"/>
      <c r="Q238" s="54"/>
      <c r="R238" s="19"/>
      <c r="S238" s="19"/>
      <c r="T238" s="62"/>
    </row>
    <row r="239" spans="15:20">
      <c r="O239" s="19"/>
      <c r="P239" s="106"/>
      <c r="Q239" s="54"/>
      <c r="R239" s="19"/>
      <c r="S239" s="19"/>
      <c r="T239" s="62"/>
    </row>
    <row r="240" spans="15:20">
      <c r="O240" s="19"/>
      <c r="P240" s="106"/>
      <c r="Q240" s="54"/>
      <c r="R240" s="19"/>
      <c r="S240" s="19"/>
      <c r="T240" s="62"/>
    </row>
    <row r="241" spans="15:20">
      <c r="O241" s="19"/>
      <c r="P241" s="106"/>
      <c r="Q241" s="54"/>
      <c r="R241" s="19"/>
      <c r="S241" s="19"/>
      <c r="T241" s="62"/>
    </row>
    <row r="242" spans="15:20">
      <c r="O242" s="19"/>
      <c r="P242" s="106"/>
      <c r="Q242" s="54"/>
      <c r="R242" s="19"/>
      <c r="S242" s="19"/>
      <c r="T242" s="62"/>
    </row>
    <row r="243" spans="15:20">
      <c r="O243" s="19"/>
      <c r="P243" s="106"/>
      <c r="Q243" s="54"/>
      <c r="R243" s="19"/>
      <c r="S243" s="19"/>
      <c r="T243" s="62"/>
    </row>
    <row r="244" spans="15:20">
      <c r="O244" s="19"/>
      <c r="P244" s="106"/>
      <c r="Q244" s="54"/>
      <c r="R244" s="19"/>
      <c r="S244" s="19"/>
      <c r="T244" s="62"/>
    </row>
    <row r="245" spans="15:20">
      <c r="O245" s="19"/>
      <c r="P245" s="106"/>
      <c r="Q245" s="54"/>
      <c r="R245" s="19"/>
      <c r="S245" s="19"/>
      <c r="T245" s="62"/>
    </row>
    <row r="246" spans="15:20">
      <c r="O246" s="19"/>
      <c r="P246" s="106"/>
      <c r="Q246" s="54"/>
      <c r="R246" s="19"/>
      <c r="S246" s="19"/>
      <c r="T246" s="62"/>
    </row>
    <row r="247" spans="15:20">
      <c r="O247" s="19"/>
      <c r="P247" s="106"/>
      <c r="Q247" s="54"/>
      <c r="R247" s="19"/>
      <c r="S247" s="19"/>
      <c r="T247" s="62"/>
    </row>
    <row r="248" spans="15:20">
      <c r="O248" s="19"/>
      <c r="P248" s="106"/>
      <c r="Q248" s="54"/>
      <c r="R248" s="19"/>
      <c r="S248" s="19"/>
      <c r="T248" s="62"/>
    </row>
    <row r="249" spans="15:20">
      <c r="O249" s="19"/>
      <c r="P249" s="106"/>
      <c r="Q249" s="54"/>
      <c r="R249" s="19"/>
      <c r="S249" s="19"/>
      <c r="T249" s="62"/>
    </row>
    <row r="250" spans="15:20">
      <c r="O250" s="19"/>
      <c r="P250" s="106"/>
      <c r="Q250" s="54"/>
      <c r="R250" s="19"/>
      <c r="S250" s="19"/>
      <c r="T250" s="62"/>
    </row>
    <row r="251" spans="15:20">
      <c r="O251" s="19"/>
      <c r="P251" s="106"/>
      <c r="Q251" s="54"/>
      <c r="R251" s="19"/>
      <c r="S251" s="19"/>
      <c r="T251" s="62"/>
    </row>
    <row r="252" spans="15:20">
      <c r="O252" s="19"/>
      <c r="P252" s="106"/>
      <c r="Q252" s="54"/>
      <c r="R252" s="19"/>
      <c r="S252" s="19"/>
      <c r="T252" s="62"/>
    </row>
    <row r="253" spans="15:20">
      <c r="O253" s="19"/>
      <c r="P253" s="106"/>
      <c r="Q253" s="54"/>
      <c r="R253" s="19"/>
      <c r="S253" s="19"/>
      <c r="T253" s="62"/>
    </row>
    <row r="254" spans="15:20">
      <c r="O254" s="19"/>
      <c r="P254" s="106"/>
      <c r="Q254" s="54"/>
      <c r="R254" s="19"/>
      <c r="S254" s="19"/>
      <c r="T254" s="62"/>
    </row>
    <row r="255" spans="15:20">
      <c r="O255" s="19"/>
      <c r="P255" s="106"/>
      <c r="Q255" s="54"/>
      <c r="R255" s="19"/>
      <c r="S255" s="19"/>
      <c r="T255" s="62"/>
    </row>
    <row r="256" spans="15:20">
      <c r="O256" s="19"/>
      <c r="P256" s="106"/>
      <c r="Q256" s="54"/>
      <c r="R256" s="19"/>
      <c r="S256" s="19"/>
      <c r="T256" s="62"/>
    </row>
    <row r="257" spans="15:20">
      <c r="O257" s="19"/>
      <c r="P257" s="106"/>
      <c r="Q257" s="54"/>
      <c r="R257" s="19"/>
      <c r="S257" s="19"/>
      <c r="T257" s="62"/>
    </row>
    <row r="258" spans="15:20">
      <c r="O258" s="19"/>
      <c r="P258" s="106"/>
      <c r="Q258" s="54"/>
      <c r="R258" s="19"/>
      <c r="S258" s="19"/>
      <c r="T258" s="62"/>
    </row>
    <row r="259" spans="15:20">
      <c r="O259" s="19"/>
      <c r="P259" s="106"/>
      <c r="Q259" s="54"/>
      <c r="R259" s="19"/>
      <c r="S259" s="19"/>
      <c r="T259" s="62"/>
    </row>
    <row r="260" spans="15:20">
      <c r="O260" s="19"/>
      <c r="P260" s="106"/>
      <c r="Q260" s="54"/>
      <c r="R260" s="19"/>
      <c r="S260" s="19"/>
      <c r="T260" s="62"/>
    </row>
    <row r="261" spans="15:20">
      <c r="O261" s="19"/>
      <c r="P261" s="106"/>
      <c r="Q261" s="54"/>
      <c r="R261" s="19"/>
      <c r="S261" s="19"/>
      <c r="T261" s="62"/>
    </row>
    <row r="262" spans="15:20">
      <c r="O262" s="19"/>
      <c r="P262" s="106"/>
      <c r="Q262" s="54"/>
      <c r="R262" s="19"/>
      <c r="S262" s="19"/>
      <c r="T262" s="62"/>
    </row>
    <row r="263" spans="15:20">
      <c r="O263" s="19"/>
      <c r="P263" s="106"/>
      <c r="Q263" s="54"/>
      <c r="R263" s="19"/>
      <c r="S263" s="19"/>
      <c r="T263" s="62"/>
    </row>
    <row r="264" spans="15:20">
      <c r="O264" s="19"/>
      <c r="P264" s="106"/>
      <c r="Q264" s="54"/>
      <c r="R264" s="19"/>
      <c r="S264" s="19"/>
      <c r="T264" s="62"/>
    </row>
    <row r="265" spans="15:20">
      <c r="O265" s="19"/>
      <c r="P265" s="106"/>
      <c r="Q265" s="54"/>
      <c r="R265" s="19"/>
      <c r="S265" s="19"/>
      <c r="T265" s="62"/>
    </row>
    <row r="266" spans="15:20">
      <c r="O266" s="19"/>
      <c r="P266" s="106"/>
      <c r="Q266" s="54"/>
      <c r="R266" s="19"/>
      <c r="S266" s="19"/>
      <c r="T266" s="62"/>
    </row>
    <row r="267" spans="15:20">
      <c r="O267" s="19"/>
      <c r="P267" s="106"/>
      <c r="Q267" s="54"/>
      <c r="R267" s="19"/>
      <c r="S267" s="19"/>
      <c r="T267" s="62"/>
    </row>
    <row r="268" spans="15:20">
      <c r="O268" s="19"/>
      <c r="P268" s="106"/>
      <c r="Q268" s="54"/>
      <c r="R268" s="19"/>
      <c r="S268" s="19"/>
      <c r="T268" s="62"/>
    </row>
    <row r="269" spans="15:20">
      <c r="O269" s="19"/>
      <c r="P269" s="106"/>
      <c r="Q269" s="54"/>
      <c r="R269" s="19"/>
      <c r="S269" s="19"/>
      <c r="T269" s="62"/>
    </row>
    <row r="270" spans="15:20">
      <c r="O270" s="19"/>
      <c r="P270" s="106"/>
      <c r="Q270" s="54"/>
      <c r="R270" s="19"/>
      <c r="S270" s="19"/>
      <c r="T270" s="62"/>
    </row>
    <row r="271" spans="15:20">
      <c r="O271" s="19"/>
      <c r="P271" s="106"/>
      <c r="Q271" s="54"/>
      <c r="R271" s="19"/>
      <c r="S271" s="19"/>
      <c r="T271" s="62"/>
    </row>
    <row r="272" spans="15:20">
      <c r="O272" s="19"/>
      <c r="P272" s="106"/>
      <c r="Q272" s="54"/>
      <c r="R272" s="19"/>
      <c r="S272" s="19"/>
      <c r="T272" s="62"/>
    </row>
    <row r="273" spans="15:20">
      <c r="O273" s="19"/>
      <c r="P273" s="106"/>
      <c r="Q273" s="54"/>
      <c r="R273" s="19"/>
      <c r="S273" s="19"/>
      <c r="T273" s="62"/>
    </row>
    <row r="274" spans="15:20">
      <c r="O274" s="19"/>
      <c r="P274" s="106"/>
      <c r="Q274" s="54"/>
      <c r="R274" s="19"/>
      <c r="S274" s="19"/>
      <c r="T274" s="62"/>
    </row>
    <row r="275" spans="15:20">
      <c r="O275" s="19"/>
      <c r="P275" s="106"/>
      <c r="Q275" s="54"/>
      <c r="R275" s="19"/>
      <c r="S275" s="19"/>
      <c r="T275" s="62"/>
    </row>
    <row r="276" spans="15:20">
      <c r="O276" s="19"/>
      <c r="P276" s="106"/>
      <c r="Q276" s="54"/>
      <c r="R276" s="19"/>
      <c r="S276" s="19"/>
      <c r="T276" s="62"/>
    </row>
    <row r="277" spans="15:20">
      <c r="O277" s="19"/>
      <c r="P277" s="106"/>
      <c r="Q277" s="54"/>
      <c r="R277" s="19"/>
      <c r="S277" s="19"/>
      <c r="T277" s="62"/>
    </row>
    <row r="278" spans="15:20">
      <c r="O278" s="19"/>
      <c r="P278" s="106"/>
      <c r="Q278" s="54"/>
      <c r="R278" s="19"/>
      <c r="S278" s="19"/>
      <c r="T278" s="62"/>
    </row>
    <row r="279" spans="15:20">
      <c r="O279" s="19"/>
      <c r="P279" s="106"/>
      <c r="Q279" s="54"/>
      <c r="R279" s="19"/>
      <c r="S279" s="19"/>
      <c r="T279" s="62"/>
    </row>
    <row r="280" spans="15:20">
      <c r="O280" s="19"/>
      <c r="P280" s="106"/>
      <c r="Q280" s="54"/>
      <c r="R280" s="19"/>
      <c r="S280" s="19"/>
      <c r="T280" s="62"/>
    </row>
    <row r="281" spans="15:20">
      <c r="O281" s="19"/>
      <c r="P281" s="106"/>
      <c r="Q281" s="54"/>
      <c r="R281" s="19"/>
      <c r="S281" s="19"/>
      <c r="T281" s="62"/>
    </row>
    <row r="282" spans="15:20">
      <c r="O282" s="19"/>
      <c r="P282" s="106"/>
      <c r="Q282" s="54"/>
      <c r="R282" s="19"/>
      <c r="S282" s="19"/>
      <c r="T282" s="62"/>
    </row>
    <row r="283" spans="15:20">
      <c r="O283" s="19"/>
      <c r="P283" s="106"/>
      <c r="Q283" s="54"/>
      <c r="R283" s="19"/>
      <c r="S283" s="19"/>
      <c r="T283" s="62"/>
    </row>
    <row r="284" spans="15:20">
      <c r="O284" s="19"/>
      <c r="P284" s="106"/>
      <c r="Q284" s="54"/>
      <c r="R284" s="19"/>
      <c r="S284" s="19"/>
      <c r="T284" s="62"/>
    </row>
    <row r="285" spans="15:20">
      <c r="O285" s="19"/>
      <c r="P285" s="106"/>
      <c r="Q285" s="54"/>
      <c r="R285" s="19"/>
      <c r="S285" s="19"/>
      <c r="T285" s="62"/>
    </row>
    <row r="286" spans="15:20">
      <c r="O286" s="19"/>
      <c r="P286" s="106"/>
      <c r="Q286" s="54"/>
      <c r="R286" s="19"/>
      <c r="S286" s="19"/>
      <c r="T286" s="62"/>
    </row>
    <row r="287" spans="15:20">
      <c r="O287" s="19"/>
      <c r="P287" s="106"/>
      <c r="Q287" s="54"/>
      <c r="R287" s="19"/>
      <c r="S287" s="19"/>
      <c r="T287" s="62"/>
    </row>
    <row r="288" spans="15:20">
      <c r="O288" s="19"/>
      <c r="P288" s="106"/>
      <c r="Q288" s="54"/>
      <c r="R288" s="19"/>
      <c r="S288" s="19"/>
      <c r="T288" s="62"/>
    </row>
    <row r="289" spans="15:20">
      <c r="O289" s="19"/>
      <c r="P289" s="106"/>
      <c r="Q289" s="54"/>
      <c r="R289" s="19"/>
      <c r="S289" s="19"/>
      <c r="T289" s="62"/>
    </row>
    <row r="290" spans="15:20">
      <c r="O290" s="19"/>
      <c r="P290" s="106"/>
      <c r="Q290" s="54"/>
      <c r="R290" s="19"/>
      <c r="S290" s="19"/>
      <c r="T290" s="62"/>
    </row>
    <row r="291" spans="15:20">
      <c r="O291" s="19"/>
      <c r="P291" s="106"/>
      <c r="Q291" s="54"/>
      <c r="R291" s="19"/>
      <c r="S291" s="19"/>
      <c r="T291" s="62"/>
    </row>
    <row r="292" spans="15:20">
      <c r="O292" s="19"/>
      <c r="P292" s="106"/>
      <c r="Q292" s="54"/>
      <c r="R292" s="19"/>
      <c r="S292" s="19"/>
      <c r="T292" s="62"/>
    </row>
    <row r="293" spans="15:20">
      <c r="O293" s="19"/>
      <c r="P293" s="106"/>
      <c r="Q293" s="54"/>
      <c r="R293" s="19"/>
      <c r="S293" s="19"/>
      <c r="T293" s="62"/>
    </row>
  </sheetData>
  <autoFilter ref="A14:N205"/>
  <mergeCells count="34">
    <mergeCell ref="O210:Q210"/>
    <mergeCell ref="O211:Q211"/>
    <mergeCell ref="S11:T11"/>
    <mergeCell ref="P12:P13"/>
    <mergeCell ref="S12:S13"/>
    <mergeCell ref="T12:T13"/>
    <mergeCell ref="O11:O13"/>
    <mergeCell ref="Q11:Q13"/>
    <mergeCell ref="R11:R13"/>
    <mergeCell ref="G2:I2"/>
    <mergeCell ref="G3:I4"/>
    <mergeCell ref="A210:D210"/>
    <mergeCell ref="C12:C13"/>
    <mergeCell ref="D11:D13"/>
    <mergeCell ref="E11:E13"/>
    <mergeCell ref="F11:G11"/>
    <mergeCell ref="H11:I11"/>
    <mergeCell ref="E209:I209"/>
    <mergeCell ref="E210:I210"/>
    <mergeCell ref="A5:I5"/>
    <mergeCell ref="A7:I7"/>
    <mergeCell ref="A8:I8"/>
    <mergeCell ref="A9:I9"/>
    <mergeCell ref="A10:I10"/>
    <mergeCell ref="A6:I6"/>
    <mergeCell ref="A211:D211"/>
    <mergeCell ref="A11:A13"/>
    <mergeCell ref="B11:C11"/>
    <mergeCell ref="B12:B13"/>
    <mergeCell ref="E211:I211"/>
    <mergeCell ref="F12:F13"/>
    <mergeCell ref="G12:G13"/>
    <mergeCell ref="H12:H13"/>
    <mergeCell ref="I12:I13"/>
  </mergeCells>
  <phoneticPr fontId="29" type="noConversion"/>
  <conditionalFormatting sqref="F35 S53">
    <cfRule type="expression" dxfId="0" priority="1" stopIfTrue="1">
      <formula>$C35&lt;&gt;""</formula>
    </cfRule>
  </conditionalFormatting>
  <pageMargins left="0.75" right="0.16" top="0.19" bottom="0.44" header="0.16" footer="0.15"/>
  <pageSetup scale="85" orientation="portrait" verticalDpi="0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>
    <tabColor indexed="12"/>
  </sheetPr>
  <dimension ref="A1:U165"/>
  <sheetViews>
    <sheetView topLeftCell="A11" zoomScale="90" workbookViewId="0">
      <pane ySplit="5" topLeftCell="A112" activePane="bottomLeft" state="frozen"/>
      <selection activeCell="K212" sqref="K212"/>
      <selection pane="bottomLeft" activeCell="F121" sqref="F121"/>
    </sheetView>
  </sheetViews>
  <sheetFormatPr defaultRowHeight="15"/>
  <cols>
    <col min="1" max="1" width="9.140625" style="2"/>
    <col min="2" max="2" width="7" style="2" customWidth="1"/>
    <col min="3" max="3" width="8.85546875" style="2" customWidth="1"/>
    <col min="4" max="4" width="23.7109375" style="1" customWidth="1"/>
    <col min="5" max="5" width="7.140625" style="2" customWidth="1"/>
    <col min="6" max="6" width="16.5703125" style="2" customWidth="1"/>
    <col min="7" max="7" width="16.5703125" style="13" customWidth="1"/>
    <col min="8" max="8" width="14.28515625" style="2" customWidth="1"/>
    <col min="9" max="9" width="13" style="2" customWidth="1"/>
    <col min="10" max="10" width="6.28515625" style="1" customWidth="1"/>
    <col min="11" max="11" width="16.85546875" style="206" customWidth="1"/>
    <col min="12" max="12" width="13.7109375" style="1" customWidth="1"/>
    <col min="13" max="13" width="0" style="1" hidden="1" customWidth="1"/>
    <col min="14" max="14" width="7" style="2" hidden="1" customWidth="1"/>
    <col min="15" max="15" width="8.85546875" style="2" hidden="1" customWidth="1"/>
    <col min="16" max="16" width="23.7109375" style="1" hidden="1" customWidth="1"/>
    <col min="17" max="17" width="7.140625" style="2" hidden="1" customWidth="1"/>
    <col min="18" max="18" width="16.5703125" style="2" hidden="1" customWidth="1"/>
    <col min="19" max="19" width="16.5703125" style="13" hidden="1" customWidth="1"/>
    <col min="20" max="25" width="0" style="1" hidden="1" customWidth="1"/>
    <col min="26" max="16384" width="9.140625" style="1"/>
  </cols>
  <sheetData>
    <row r="1" spans="1:20">
      <c r="A1" s="28"/>
      <c r="B1" s="28"/>
      <c r="C1" s="28"/>
      <c r="D1" s="29"/>
      <c r="E1" s="28"/>
      <c r="F1" s="28"/>
      <c r="G1" s="45"/>
      <c r="H1" s="28"/>
      <c r="I1" s="28"/>
      <c r="N1" s="28"/>
      <c r="O1" s="28"/>
      <c r="P1" s="29"/>
      <c r="Q1" s="28"/>
      <c r="R1" s="28"/>
      <c r="S1" s="45"/>
    </row>
    <row r="2" spans="1:20" ht="15.75" customHeight="1">
      <c r="A2" s="15" t="s">
        <v>0</v>
      </c>
      <c r="B2" s="28"/>
      <c r="C2" s="28"/>
      <c r="D2" s="29"/>
      <c r="E2" s="28"/>
      <c r="F2" s="28"/>
      <c r="G2" s="313" t="s">
        <v>165</v>
      </c>
      <c r="H2" s="313"/>
      <c r="I2" s="313"/>
      <c r="N2" s="28"/>
      <c r="O2" s="28"/>
      <c r="P2" s="29"/>
      <c r="Q2" s="28"/>
      <c r="R2" s="28"/>
      <c r="S2" s="1"/>
    </row>
    <row r="3" spans="1:20" ht="15.75" customHeight="1">
      <c r="A3" s="15" t="s">
        <v>1</v>
      </c>
      <c r="B3" s="28"/>
      <c r="C3" s="28"/>
      <c r="D3" s="29"/>
      <c r="E3" s="28"/>
      <c r="F3" s="28"/>
      <c r="G3" s="314" t="s">
        <v>166</v>
      </c>
      <c r="H3" s="314"/>
      <c r="I3" s="314"/>
      <c r="N3" s="28"/>
      <c r="O3" s="28"/>
      <c r="P3" s="29"/>
      <c r="Q3" s="28"/>
      <c r="R3" s="28"/>
      <c r="S3" s="1"/>
    </row>
    <row r="4" spans="1:20">
      <c r="A4" s="28"/>
      <c r="B4" s="28"/>
      <c r="C4" s="28"/>
      <c r="D4" s="29"/>
      <c r="E4" s="28"/>
      <c r="F4" s="3"/>
      <c r="G4" s="314"/>
      <c r="H4" s="314"/>
      <c r="I4" s="314"/>
      <c r="N4" s="28"/>
      <c r="O4" s="28"/>
      <c r="P4" s="29"/>
      <c r="Q4" s="28"/>
      <c r="R4" s="3"/>
      <c r="S4" s="1"/>
    </row>
    <row r="5" spans="1:20" ht="23.25" customHeight="1">
      <c r="A5" s="316" t="s">
        <v>2</v>
      </c>
      <c r="B5" s="316"/>
      <c r="C5" s="316"/>
      <c r="D5" s="316"/>
      <c r="E5" s="316"/>
      <c r="F5" s="316"/>
      <c r="G5" s="316"/>
      <c r="H5" s="316"/>
      <c r="I5" s="316"/>
      <c r="N5" s="1"/>
      <c r="O5" s="1"/>
      <c r="Q5" s="1"/>
      <c r="R5" s="1"/>
      <c r="S5" s="1"/>
    </row>
    <row r="6" spans="1:20">
      <c r="A6" s="303" t="s">
        <v>3</v>
      </c>
      <c r="B6" s="303"/>
      <c r="C6" s="303"/>
      <c r="D6" s="303"/>
      <c r="E6" s="303"/>
      <c r="F6" s="303"/>
      <c r="G6" s="303"/>
      <c r="H6" s="303"/>
      <c r="I6" s="303"/>
      <c r="N6" s="1"/>
      <c r="O6" s="1"/>
      <c r="Q6" s="1"/>
      <c r="R6" s="1"/>
      <c r="S6" s="1"/>
    </row>
    <row r="7" spans="1:20">
      <c r="A7" s="317" t="s">
        <v>28</v>
      </c>
      <c r="B7" s="303"/>
      <c r="C7" s="303"/>
      <c r="D7" s="303"/>
      <c r="E7" s="303"/>
      <c r="F7" s="303"/>
      <c r="G7" s="303"/>
      <c r="H7" s="303"/>
      <c r="I7" s="303"/>
      <c r="N7" s="1"/>
      <c r="O7" s="1"/>
      <c r="Q7" s="1"/>
      <c r="R7" s="1"/>
      <c r="S7" s="1"/>
    </row>
    <row r="8" spans="1:20">
      <c r="A8" s="303" t="s">
        <v>75</v>
      </c>
      <c r="B8" s="303" t="s">
        <v>4</v>
      </c>
      <c r="C8" s="303"/>
      <c r="D8" s="303"/>
      <c r="E8" s="303"/>
      <c r="F8" s="303"/>
      <c r="G8" s="303"/>
      <c r="H8" s="303"/>
      <c r="I8" s="303"/>
      <c r="N8" s="1"/>
      <c r="O8" s="1"/>
      <c r="Q8" s="1"/>
      <c r="R8" s="1"/>
      <c r="S8" s="1"/>
    </row>
    <row r="9" spans="1:20">
      <c r="A9" s="303" t="s">
        <v>5</v>
      </c>
      <c r="B9" s="317"/>
      <c r="C9" s="317"/>
      <c r="D9" s="317"/>
      <c r="E9" s="317"/>
      <c r="F9" s="317"/>
      <c r="G9" s="317"/>
      <c r="H9" s="317"/>
      <c r="I9" s="317"/>
      <c r="N9" s="1"/>
      <c r="O9" s="1"/>
      <c r="Q9" s="1"/>
      <c r="R9" s="1"/>
      <c r="S9" s="1"/>
    </row>
    <row r="10" spans="1:20" hidden="1">
      <c r="A10" s="28"/>
      <c r="B10" s="28"/>
      <c r="C10" s="320"/>
      <c r="D10" s="320"/>
      <c r="E10" s="320"/>
      <c r="F10" s="320"/>
      <c r="G10" s="320"/>
      <c r="H10" s="320"/>
      <c r="I10" s="320"/>
      <c r="N10" s="28"/>
      <c r="O10" s="1"/>
      <c r="Q10" s="1"/>
      <c r="R10" s="1"/>
      <c r="S10" s="1"/>
    </row>
    <row r="11" spans="1:20" ht="15.75" customHeight="1">
      <c r="A11" s="304" t="s">
        <v>6</v>
      </c>
      <c r="B11" s="305" t="s">
        <v>7</v>
      </c>
      <c r="C11" s="306"/>
      <c r="D11" s="304" t="s">
        <v>8</v>
      </c>
      <c r="E11" s="304" t="s">
        <v>9</v>
      </c>
      <c r="F11" s="305" t="s">
        <v>10</v>
      </c>
      <c r="G11" s="306"/>
      <c r="H11" s="305" t="s">
        <v>11</v>
      </c>
      <c r="I11" s="315"/>
      <c r="N11" s="305" t="s">
        <v>7</v>
      </c>
      <c r="O11" s="306"/>
      <c r="P11" s="304" t="s">
        <v>8</v>
      </c>
      <c r="Q11" s="304" t="s">
        <v>9</v>
      </c>
      <c r="R11" s="305" t="s">
        <v>10</v>
      </c>
      <c r="S11" s="306"/>
    </row>
    <row r="12" spans="1:20" ht="15.75" customHeight="1">
      <c r="A12" s="304"/>
      <c r="B12" s="309" t="s">
        <v>12</v>
      </c>
      <c r="C12" s="309" t="s">
        <v>13</v>
      </c>
      <c r="D12" s="304"/>
      <c r="E12" s="304"/>
      <c r="F12" s="309" t="s">
        <v>14</v>
      </c>
      <c r="G12" s="311" t="s">
        <v>15</v>
      </c>
      <c r="H12" s="309" t="s">
        <v>14</v>
      </c>
      <c r="I12" s="309" t="s">
        <v>15</v>
      </c>
      <c r="N12" s="309" t="s">
        <v>12</v>
      </c>
      <c r="O12" s="309" t="s">
        <v>13</v>
      </c>
      <c r="P12" s="304"/>
      <c r="Q12" s="304"/>
      <c r="R12" s="309" t="s">
        <v>14</v>
      </c>
      <c r="S12" s="311" t="s">
        <v>15</v>
      </c>
    </row>
    <row r="13" spans="1:20" ht="17.25" customHeight="1">
      <c r="A13" s="304"/>
      <c r="B13" s="310"/>
      <c r="C13" s="310"/>
      <c r="D13" s="304"/>
      <c r="E13" s="304"/>
      <c r="F13" s="310"/>
      <c r="G13" s="312"/>
      <c r="H13" s="310"/>
      <c r="I13" s="310"/>
      <c r="N13" s="310"/>
      <c r="O13" s="310"/>
      <c r="P13" s="304"/>
      <c r="Q13" s="304"/>
      <c r="R13" s="310"/>
      <c r="S13" s="312"/>
    </row>
    <row r="14" spans="1:20" s="2" customFormat="1" ht="9.75" customHeight="1">
      <c r="A14" s="30" t="s">
        <v>16</v>
      </c>
      <c r="B14" s="48" t="s">
        <v>17</v>
      </c>
      <c r="C14" s="30" t="s">
        <v>18</v>
      </c>
      <c r="D14" s="30" t="s">
        <v>19</v>
      </c>
      <c r="E14" s="30" t="s">
        <v>20</v>
      </c>
      <c r="F14" s="30">
        <v>1</v>
      </c>
      <c r="G14" s="30">
        <v>2</v>
      </c>
      <c r="H14" s="30">
        <v>3</v>
      </c>
      <c r="I14" s="30">
        <v>4</v>
      </c>
      <c r="K14" s="206"/>
      <c r="N14" s="48" t="s">
        <v>17</v>
      </c>
      <c r="O14" s="30" t="s">
        <v>18</v>
      </c>
      <c r="P14" s="30" t="s">
        <v>19</v>
      </c>
      <c r="Q14" s="30" t="s">
        <v>20</v>
      </c>
      <c r="R14" s="30">
        <v>1</v>
      </c>
      <c r="S14" s="30">
        <v>2</v>
      </c>
    </row>
    <row r="15" spans="1:20" ht="17.25" customHeight="1">
      <c r="A15" s="33"/>
      <c r="B15" s="36"/>
      <c r="C15" s="33"/>
      <c r="D15" s="35" t="s">
        <v>21</v>
      </c>
      <c r="E15" s="36"/>
      <c r="F15" s="22"/>
      <c r="G15" s="21"/>
      <c r="H15" s="22">
        <v>0</v>
      </c>
      <c r="I15" s="22">
        <v>0</v>
      </c>
      <c r="N15" s="36"/>
      <c r="O15" s="33"/>
      <c r="P15" s="35" t="s">
        <v>21</v>
      </c>
      <c r="Q15" s="36"/>
      <c r="R15" s="22"/>
      <c r="S15" s="21"/>
    </row>
    <row r="16" spans="1:20" ht="17.25" customHeight="1">
      <c r="A16" s="14">
        <v>42018</v>
      </c>
      <c r="B16" s="24" t="s">
        <v>62</v>
      </c>
      <c r="C16" s="11">
        <f t="shared" ref="C16:C52" si="0">A16</f>
        <v>42018</v>
      </c>
      <c r="D16" s="17" t="s">
        <v>44</v>
      </c>
      <c r="E16" s="38" t="s">
        <v>45</v>
      </c>
      <c r="F16" s="9">
        <v>550000000</v>
      </c>
      <c r="G16" s="20"/>
      <c r="H16" s="5">
        <f t="shared" ref="H16:H17" si="1">MAX(H15+F16-G16-I15,0)</f>
        <v>550000000</v>
      </c>
      <c r="I16" s="5">
        <f t="shared" ref="I16:I17" si="2">MAX(I15+G16-F16-H15,0)</f>
        <v>0</v>
      </c>
      <c r="J16" s="37">
        <f t="shared" ref="J16:J47" si="3">IF(A16&lt;&gt;"",MONTH(A16),"")</f>
        <v>1</v>
      </c>
      <c r="K16" s="207"/>
      <c r="N16" s="24">
        <f ca="1">IF(ROWS($1:1)&gt;COUNT(Dong1),"",OFFSET('141-TT'!B$1,SMALL(Dong1,ROWS($1:1)),))</f>
        <v>0</v>
      </c>
      <c r="O16" s="150">
        <f ca="1">IF(ROWS($1:1)&gt;COUNT(Dong1),"",OFFSET('141-TT'!C$1,SMALL(Dong1,ROWS($1:1)),))</f>
        <v>42216</v>
      </c>
      <c r="P16" s="24" t="str">
        <f ca="1">IF(ROWS($1:1)&gt;COUNT(Dong1),"",OFFSET('141-TT'!D$1,SMALL(Dong1,ROWS($1:1)),))</f>
        <v>Đỗ Văn Tâm</v>
      </c>
      <c r="Q16" s="24" t="str">
        <f ca="1">IF(ROWS($1:1)&gt;COUNT(Dong1),"",OFFSET('141-TT'!E$1,SMALL(Dong1,ROWS($1:1)),))</f>
        <v>331</v>
      </c>
      <c r="R16" s="24">
        <f ca="1">IF(ROWS($1:1)&gt;COUNT(Dong1),"",OFFSET('141-TT'!F$1,SMALL(Dong1,ROWS($1:1)),))</f>
        <v>0</v>
      </c>
      <c r="S16" s="24">
        <f ca="1">IF(ROWS($1:1)&gt;COUNT(Dong1),"",OFFSET('141-TT'!G$1,SMALL(Dong1,ROWS($1:1)),))</f>
        <v>86130000</v>
      </c>
      <c r="T16" s="1" t="str">
        <f ca="1">IF(IF(ROWS($1:1)&gt;COUNT(Dong1),"",OFFSET('141-TT'!K$1,SMALL(Dong1,ROWS($1:1)),))=0,"",IF(ROWS($1:1)&gt;COUNT(Dong1),"",OFFSET('141-TT'!K$1,SMALL(Dong1,ROWS($1:1)),)))</f>
        <v>N15</v>
      </c>
    </row>
    <row r="17" spans="1:20" ht="17.25" customHeight="1">
      <c r="A17" s="14">
        <v>42020</v>
      </c>
      <c r="B17" s="24" t="s">
        <v>55</v>
      </c>
      <c r="C17" s="11">
        <f t="shared" si="0"/>
        <v>42020</v>
      </c>
      <c r="D17" s="17" t="s">
        <v>44</v>
      </c>
      <c r="E17" s="38" t="s">
        <v>45</v>
      </c>
      <c r="F17" s="9">
        <v>500000000</v>
      </c>
      <c r="G17" s="20"/>
      <c r="H17" s="5">
        <f t="shared" si="1"/>
        <v>1050000000</v>
      </c>
      <c r="I17" s="5">
        <f t="shared" si="2"/>
        <v>0</v>
      </c>
      <c r="J17" s="37">
        <f t="shared" si="3"/>
        <v>1</v>
      </c>
      <c r="K17" s="207"/>
      <c r="N17" s="24">
        <f ca="1">IF(ROWS($1:2)&gt;COUNT(Dong1),"",OFFSET('141-TT'!B$1,SMALL(Dong1,ROWS($1:2)),))</f>
        <v>0</v>
      </c>
      <c r="O17" s="150">
        <f ca="1">IF(ROWS($1:2)&gt;COUNT(Dong1),"",OFFSET('141-TT'!C$1,SMALL(Dong1,ROWS($1:2)),))</f>
        <v>42216</v>
      </c>
      <c r="P17" s="24" t="str">
        <f ca="1">IF(ROWS($1:2)&gt;COUNT(Dong1),"",OFFSET('141-TT'!D$1,SMALL(Dong1,ROWS($1:2)),))</f>
        <v>Hồ Thị Mỹ</v>
      </c>
      <c r="Q17" s="24" t="str">
        <f ca="1">IF(ROWS($1:2)&gt;COUNT(Dong1),"",OFFSET('141-TT'!E$1,SMALL(Dong1,ROWS($1:2)),))</f>
        <v>331</v>
      </c>
      <c r="R17" s="24">
        <f ca="1">IF(ROWS($1:2)&gt;COUNT(Dong1),"",OFFSET('141-TT'!F$1,SMALL(Dong1,ROWS($1:2)),))</f>
        <v>0</v>
      </c>
      <c r="S17" s="24">
        <f ca="1">IF(ROWS($1:2)&gt;COUNT(Dong1),"",OFFSET('141-TT'!G$1,SMALL(Dong1,ROWS($1:2)),))</f>
        <v>147515000</v>
      </c>
      <c r="T17" s="1" t="str">
        <f ca="1">IF(IF(ROWS($1:2)&gt;COUNT(Dong1),"",OFFSET('141-TT'!K$1,SMALL(Dong1,ROWS($1:2)),))=0,"",IF(ROWS($1:2)&gt;COUNT(Dong1),"",OFFSET('141-TT'!K$1,SMALL(Dong1,ROWS($1:2)),)))</f>
        <v>N16 &amp; N12</v>
      </c>
    </row>
    <row r="18" spans="1:20" ht="17.25" customHeight="1">
      <c r="A18" s="14">
        <v>42024</v>
      </c>
      <c r="B18" s="24" t="s">
        <v>104</v>
      </c>
      <c r="C18" s="11">
        <f t="shared" si="0"/>
        <v>42024</v>
      </c>
      <c r="D18" s="17" t="s">
        <v>44</v>
      </c>
      <c r="E18" s="38" t="s">
        <v>45</v>
      </c>
      <c r="F18" s="9">
        <v>500000000</v>
      </c>
      <c r="G18" s="20"/>
      <c r="H18" s="5">
        <f t="shared" ref="H18:H81" si="4">MAX(H17+F18-G18-I17,0)</f>
        <v>1550000000</v>
      </c>
      <c r="I18" s="5">
        <f t="shared" ref="I18:I81" si="5">MAX(I17+G18-F18-H17,0)</f>
        <v>0</v>
      </c>
      <c r="J18" s="37">
        <f t="shared" si="3"/>
        <v>1</v>
      </c>
      <c r="K18" s="207"/>
      <c r="N18" s="24">
        <f ca="1">IF(ROWS($1:3)&gt;COUNT(Dong1),"",OFFSET('141-TT'!B$1,SMALL(Dong1,ROWS($1:3)),))</f>
        <v>0</v>
      </c>
      <c r="O18" s="150">
        <f ca="1">IF(ROWS($1:3)&gt;COUNT(Dong1),"",OFFSET('141-TT'!C$1,SMALL(Dong1,ROWS($1:3)),))</f>
        <v>42216</v>
      </c>
      <c r="P18" s="24" t="str">
        <f ca="1">IF(ROWS($1:3)&gt;COUNT(Dong1),"",OFFSET('141-TT'!D$1,SMALL(Dong1,ROWS($1:3)),))</f>
        <v>Nguyễn Đức Tiến</v>
      </c>
      <c r="Q18" s="24" t="str">
        <f ca="1">IF(ROWS($1:3)&gt;COUNT(Dong1),"",OFFSET('141-TT'!E$1,SMALL(Dong1,ROWS($1:3)),))</f>
        <v>331</v>
      </c>
      <c r="R18" s="24">
        <f ca="1">IF(ROWS($1:3)&gt;COUNT(Dong1),"",OFFSET('141-TT'!F$1,SMALL(Dong1,ROWS($1:3)),))</f>
        <v>0</v>
      </c>
      <c r="S18" s="24">
        <f ca="1">IF(ROWS($1:3)&gt;COUNT(Dong1),"",OFFSET('141-TT'!G$1,SMALL(Dong1,ROWS($1:3)),))</f>
        <v>147725000</v>
      </c>
      <c r="T18" s="1" t="str">
        <f ca="1">IF(IF(ROWS($1:3)&gt;COUNT(Dong1),"",OFFSET('141-TT'!K$1,SMALL(Dong1,ROWS($1:3)),))=0,"",IF(ROWS($1:3)&gt;COUNT(Dong1),"",OFFSET('141-TT'!K$1,SMALL(Dong1,ROWS($1:3)),)))</f>
        <v>N18 &amp; N14</v>
      </c>
    </row>
    <row r="19" spans="1:20" ht="17.25" customHeight="1">
      <c r="A19" s="14">
        <v>42027</v>
      </c>
      <c r="B19" s="24" t="s">
        <v>56</v>
      </c>
      <c r="C19" s="11">
        <f t="shared" si="0"/>
        <v>42027</v>
      </c>
      <c r="D19" s="17" t="s">
        <v>44</v>
      </c>
      <c r="E19" s="38" t="s">
        <v>45</v>
      </c>
      <c r="F19" s="9">
        <v>550000000</v>
      </c>
      <c r="G19" s="20"/>
      <c r="H19" s="5">
        <f t="shared" si="4"/>
        <v>2100000000</v>
      </c>
      <c r="I19" s="5">
        <f t="shared" si="5"/>
        <v>0</v>
      </c>
      <c r="J19" s="37">
        <f t="shared" si="3"/>
        <v>1</v>
      </c>
      <c r="K19" s="207"/>
      <c r="N19" s="24">
        <f ca="1">IF(ROWS($1:4)&gt;COUNT(Dong1),"",OFFSET('141-TT'!B$1,SMALL(Dong1,ROWS($1:4)),))</f>
        <v>0</v>
      </c>
      <c r="O19" s="150">
        <f ca="1">IF(ROWS($1:4)&gt;COUNT(Dong1),"",OFFSET('141-TT'!C$1,SMALL(Dong1,ROWS($1:4)),))</f>
        <v>42216</v>
      </c>
      <c r="P19" s="24" t="str">
        <f ca="1">IF(ROWS($1:4)&gt;COUNT(Dong1),"",OFFSET('141-TT'!D$1,SMALL(Dong1,ROWS($1:4)),))</f>
        <v>Nguyễn Thanh Vân</v>
      </c>
      <c r="Q19" s="24" t="str">
        <f ca="1">IF(ROWS($1:4)&gt;COUNT(Dong1),"",OFFSET('141-TT'!E$1,SMALL(Dong1,ROWS($1:4)),))</f>
        <v>331</v>
      </c>
      <c r="R19" s="24">
        <f ca="1">IF(ROWS($1:4)&gt;COUNT(Dong1),"",OFFSET('141-TT'!F$1,SMALL(Dong1,ROWS($1:4)),))</f>
        <v>0</v>
      </c>
      <c r="S19" s="24">
        <f ca="1">IF(ROWS($1:4)&gt;COUNT(Dong1),"",OFFSET('141-TT'!G$1,SMALL(Dong1,ROWS($1:4)),))</f>
        <v>235724500</v>
      </c>
      <c r="T19" s="1" t="str">
        <f ca="1">IF(IF(ROWS($1:4)&gt;COUNT(Dong1),"",OFFSET('141-TT'!K$1,SMALL(Dong1,ROWS($1:4)),))=0,"",IF(ROWS($1:4)&gt;COUNT(Dong1),"",OFFSET('141-TT'!K$1,SMALL(Dong1,ROWS($1:4)),)))</f>
        <v>N03 &amp; N07 &amp; N20</v>
      </c>
    </row>
    <row r="20" spans="1:20" ht="17.25" customHeight="1">
      <c r="A20" s="14">
        <v>42032</v>
      </c>
      <c r="B20" s="24" t="s">
        <v>69</v>
      </c>
      <c r="C20" s="11">
        <f t="shared" si="0"/>
        <v>42032</v>
      </c>
      <c r="D20" s="17" t="s">
        <v>44</v>
      </c>
      <c r="E20" s="38" t="s">
        <v>45</v>
      </c>
      <c r="F20" s="9">
        <v>400000000</v>
      </c>
      <c r="G20" s="20"/>
      <c r="H20" s="5">
        <f t="shared" si="4"/>
        <v>2500000000</v>
      </c>
      <c r="I20" s="5">
        <f t="shared" si="5"/>
        <v>0</v>
      </c>
      <c r="J20" s="37">
        <f t="shared" si="3"/>
        <v>1</v>
      </c>
      <c r="K20" s="207"/>
      <c r="N20" s="24">
        <f ca="1">IF(ROWS($1:5)&gt;COUNT(Dong1),"",OFFSET('141-TT'!B$1,SMALL(Dong1,ROWS($1:5)),))</f>
        <v>0</v>
      </c>
      <c r="O20" s="150">
        <f ca="1">IF(ROWS($1:5)&gt;COUNT(Dong1),"",OFFSET('141-TT'!C$1,SMALL(Dong1,ROWS($1:5)),))</f>
        <v>42216</v>
      </c>
      <c r="P20" s="24" t="str">
        <f ca="1">IF(ROWS($1:5)&gt;COUNT(Dong1),"",OFFSET('141-TT'!D$1,SMALL(Dong1,ROWS($1:5)),))</f>
        <v>Nguyễn Thanh Vinh</v>
      </c>
      <c r="Q20" s="24" t="str">
        <f ca="1">IF(ROWS($1:5)&gt;COUNT(Dong1),"",OFFSET('141-TT'!E$1,SMALL(Dong1,ROWS($1:5)),))</f>
        <v>331</v>
      </c>
      <c r="R20" s="24">
        <f ca="1">IF(ROWS($1:5)&gt;COUNT(Dong1),"",OFFSET('141-TT'!F$1,SMALL(Dong1,ROWS($1:5)),))</f>
        <v>0</v>
      </c>
      <c r="S20" s="24">
        <f ca="1">IF(ROWS($1:5)&gt;COUNT(Dong1),"",OFFSET('141-TT'!G$1,SMALL(Dong1,ROWS($1:5)),))</f>
        <v>149449500</v>
      </c>
      <c r="T20" s="1" t="str">
        <f ca="1">IF(IF(ROWS($1:5)&gt;COUNT(Dong1),"",OFFSET('141-TT'!K$1,SMALL(Dong1,ROWS($1:5)),))=0,"",IF(ROWS($1:5)&gt;COUNT(Dong1),"",OFFSET('141-TT'!K$1,SMALL(Dong1,ROWS($1:5)),)))</f>
        <v>N08 &amp; N04</v>
      </c>
    </row>
    <row r="21" spans="1:20" ht="17.25" customHeight="1">
      <c r="A21" s="14">
        <v>42035</v>
      </c>
      <c r="B21" s="24" t="s">
        <v>72</v>
      </c>
      <c r="C21" s="11">
        <f t="shared" si="0"/>
        <v>42035</v>
      </c>
      <c r="D21" s="17" t="s">
        <v>101</v>
      </c>
      <c r="E21" s="12" t="s">
        <v>42</v>
      </c>
      <c r="F21" s="9"/>
      <c r="G21" s="9">
        <v>317125500</v>
      </c>
      <c r="H21" s="5">
        <f t="shared" si="4"/>
        <v>2182874500</v>
      </c>
      <c r="I21" s="5">
        <f t="shared" si="5"/>
        <v>0</v>
      </c>
      <c r="J21" s="37">
        <f t="shared" si="3"/>
        <v>1</v>
      </c>
      <c r="K21" s="208" t="s">
        <v>195</v>
      </c>
      <c r="N21" s="24">
        <f ca="1">IF(ROWS($1:6)&gt;COUNT(Dong1),"",OFFSET('141-TT'!B$1,SMALL(Dong1,ROWS($1:6)),))</f>
        <v>0</v>
      </c>
      <c r="O21" s="150">
        <f ca="1">IF(ROWS($1:6)&gt;COUNT(Dong1),"",OFFSET('141-TT'!C$1,SMALL(Dong1,ROWS($1:6)),))</f>
        <v>42216</v>
      </c>
      <c r="P21" s="24" t="str">
        <f ca="1">IF(ROWS($1:6)&gt;COUNT(Dong1),"",OFFSET('141-TT'!D$1,SMALL(Dong1,ROWS($1:6)),))</f>
        <v>Phạm Thị Ngọc</v>
      </c>
      <c r="Q21" s="24" t="str">
        <f ca="1">IF(ROWS($1:6)&gt;COUNT(Dong1),"",OFFSET('141-TT'!E$1,SMALL(Dong1,ROWS($1:6)),))</f>
        <v>331</v>
      </c>
      <c r="R21" s="24">
        <f ca="1">IF(ROWS($1:6)&gt;COUNT(Dong1),"",OFFSET('141-TT'!F$1,SMALL(Dong1,ROWS($1:6)),))</f>
        <v>0</v>
      </c>
      <c r="S21" s="24">
        <f ca="1">IF(ROWS($1:6)&gt;COUNT(Dong1),"",OFFSET('141-TT'!G$1,SMALL(Dong1,ROWS($1:6)),))</f>
        <v>158411500</v>
      </c>
      <c r="T21" s="1" t="str">
        <f ca="1">IF(IF(ROWS($1:6)&gt;COUNT(Dong1),"",OFFSET('141-TT'!K$1,SMALL(Dong1,ROWS($1:6)),))=0,"",IF(ROWS($1:6)&gt;COUNT(Dong1),"",OFFSET('141-TT'!K$1,SMALL(Dong1,ROWS($1:6)),)))</f>
        <v>N17 &amp; N13</v>
      </c>
    </row>
    <row r="22" spans="1:20" ht="17.25" customHeight="1">
      <c r="A22" s="14">
        <v>42035</v>
      </c>
      <c r="B22" s="24" t="s">
        <v>72</v>
      </c>
      <c r="C22" s="11">
        <f t="shared" si="0"/>
        <v>42035</v>
      </c>
      <c r="D22" s="17" t="s">
        <v>53</v>
      </c>
      <c r="E22" s="12" t="s">
        <v>42</v>
      </c>
      <c r="F22" s="9"/>
      <c r="G22" s="20">
        <v>296270000</v>
      </c>
      <c r="H22" s="5">
        <f t="shared" si="4"/>
        <v>1886604500</v>
      </c>
      <c r="I22" s="5">
        <f t="shared" si="5"/>
        <v>0</v>
      </c>
      <c r="J22" s="37">
        <f t="shared" si="3"/>
        <v>1</v>
      </c>
      <c r="K22" s="207" t="s">
        <v>196</v>
      </c>
      <c r="N22" s="24">
        <f ca="1">IF(ROWS($1:7)&gt;COUNT(Dong1),"",OFFSET('141-TT'!B$1,SMALL(Dong1,ROWS($1:7)),))</f>
        <v>0</v>
      </c>
      <c r="O22" s="150">
        <f ca="1">IF(ROWS($1:7)&gt;COUNT(Dong1),"",OFFSET('141-TT'!C$1,SMALL(Dong1,ROWS($1:7)),))</f>
        <v>42216</v>
      </c>
      <c r="P22" s="24" t="str">
        <f ca="1">IF(ROWS($1:7)&gt;COUNT(Dong1),"",OFFSET('141-TT'!D$1,SMALL(Dong1,ROWS($1:7)),))</f>
        <v>Võ Thị Bảy</v>
      </c>
      <c r="Q22" s="24" t="str">
        <f ca="1">IF(ROWS($1:7)&gt;COUNT(Dong1),"",OFFSET('141-TT'!E$1,SMALL(Dong1,ROWS($1:7)),))</f>
        <v>331</v>
      </c>
      <c r="R22" s="24">
        <f ca="1">IF(ROWS($1:7)&gt;COUNT(Dong1),"",OFFSET('141-TT'!F$1,SMALL(Dong1,ROWS($1:7)),))</f>
        <v>0</v>
      </c>
      <c r="S22" s="24">
        <f ca="1">IF(ROWS($1:7)&gt;COUNT(Dong1),"",OFFSET('141-TT'!G$1,SMALL(Dong1,ROWS($1:7)),))</f>
        <v>150486000</v>
      </c>
      <c r="T22" s="1" t="str">
        <f ca="1">IF(IF(ROWS($1:7)&gt;COUNT(Dong1),"",OFFSET('141-TT'!K$1,SMALL(Dong1,ROWS($1:7)),))=0,"",IF(ROWS($1:7)&gt;COUNT(Dong1),"",OFFSET('141-TT'!K$1,SMALL(Dong1,ROWS($1:7)),)))</f>
        <v>N01 &amp; N05</v>
      </c>
    </row>
    <row r="23" spans="1:20" ht="17.25" customHeight="1">
      <c r="A23" s="14">
        <v>42035</v>
      </c>
      <c r="B23" s="24" t="s">
        <v>72</v>
      </c>
      <c r="C23" s="11">
        <f t="shared" si="0"/>
        <v>42035</v>
      </c>
      <c r="D23" s="17" t="s">
        <v>33</v>
      </c>
      <c r="E23" s="12" t="s">
        <v>42</v>
      </c>
      <c r="F23" s="9"/>
      <c r="G23" s="20">
        <v>158364000</v>
      </c>
      <c r="H23" s="5">
        <f t="shared" si="4"/>
        <v>1728240500</v>
      </c>
      <c r="I23" s="5">
        <f t="shared" si="5"/>
        <v>0</v>
      </c>
      <c r="J23" s="37">
        <f t="shared" si="3"/>
        <v>1</v>
      </c>
      <c r="K23" s="207" t="s">
        <v>174</v>
      </c>
      <c r="N23" s="24">
        <f ca="1">IF(ROWS($1:8)&gt;COUNT(Dong1),"",OFFSET('141-TT'!B$1,SMALL(Dong1,ROWS($1:8)),))</f>
        <v>0</v>
      </c>
      <c r="O23" s="150">
        <f ca="1">IF(ROWS($1:8)&gt;COUNT(Dong1),"",OFFSET('141-TT'!C$1,SMALL(Dong1,ROWS($1:8)),))</f>
        <v>42216</v>
      </c>
      <c r="P23" s="24" t="str">
        <f ca="1">IF(ROWS($1:8)&gt;COUNT(Dong1),"",OFFSET('141-TT'!D$1,SMALL(Dong1,ROWS($1:8)),))</f>
        <v>Võ Văn Bá</v>
      </c>
      <c r="Q23" s="24" t="str">
        <f ca="1">IF(ROWS($1:8)&gt;COUNT(Dong1),"",OFFSET('141-TT'!E$1,SMALL(Dong1,ROWS($1:8)),))</f>
        <v>331</v>
      </c>
      <c r="R23" s="24">
        <f ca="1">IF(ROWS($1:8)&gt;COUNT(Dong1),"",OFFSET('141-TT'!F$1,SMALL(Dong1,ROWS($1:8)),))</f>
        <v>0</v>
      </c>
      <c r="S23" s="24">
        <f ca="1">IF(ROWS($1:8)&gt;COUNT(Dong1),"",OFFSET('141-TT'!G$1,SMALL(Dong1,ROWS($1:8)),))</f>
        <v>219808500</v>
      </c>
      <c r="T23" s="1" t="str">
        <f ca="1">IF(IF(ROWS($1:8)&gt;COUNT(Dong1),"",OFFSET('141-TT'!K$1,SMALL(Dong1,ROWS($1:8)),))=0,"",IF(ROWS($1:8)&gt;COUNT(Dong1),"",OFFSET('141-TT'!K$1,SMALL(Dong1,ROWS($1:8)),)))</f>
        <v>N02 &amp; N06 &amp; N19</v>
      </c>
    </row>
    <row r="24" spans="1:20" ht="17.25" customHeight="1">
      <c r="A24" s="14">
        <v>42035</v>
      </c>
      <c r="B24" s="24" t="s">
        <v>72</v>
      </c>
      <c r="C24" s="11">
        <f t="shared" si="0"/>
        <v>42035</v>
      </c>
      <c r="D24" s="17" t="s">
        <v>52</v>
      </c>
      <c r="E24" s="12" t="s">
        <v>42</v>
      </c>
      <c r="F24" s="9"/>
      <c r="G24" s="20">
        <v>157489500</v>
      </c>
      <c r="H24" s="5">
        <f t="shared" si="4"/>
        <v>1570751000</v>
      </c>
      <c r="I24" s="5">
        <f t="shared" si="5"/>
        <v>0</v>
      </c>
      <c r="J24" s="37">
        <f t="shared" si="3"/>
        <v>1</v>
      </c>
      <c r="K24" s="207" t="s">
        <v>184</v>
      </c>
      <c r="N24" s="24" t="str">
        <f ca="1">IF(ROWS($1:9)&gt;COUNT(Dong1),"",OFFSET('141-TT'!B$1,SMALL(Dong1,ROWS($1:9)),))</f>
        <v/>
      </c>
      <c r="O24" s="150" t="str">
        <f ca="1">IF(ROWS($1:9)&gt;COUNT(Dong1),"",OFFSET('141-TT'!C$1,SMALL(Dong1,ROWS($1:9)),))</f>
        <v/>
      </c>
      <c r="P24" s="24" t="str">
        <f ca="1">IF(ROWS($1:9)&gt;COUNT(Dong1),"",OFFSET('141-TT'!D$1,SMALL(Dong1,ROWS($1:9)),))</f>
        <v/>
      </c>
      <c r="Q24" s="24" t="str">
        <f ca="1">IF(ROWS($1:9)&gt;COUNT(Dong1),"",OFFSET('141-TT'!E$1,SMALL(Dong1,ROWS($1:9)),))</f>
        <v/>
      </c>
      <c r="R24" s="24" t="str">
        <f ca="1">IF(ROWS($1:9)&gt;COUNT(Dong1),"",OFFSET('141-TT'!F$1,SMALL(Dong1,ROWS($1:9)),))</f>
        <v/>
      </c>
      <c r="S24" s="24" t="str">
        <f ca="1">IF(ROWS($1:9)&gt;COUNT(Dong1),"",OFFSET('141-TT'!G$1,SMALL(Dong1,ROWS($1:9)),))</f>
        <v/>
      </c>
      <c r="T24" s="1" t="str">
        <f ca="1">IF(IF(ROWS($1:9)&gt;COUNT(Dong1),"",OFFSET('141-TT'!K$1,SMALL(Dong1,ROWS($1:9)),))=0,"",IF(ROWS($1:9)&gt;COUNT(Dong1),"",OFFSET('141-TT'!K$1,SMALL(Dong1,ROWS($1:9)),)))</f>
        <v/>
      </c>
    </row>
    <row r="25" spans="1:20" ht="17.25" customHeight="1">
      <c r="A25" s="14">
        <v>42035</v>
      </c>
      <c r="B25" s="24" t="s">
        <v>72</v>
      </c>
      <c r="C25" s="11">
        <f t="shared" si="0"/>
        <v>42035</v>
      </c>
      <c r="D25" s="17" t="s">
        <v>102</v>
      </c>
      <c r="E25" s="12" t="s">
        <v>42</v>
      </c>
      <c r="F25" s="9"/>
      <c r="G25" s="20">
        <v>157145000</v>
      </c>
      <c r="H25" s="5">
        <f t="shared" si="4"/>
        <v>1413606000</v>
      </c>
      <c r="I25" s="5">
        <f t="shared" si="5"/>
        <v>0</v>
      </c>
      <c r="J25" s="37">
        <f t="shared" si="3"/>
        <v>1</v>
      </c>
      <c r="K25" s="207" t="s">
        <v>197</v>
      </c>
      <c r="N25" s="24" t="str">
        <f ca="1">IF(ROWS($1:10)&gt;COUNT(Dong1),"",OFFSET('141-TT'!B$1,SMALL(Dong1,ROWS($1:10)),))</f>
        <v/>
      </c>
      <c r="O25" s="150" t="str">
        <f ca="1">IF(ROWS($1:10)&gt;COUNT(Dong1),"",OFFSET('141-TT'!C$1,SMALL(Dong1,ROWS($1:10)),))</f>
        <v/>
      </c>
      <c r="P25" s="24" t="str">
        <f ca="1">IF(ROWS($1:10)&gt;COUNT(Dong1),"",OFFSET('141-TT'!D$1,SMALL(Dong1,ROWS($1:10)),))</f>
        <v/>
      </c>
      <c r="Q25" s="24" t="str">
        <f ca="1">IF(ROWS($1:10)&gt;COUNT(Dong1),"",OFFSET('141-TT'!E$1,SMALL(Dong1,ROWS($1:10)),))</f>
        <v/>
      </c>
      <c r="R25" s="24" t="str">
        <f ca="1">IF(ROWS($1:10)&gt;COUNT(Dong1),"",OFFSET('141-TT'!F$1,SMALL(Dong1,ROWS($1:10)),))</f>
        <v/>
      </c>
      <c r="S25" s="24" t="str">
        <f ca="1">IF(ROWS($1:10)&gt;COUNT(Dong1),"",OFFSET('141-TT'!G$1,SMALL(Dong1,ROWS($1:10)),))</f>
        <v/>
      </c>
      <c r="T25" s="1" t="str">
        <f ca="1">IF(IF(ROWS($1:10)&gt;COUNT(Dong1),"",OFFSET('141-TT'!K$1,SMALL(Dong1,ROWS($1:10)),))=0,"",IF(ROWS($1:10)&gt;COUNT(Dong1),"",OFFSET('141-TT'!K$1,SMALL(Dong1,ROWS($1:10)),)))</f>
        <v/>
      </c>
    </row>
    <row r="26" spans="1:20" ht="17.25" customHeight="1">
      <c r="A26" s="14">
        <v>42035</v>
      </c>
      <c r="B26" s="24" t="s">
        <v>72</v>
      </c>
      <c r="C26" s="11">
        <f t="shared" si="0"/>
        <v>42035</v>
      </c>
      <c r="D26" s="17" t="s">
        <v>103</v>
      </c>
      <c r="E26" s="12" t="s">
        <v>42</v>
      </c>
      <c r="F26" s="9"/>
      <c r="G26" s="20">
        <v>155555000</v>
      </c>
      <c r="H26" s="5">
        <f t="shared" si="4"/>
        <v>1258051000</v>
      </c>
      <c r="I26" s="5">
        <f t="shared" si="5"/>
        <v>0</v>
      </c>
      <c r="J26" s="37">
        <f t="shared" si="3"/>
        <v>1</v>
      </c>
      <c r="K26" s="207" t="s">
        <v>198</v>
      </c>
      <c r="N26" s="24" t="str">
        <f ca="1">IF(ROWS($1:11)&gt;COUNT(Dong1),"",OFFSET('141-TT'!B$1,SMALL(Dong1,ROWS($1:11)),))</f>
        <v/>
      </c>
      <c r="O26" s="150" t="str">
        <f ca="1">IF(ROWS($1:11)&gt;COUNT(Dong1),"",OFFSET('141-TT'!C$1,SMALL(Dong1,ROWS($1:11)),))</f>
        <v/>
      </c>
      <c r="P26" s="24" t="str">
        <f ca="1">IF(ROWS($1:11)&gt;COUNT(Dong1),"",OFFSET('141-TT'!D$1,SMALL(Dong1,ROWS($1:11)),))</f>
        <v/>
      </c>
      <c r="Q26" s="24" t="str">
        <f ca="1">IF(ROWS($1:11)&gt;COUNT(Dong1),"",OFFSET('141-TT'!E$1,SMALL(Dong1,ROWS($1:11)),))</f>
        <v/>
      </c>
      <c r="R26" s="24" t="str">
        <f ca="1">IF(ROWS($1:11)&gt;COUNT(Dong1),"",OFFSET('141-TT'!F$1,SMALL(Dong1,ROWS($1:11)),))</f>
        <v/>
      </c>
      <c r="S26" s="24" t="str">
        <f ca="1">IF(ROWS($1:11)&gt;COUNT(Dong1),"",OFFSET('141-TT'!G$1,SMALL(Dong1,ROWS($1:11)),))</f>
        <v/>
      </c>
      <c r="T26" s="1" t="str">
        <f ca="1">IF(IF(ROWS($1:11)&gt;COUNT(Dong1),"",OFFSET('141-TT'!K$1,SMALL(Dong1,ROWS($1:11)),))=0,"",IF(ROWS($1:11)&gt;COUNT(Dong1),"",OFFSET('141-TT'!K$1,SMALL(Dong1,ROWS($1:11)),)))</f>
        <v/>
      </c>
    </row>
    <row r="27" spans="1:20" ht="17.25" customHeight="1">
      <c r="A27" s="14">
        <v>42035</v>
      </c>
      <c r="B27" s="24" t="s">
        <v>72</v>
      </c>
      <c r="C27" s="11">
        <f t="shared" si="0"/>
        <v>42035</v>
      </c>
      <c r="D27" s="17" t="s">
        <v>36</v>
      </c>
      <c r="E27" s="12" t="s">
        <v>42</v>
      </c>
      <c r="F27" s="9"/>
      <c r="G27" s="20">
        <v>157940000</v>
      </c>
      <c r="H27" s="5">
        <f t="shared" si="4"/>
        <v>1100111000</v>
      </c>
      <c r="I27" s="5">
        <f t="shared" si="5"/>
        <v>0</v>
      </c>
      <c r="J27" s="37">
        <f t="shared" si="3"/>
        <v>1</v>
      </c>
      <c r="K27" s="207" t="s">
        <v>179</v>
      </c>
      <c r="N27" s="24" t="str">
        <f ca="1">IF(ROWS($1:12)&gt;COUNT(Dong1),"",OFFSET('141-TT'!B$1,SMALL(Dong1,ROWS($1:12)),))</f>
        <v/>
      </c>
      <c r="O27" s="150" t="str">
        <f ca="1">IF(ROWS($1:12)&gt;COUNT(Dong1),"",OFFSET('141-TT'!C$1,SMALL(Dong1,ROWS($1:12)),))</f>
        <v/>
      </c>
      <c r="P27" s="24" t="str">
        <f ca="1">IF(ROWS($1:12)&gt;COUNT(Dong1),"",OFFSET('141-TT'!D$1,SMALL(Dong1,ROWS($1:12)),))</f>
        <v/>
      </c>
      <c r="Q27" s="24" t="str">
        <f ca="1">IF(ROWS($1:12)&gt;COUNT(Dong1),"",OFFSET('141-TT'!E$1,SMALL(Dong1,ROWS($1:12)),))</f>
        <v/>
      </c>
      <c r="R27" s="24" t="str">
        <f ca="1">IF(ROWS($1:12)&gt;COUNT(Dong1),"",OFFSET('141-TT'!F$1,SMALL(Dong1,ROWS($1:12)),))</f>
        <v/>
      </c>
      <c r="S27" s="24" t="str">
        <f ca="1">IF(ROWS($1:12)&gt;COUNT(Dong1),"",OFFSET('141-TT'!G$1,SMALL(Dong1,ROWS($1:12)),))</f>
        <v/>
      </c>
      <c r="T27" s="1" t="str">
        <f ca="1">IF(IF(ROWS($1:12)&gt;COUNT(Dong1),"",OFFSET('141-TT'!K$1,SMALL(Dong1,ROWS($1:12)),))=0,"",IF(ROWS($1:12)&gt;COUNT(Dong1),"",OFFSET('141-TT'!K$1,SMALL(Dong1,ROWS($1:12)),)))</f>
        <v/>
      </c>
    </row>
    <row r="28" spans="1:20" ht="17.25" customHeight="1">
      <c r="A28" s="14">
        <v>42035</v>
      </c>
      <c r="B28" s="24" t="s">
        <v>72</v>
      </c>
      <c r="C28" s="11">
        <f t="shared" si="0"/>
        <v>42035</v>
      </c>
      <c r="D28" s="17" t="s">
        <v>34</v>
      </c>
      <c r="E28" s="12" t="s">
        <v>42</v>
      </c>
      <c r="F28" s="9"/>
      <c r="G28" s="20">
        <v>158523000</v>
      </c>
      <c r="H28" s="5">
        <f t="shared" si="4"/>
        <v>941588000</v>
      </c>
      <c r="I28" s="5">
        <f t="shared" si="5"/>
        <v>0</v>
      </c>
      <c r="J28" s="37">
        <f t="shared" si="3"/>
        <v>1</v>
      </c>
      <c r="K28" s="207" t="s">
        <v>188</v>
      </c>
      <c r="N28" s="24" t="str">
        <f ca="1">IF(ROWS($1:13)&gt;COUNT(Dong1),"",OFFSET('141-TT'!B$1,SMALL(Dong1,ROWS($1:13)),))</f>
        <v/>
      </c>
      <c r="O28" s="150" t="str">
        <f ca="1">IF(ROWS($1:13)&gt;COUNT(Dong1),"",OFFSET('141-TT'!C$1,SMALL(Dong1,ROWS($1:13)),))</f>
        <v/>
      </c>
      <c r="P28" s="24" t="str">
        <f ca="1">IF(ROWS($1:13)&gt;COUNT(Dong1),"",OFFSET('141-TT'!D$1,SMALL(Dong1,ROWS($1:13)),))</f>
        <v/>
      </c>
      <c r="Q28" s="24" t="str">
        <f ca="1">IF(ROWS($1:13)&gt;COUNT(Dong1),"",OFFSET('141-TT'!E$1,SMALL(Dong1,ROWS($1:13)),))</f>
        <v/>
      </c>
      <c r="R28" s="24" t="str">
        <f ca="1">IF(ROWS($1:13)&gt;COUNT(Dong1),"",OFFSET('141-TT'!F$1,SMALL(Dong1,ROWS($1:13)),))</f>
        <v/>
      </c>
      <c r="S28" s="24" t="str">
        <f ca="1">IF(ROWS($1:13)&gt;COUNT(Dong1),"",OFFSET('141-TT'!G$1,SMALL(Dong1,ROWS($1:13)),))</f>
        <v/>
      </c>
      <c r="T28" s="1" t="str">
        <f ca="1">IF(IF(ROWS($1:13)&gt;COUNT(Dong1),"",OFFSET('141-TT'!K$1,SMALL(Dong1,ROWS($1:13)),))=0,"",IF(ROWS($1:13)&gt;COUNT(Dong1),"",OFFSET('141-TT'!K$1,SMALL(Dong1,ROWS($1:13)),)))</f>
        <v/>
      </c>
    </row>
    <row r="29" spans="1:20" ht="17.25" customHeight="1">
      <c r="A29" s="14">
        <v>42035</v>
      </c>
      <c r="B29" s="24" t="s">
        <v>72</v>
      </c>
      <c r="C29" s="11">
        <f t="shared" si="0"/>
        <v>42035</v>
      </c>
      <c r="D29" s="17" t="s">
        <v>40</v>
      </c>
      <c r="E29" s="12" t="s">
        <v>42</v>
      </c>
      <c r="F29" s="9"/>
      <c r="G29" s="20">
        <v>158470000</v>
      </c>
      <c r="H29" s="5">
        <f t="shared" si="4"/>
        <v>783118000</v>
      </c>
      <c r="I29" s="5">
        <f t="shared" si="5"/>
        <v>0</v>
      </c>
      <c r="J29" s="37">
        <f t="shared" si="3"/>
        <v>1</v>
      </c>
      <c r="K29" s="207" t="s">
        <v>189</v>
      </c>
      <c r="N29" s="24" t="str">
        <f ca="1">IF(ROWS($1:14)&gt;COUNT(Dong1),"",OFFSET('141-TT'!B$1,SMALL(Dong1,ROWS($1:14)),))</f>
        <v/>
      </c>
      <c r="O29" s="150" t="str">
        <f ca="1">IF(ROWS($1:14)&gt;COUNT(Dong1),"",OFFSET('141-TT'!C$1,SMALL(Dong1,ROWS($1:14)),))</f>
        <v/>
      </c>
      <c r="P29" s="24" t="str">
        <f ca="1">IF(ROWS($1:14)&gt;COUNT(Dong1),"",OFFSET('141-TT'!D$1,SMALL(Dong1,ROWS($1:14)),))</f>
        <v/>
      </c>
      <c r="Q29" s="24" t="str">
        <f ca="1">IF(ROWS($1:14)&gt;COUNT(Dong1),"",OFFSET('141-TT'!E$1,SMALL(Dong1,ROWS($1:14)),))</f>
        <v/>
      </c>
      <c r="R29" s="24" t="str">
        <f ca="1">IF(ROWS($1:14)&gt;COUNT(Dong1),"",OFFSET('141-TT'!F$1,SMALL(Dong1,ROWS($1:14)),))</f>
        <v/>
      </c>
      <c r="S29" s="24" t="str">
        <f ca="1">IF(ROWS($1:14)&gt;COUNT(Dong1),"",OFFSET('141-TT'!G$1,SMALL(Dong1,ROWS($1:14)),))</f>
        <v/>
      </c>
      <c r="T29" s="1" t="str">
        <f ca="1">IF(IF(ROWS($1:14)&gt;COUNT(Dong1),"",OFFSET('141-TT'!K$1,SMALL(Dong1,ROWS($1:14)),))=0,"",IF(ROWS($1:14)&gt;COUNT(Dong1),"",OFFSET('141-TT'!K$1,SMALL(Dong1,ROWS($1:14)),)))</f>
        <v/>
      </c>
    </row>
    <row r="30" spans="1:20" ht="17.25" customHeight="1">
      <c r="A30" s="14">
        <v>42035</v>
      </c>
      <c r="B30" s="24" t="s">
        <v>72</v>
      </c>
      <c r="C30" s="11">
        <f t="shared" si="0"/>
        <v>42035</v>
      </c>
      <c r="D30" s="17" t="s">
        <v>41</v>
      </c>
      <c r="E30" s="12" t="s">
        <v>42</v>
      </c>
      <c r="F30" s="9"/>
      <c r="G30" s="20">
        <v>158019500</v>
      </c>
      <c r="H30" s="5">
        <f t="shared" si="4"/>
        <v>625098500</v>
      </c>
      <c r="I30" s="5">
        <f t="shared" si="5"/>
        <v>0</v>
      </c>
      <c r="J30" s="37">
        <f t="shared" si="3"/>
        <v>1</v>
      </c>
      <c r="K30" s="207" t="s">
        <v>170</v>
      </c>
      <c r="N30" s="24" t="str">
        <f ca="1">IF(ROWS($1:15)&gt;COUNT(Dong1),"",OFFSET('141-TT'!B$1,SMALL(Dong1,ROWS($1:15)),))</f>
        <v/>
      </c>
      <c r="O30" s="150" t="str">
        <f ca="1">IF(ROWS($1:15)&gt;COUNT(Dong1),"",OFFSET('141-TT'!C$1,SMALL(Dong1,ROWS($1:15)),))</f>
        <v/>
      </c>
      <c r="P30" s="24" t="str">
        <f ca="1">IF(ROWS($1:15)&gt;COUNT(Dong1),"",OFFSET('141-TT'!D$1,SMALL(Dong1,ROWS($1:15)),))</f>
        <v/>
      </c>
      <c r="Q30" s="24" t="str">
        <f ca="1">IF(ROWS($1:15)&gt;COUNT(Dong1),"",OFFSET('141-TT'!E$1,SMALL(Dong1,ROWS($1:15)),))</f>
        <v/>
      </c>
      <c r="R30" s="24" t="str">
        <f ca="1">IF(ROWS($1:15)&gt;COUNT(Dong1),"",OFFSET('141-TT'!F$1,SMALL(Dong1,ROWS($1:15)),))</f>
        <v/>
      </c>
      <c r="S30" s="24" t="str">
        <f ca="1">IF(ROWS($1:15)&gt;COUNT(Dong1),"",OFFSET('141-TT'!G$1,SMALL(Dong1,ROWS($1:15)),))</f>
        <v/>
      </c>
      <c r="T30" s="1" t="str">
        <f ca="1">IF(IF(ROWS($1:15)&gt;COUNT(Dong1),"",OFFSET('141-TT'!K$1,SMALL(Dong1,ROWS($1:15)),))=0,"",IF(ROWS($1:15)&gt;COUNT(Dong1),"",OFFSET('141-TT'!K$1,SMALL(Dong1,ROWS($1:15)),)))</f>
        <v/>
      </c>
    </row>
    <row r="31" spans="1:20" ht="17.25" customHeight="1">
      <c r="A31" s="14">
        <v>42035</v>
      </c>
      <c r="B31" s="24" t="s">
        <v>72</v>
      </c>
      <c r="C31" s="11">
        <f t="shared" si="0"/>
        <v>42035</v>
      </c>
      <c r="D31" s="17" t="s">
        <v>37</v>
      </c>
      <c r="E31" s="12" t="s">
        <v>42</v>
      </c>
      <c r="F31" s="9"/>
      <c r="G31" s="20">
        <v>155396000</v>
      </c>
      <c r="H31" s="5">
        <f t="shared" si="4"/>
        <v>469702500</v>
      </c>
      <c r="I31" s="5">
        <f t="shared" si="5"/>
        <v>0</v>
      </c>
      <c r="J31" s="37">
        <f t="shared" si="3"/>
        <v>1</v>
      </c>
      <c r="K31" s="206" t="s">
        <v>199</v>
      </c>
      <c r="N31" s="24" t="str">
        <f ca="1">IF(ROWS($1:16)&gt;COUNT(Dong1),"",OFFSET('141-TT'!B$1,SMALL(Dong1,ROWS($1:16)),))</f>
        <v/>
      </c>
      <c r="O31" s="150" t="str">
        <f ca="1">IF(ROWS($1:16)&gt;COUNT(Dong1),"",OFFSET('141-TT'!C$1,SMALL(Dong1,ROWS($1:16)),))</f>
        <v/>
      </c>
      <c r="P31" s="24" t="str">
        <f ca="1">IF(ROWS($1:16)&gt;COUNT(Dong1),"",OFFSET('141-TT'!D$1,SMALL(Dong1,ROWS($1:16)),))</f>
        <v/>
      </c>
      <c r="Q31" s="24" t="str">
        <f ca="1">IF(ROWS($1:16)&gt;COUNT(Dong1),"",OFFSET('141-TT'!E$1,SMALL(Dong1,ROWS($1:16)),))</f>
        <v/>
      </c>
      <c r="R31" s="24" t="str">
        <f ca="1">IF(ROWS($1:16)&gt;COUNT(Dong1),"",OFFSET('141-TT'!F$1,SMALL(Dong1,ROWS($1:16)),))</f>
        <v/>
      </c>
      <c r="S31" s="24" t="str">
        <f ca="1">IF(ROWS($1:16)&gt;COUNT(Dong1),"",OFFSET('141-TT'!G$1,SMALL(Dong1,ROWS($1:16)),))</f>
        <v/>
      </c>
      <c r="T31" s="1" t="str">
        <f ca="1">IF(IF(ROWS($1:16)&gt;COUNT(Dong1),"",OFFSET('141-TT'!K$1,SMALL(Dong1,ROWS($1:16)),))=0,"",IF(ROWS($1:16)&gt;COUNT(Dong1),"",OFFSET('141-TT'!K$1,SMALL(Dong1,ROWS($1:16)),)))</f>
        <v/>
      </c>
    </row>
    <row r="32" spans="1:20" ht="17.25" customHeight="1">
      <c r="A32" s="14">
        <v>42035</v>
      </c>
      <c r="B32" s="24" t="s">
        <v>72</v>
      </c>
      <c r="C32" s="11">
        <f t="shared" si="0"/>
        <v>42035</v>
      </c>
      <c r="D32" s="17" t="s">
        <v>38</v>
      </c>
      <c r="E32" s="12" t="s">
        <v>42</v>
      </c>
      <c r="F32" s="9"/>
      <c r="G32" s="20">
        <v>158284500</v>
      </c>
      <c r="H32" s="5">
        <f t="shared" si="4"/>
        <v>311418000</v>
      </c>
      <c r="I32" s="5">
        <f t="shared" si="5"/>
        <v>0</v>
      </c>
      <c r="J32" s="37">
        <f t="shared" si="3"/>
        <v>1</v>
      </c>
      <c r="K32" s="206" t="s">
        <v>200</v>
      </c>
      <c r="N32" s="24" t="str">
        <f ca="1">IF(ROWS($1:17)&gt;COUNT(Dong1),"",OFFSET('141-TT'!B$1,SMALL(Dong1,ROWS($1:17)),))</f>
        <v/>
      </c>
      <c r="O32" s="150" t="str">
        <f ca="1">IF(ROWS($1:17)&gt;COUNT(Dong1),"",OFFSET('141-TT'!C$1,SMALL(Dong1,ROWS($1:17)),))</f>
        <v/>
      </c>
      <c r="P32" s="24" t="str">
        <f ca="1">IF(ROWS($1:17)&gt;COUNT(Dong1),"",OFFSET('141-TT'!D$1,SMALL(Dong1,ROWS($1:17)),))</f>
        <v/>
      </c>
      <c r="Q32" s="24" t="str">
        <f ca="1">IF(ROWS($1:17)&gt;COUNT(Dong1),"",OFFSET('141-TT'!E$1,SMALL(Dong1,ROWS($1:17)),))</f>
        <v/>
      </c>
      <c r="R32" s="24" t="str">
        <f ca="1">IF(ROWS($1:17)&gt;COUNT(Dong1),"",OFFSET('141-TT'!F$1,SMALL(Dong1,ROWS($1:17)),))</f>
        <v/>
      </c>
      <c r="S32" s="24" t="str">
        <f ca="1">IF(ROWS($1:17)&gt;COUNT(Dong1),"",OFFSET('141-TT'!G$1,SMALL(Dong1,ROWS($1:17)),))</f>
        <v/>
      </c>
      <c r="T32" s="1" t="str">
        <f ca="1">IF(IF(ROWS($1:17)&gt;COUNT(Dong1),"",OFFSET('141-TT'!K$1,SMALL(Dong1,ROWS($1:17)),))=0,"",IF(ROWS($1:17)&gt;COUNT(Dong1),"",OFFSET('141-TT'!K$1,SMALL(Dong1,ROWS($1:17)),)))</f>
        <v/>
      </c>
    </row>
    <row r="33" spans="1:20" ht="17.25" customHeight="1">
      <c r="A33" s="14">
        <v>42035</v>
      </c>
      <c r="B33" s="24" t="s">
        <v>72</v>
      </c>
      <c r="C33" s="11">
        <f t="shared" si="0"/>
        <v>42035</v>
      </c>
      <c r="D33" s="17" t="s">
        <v>35</v>
      </c>
      <c r="E33" s="12" t="s">
        <v>42</v>
      </c>
      <c r="F33" s="9"/>
      <c r="G33" s="20">
        <v>158523000</v>
      </c>
      <c r="H33" s="5">
        <f t="shared" si="4"/>
        <v>152895000</v>
      </c>
      <c r="I33" s="5">
        <f t="shared" si="5"/>
        <v>0</v>
      </c>
      <c r="J33" s="37">
        <f t="shared" si="3"/>
        <v>1</v>
      </c>
      <c r="K33" s="206" t="s">
        <v>201</v>
      </c>
      <c r="N33" s="24" t="str">
        <f ca="1">IF(ROWS($1:18)&gt;COUNT(Dong1),"",OFFSET('141-TT'!B$1,SMALL(Dong1,ROWS($1:18)),))</f>
        <v/>
      </c>
      <c r="O33" s="150" t="str">
        <f ca="1">IF(ROWS($1:18)&gt;COUNT(Dong1),"",OFFSET('141-TT'!C$1,SMALL(Dong1,ROWS($1:18)),))</f>
        <v/>
      </c>
      <c r="P33" s="24" t="str">
        <f ca="1">IF(ROWS($1:18)&gt;COUNT(Dong1),"",OFFSET('141-TT'!D$1,SMALL(Dong1,ROWS($1:18)),))</f>
        <v/>
      </c>
      <c r="Q33" s="24" t="str">
        <f ca="1">IF(ROWS($1:18)&gt;COUNT(Dong1),"",OFFSET('141-TT'!E$1,SMALL(Dong1,ROWS($1:18)),))</f>
        <v/>
      </c>
      <c r="R33" s="24" t="str">
        <f ca="1">IF(ROWS($1:18)&gt;COUNT(Dong1),"",OFFSET('141-TT'!F$1,SMALL(Dong1,ROWS($1:18)),))</f>
        <v/>
      </c>
      <c r="S33" s="24" t="str">
        <f ca="1">IF(ROWS($1:18)&gt;COUNT(Dong1),"",OFFSET('141-TT'!G$1,SMALL(Dong1,ROWS($1:18)),))</f>
        <v/>
      </c>
      <c r="T33" s="1" t="str">
        <f ca="1">IF(IF(ROWS($1:18)&gt;COUNT(Dong1),"",OFFSET('141-TT'!K$1,SMALL(Dong1,ROWS($1:18)),))=0,"",IF(ROWS($1:18)&gt;COUNT(Dong1),"",OFFSET('141-TT'!K$1,SMALL(Dong1,ROWS($1:18)),)))</f>
        <v/>
      </c>
    </row>
    <row r="34" spans="1:20" ht="17.25" customHeight="1">
      <c r="A34" s="14">
        <v>42035</v>
      </c>
      <c r="B34" s="24" t="s">
        <v>72</v>
      </c>
      <c r="C34" s="11">
        <f t="shared" si="0"/>
        <v>42035</v>
      </c>
      <c r="D34" s="17" t="s">
        <v>39</v>
      </c>
      <c r="E34" s="12" t="s">
        <v>42</v>
      </c>
      <c r="F34" s="9"/>
      <c r="G34" s="9">
        <v>152640000</v>
      </c>
      <c r="H34" s="5">
        <f t="shared" si="4"/>
        <v>255000</v>
      </c>
      <c r="I34" s="5">
        <f t="shared" si="5"/>
        <v>0</v>
      </c>
      <c r="J34" s="37">
        <f t="shared" si="3"/>
        <v>1</v>
      </c>
      <c r="K34" s="206" t="s">
        <v>202</v>
      </c>
      <c r="N34" s="24" t="str">
        <f ca="1">IF(ROWS($1:19)&gt;COUNT(Dong1),"",OFFSET('141-TT'!B$1,SMALL(Dong1,ROWS($1:19)),))</f>
        <v/>
      </c>
      <c r="O34" s="150" t="str">
        <f ca="1">IF(ROWS($1:19)&gt;COUNT(Dong1),"",OFFSET('141-TT'!C$1,SMALL(Dong1,ROWS($1:19)),))</f>
        <v/>
      </c>
      <c r="P34" s="24" t="str">
        <f ca="1">IF(ROWS($1:19)&gt;COUNT(Dong1),"",OFFSET('141-TT'!D$1,SMALL(Dong1,ROWS($1:19)),))</f>
        <v/>
      </c>
      <c r="Q34" s="24" t="str">
        <f ca="1">IF(ROWS($1:19)&gt;COUNT(Dong1),"",OFFSET('141-TT'!E$1,SMALL(Dong1,ROWS($1:19)),))</f>
        <v/>
      </c>
      <c r="R34" s="24" t="str">
        <f ca="1">IF(ROWS($1:19)&gt;COUNT(Dong1),"",OFFSET('141-TT'!F$1,SMALL(Dong1,ROWS($1:19)),))</f>
        <v/>
      </c>
      <c r="S34" s="24" t="str">
        <f ca="1">IF(ROWS($1:19)&gt;COUNT(Dong1),"",OFFSET('141-TT'!G$1,SMALL(Dong1,ROWS($1:19)),))</f>
        <v/>
      </c>
      <c r="T34" s="1" t="str">
        <f ca="1">IF(IF(ROWS($1:19)&gt;COUNT(Dong1),"",OFFSET('141-TT'!K$1,SMALL(Dong1,ROWS($1:19)),))=0,"",IF(ROWS($1:19)&gt;COUNT(Dong1),"",OFFSET('141-TT'!K$1,SMALL(Dong1,ROWS($1:19)),)))</f>
        <v/>
      </c>
    </row>
    <row r="35" spans="1:20" ht="17.25" customHeight="1">
      <c r="A35" s="14">
        <v>42040</v>
      </c>
      <c r="B35" s="24" t="s">
        <v>59</v>
      </c>
      <c r="C35" s="11">
        <f t="shared" si="0"/>
        <v>42040</v>
      </c>
      <c r="D35" s="17" t="s">
        <v>44</v>
      </c>
      <c r="E35" s="38" t="s">
        <v>45</v>
      </c>
      <c r="F35" s="9">
        <v>450000000</v>
      </c>
      <c r="G35" s="20"/>
      <c r="H35" s="5">
        <f t="shared" si="4"/>
        <v>450255000</v>
      </c>
      <c r="I35" s="5">
        <f t="shared" si="5"/>
        <v>0</v>
      </c>
      <c r="J35" s="37">
        <f t="shared" si="3"/>
        <v>2</v>
      </c>
      <c r="K35" s="207"/>
      <c r="N35" s="24" t="str">
        <f ca="1">IF(ROWS($1:20)&gt;COUNT(Dong1),"",OFFSET('141-TT'!B$1,SMALL(Dong1,ROWS($1:20)),))</f>
        <v/>
      </c>
      <c r="O35" s="150" t="str">
        <f ca="1">IF(ROWS($1:20)&gt;COUNT(Dong1),"",OFFSET('141-TT'!C$1,SMALL(Dong1,ROWS($1:20)),))</f>
        <v/>
      </c>
      <c r="P35" s="24" t="str">
        <f ca="1">IF(ROWS($1:20)&gt;COUNT(Dong1),"",OFFSET('141-TT'!D$1,SMALL(Dong1,ROWS($1:20)),))</f>
        <v/>
      </c>
      <c r="Q35" s="24" t="str">
        <f ca="1">IF(ROWS($1:20)&gt;COUNT(Dong1),"",OFFSET('141-TT'!E$1,SMALL(Dong1,ROWS($1:20)),))</f>
        <v/>
      </c>
      <c r="R35" s="24" t="str">
        <f ca="1">IF(ROWS($1:20)&gt;COUNT(Dong1),"",OFFSET('141-TT'!F$1,SMALL(Dong1,ROWS($1:20)),))</f>
        <v/>
      </c>
      <c r="S35" s="24" t="str">
        <f ca="1">IF(ROWS($1:20)&gt;COUNT(Dong1),"",OFFSET('141-TT'!G$1,SMALL(Dong1,ROWS($1:20)),))</f>
        <v/>
      </c>
      <c r="T35" s="1" t="str">
        <f ca="1">IF(IF(ROWS($1:20)&gt;COUNT(Dong1),"",OFFSET('141-TT'!K$1,SMALL(Dong1,ROWS($1:20)),))=0,"",IF(ROWS($1:20)&gt;COUNT(Dong1),"",OFFSET('141-TT'!K$1,SMALL(Dong1,ROWS($1:20)),)))</f>
        <v/>
      </c>
    </row>
    <row r="36" spans="1:20" ht="17.25" customHeight="1">
      <c r="A36" s="14">
        <v>42041</v>
      </c>
      <c r="B36" s="24" t="s">
        <v>61</v>
      </c>
      <c r="C36" s="11">
        <f t="shared" si="0"/>
        <v>42041</v>
      </c>
      <c r="D36" s="17" t="s">
        <v>44</v>
      </c>
      <c r="E36" s="38" t="s">
        <v>45</v>
      </c>
      <c r="F36" s="9">
        <v>500000000</v>
      </c>
      <c r="G36" s="20"/>
      <c r="H36" s="5">
        <f t="shared" si="4"/>
        <v>950255000</v>
      </c>
      <c r="I36" s="5">
        <f t="shared" si="5"/>
        <v>0</v>
      </c>
      <c r="J36" s="37">
        <f t="shared" si="3"/>
        <v>2</v>
      </c>
      <c r="K36" s="207"/>
      <c r="N36" s="24" t="str">
        <f ca="1">IF(ROWS($1:21)&gt;COUNT(Dong1),"",OFFSET('141-TT'!B$1,SMALL(Dong1,ROWS($1:21)),))</f>
        <v/>
      </c>
      <c r="O36" s="150" t="str">
        <f ca="1">IF(ROWS($1:21)&gt;COUNT(Dong1),"",OFFSET('141-TT'!C$1,SMALL(Dong1,ROWS($1:21)),))</f>
        <v/>
      </c>
      <c r="P36" s="24" t="str">
        <f ca="1">IF(ROWS($1:21)&gt;COUNT(Dong1),"",OFFSET('141-TT'!D$1,SMALL(Dong1,ROWS($1:21)),))</f>
        <v/>
      </c>
      <c r="Q36" s="24" t="str">
        <f ca="1">IF(ROWS($1:21)&gt;COUNT(Dong1),"",OFFSET('141-TT'!E$1,SMALL(Dong1,ROWS($1:21)),))</f>
        <v/>
      </c>
      <c r="R36" s="24" t="str">
        <f ca="1">IF(ROWS($1:21)&gt;COUNT(Dong1),"",OFFSET('141-TT'!F$1,SMALL(Dong1,ROWS($1:21)),))</f>
        <v/>
      </c>
      <c r="S36" s="24" t="str">
        <f ca="1">IF(ROWS($1:21)&gt;COUNT(Dong1),"",OFFSET('141-TT'!G$1,SMALL(Dong1,ROWS($1:21)),))</f>
        <v/>
      </c>
      <c r="T36" s="1" t="str">
        <f ca="1">IF(IF(ROWS($1:21)&gt;COUNT(Dong1),"",OFFSET('141-TT'!K$1,SMALL(Dong1,ROWS($1:21)),))=0,"",IF(ROWS($1:21)&gt;COUNT(Dong1),"",OFFSET('141-TT'!K$1,SMALL(Dong1,ROWS($1:21)),)))</f>
        <v/>
      </c>
    </row>
    <row r="37" spans="1:20" ht="17.25" customHeight="1">
      <c r="A37" s="14">
        <v>42049</v>
      </c>
      <c r="B37" s="24" t="s">
        <v>64</v>
      </c>
      <c r="C37" s="11">
        <f t="shared" si="0"/>
        <v>42049</v>
      </c>
      <c r="D37" s="17" t="s">
        <v>44</v>
      </c>
      <c r="E37" s="38" t="s">
        <v>45</v>
      </c>
      <c r="F37" s="9">
        <v>550000000</v>
      </c>
      <c r="G37" s="20"/>
      <c r="H37" s="5">
        <f t="shared" si="4"/>
        <v>1500255000</v>
      </c>
      <c r="I37" s="5">
        <f t="shared" si="5"/>
        <v>0</v>
      </c>
      <c r="J37" s="37">
        <f t="shared" si="3"/>
        <v>2</v>
      </c>
      <c r="K37" s="207"/>
      <c r="N37" s="24" t="str">
        <f ca="1">IF(ROWS($1:22)&gt;COUNT(Dong1),"",OFFSET('141-TT'!B$1,SMALL(Dong1,ROWS($1:22)),))</f>
        <v/>
      </c>
      <c r="O37" s="150" t="str">
        <f ca="1">IF(ROWS($1:22)&gt;COUNT(Dong1),"",OFFSET('141-TT'!C$1,SMALL(Dong1,ROWS($1:22)),))</f>
        <v/>
      </c>
      <c r="P37" s="24" t="str">
        <f ca="1">IF(ROWS($1:22)&gt;COUNT(Dong1),"",OFFSET('141-TT'!D$1,SMALL(Dong1,ROWS($1:22)),))</f>
        <v/>
      </c>
      <c r="Q37" s="24" t="str">
        <f ca="1">IF(ROWS($1:22)&gt;COUNT(Dong1),"",OFFSET('141-TT'!E$1,SMALL(Dong1,ROWS($1:22)),))</f>
        <v/>
      </c>
      <c r="R37" s="24" t="str">
        <f ca="1">IF(ROWS($1:22)&gt;COUNT(Dong1),"",OFFSET('141-TT'!F$1,SMALL(Dong1,ROWS($1:22)),))</f>
        <v/>
      </c>
      <c r="S37" s="24" t="str">
        <f ca="1">IF(ROWS($1:22)&gt;COUNT(Dong1),"",OFFSET('141-TT'!G$1,SMALL(Dong1,ROWS($1:22)),))</f>
        <v/>
      </c>
      <c r="T37" s="1" t="str">
        <f ca="1">IF(IF(ROWS($1:22)&gt;COUNT(Dong1),"",OFFSET('141-TT'!K$1,SMALL(Dong1,ROWS($1:22)),))=0,"",IF(ROWS($1:22)&gt;COUNT(Dong1),"",OFFSET('141-TT'!K$1,SMALL(Dong1,ROWS($1:22)),)))</f>
        <v/>
      </c>
    </row>
    <row r="38" spans="1:20" ht="17.25" customHeight="1">
      <c r="A38" s="14">
        <v>42060</v>
      </c>
      <c r="B38" s="24" t="s">
        <v>58</v>
      </c>
      <c r="C38" s="11">
        <f t="shared" si="0"/>
        <v>42060</v>
      </c>
      <c r="D38" s="17" t="s">
        <v>44</v>
      </c>
      <c r="E38" s="38" t="s">
        <v>45</v>
      </c>
      <c r="F38" s="251">
        <v>520000000</v>
      </c>
      <c r="G38" s="20"/>
      <c r="H38" s="5">
        <f t="shared" si="4"/>
        <v>2020255000</v>
      </c>
      <c r="I38" s="5">
        <f t="shared" si="5"/>
        <v>0</v>
      </c>
      <c r="J38" s="37">
        <f t="shared" si="3"/>
        <v>2</v>
      </c>
      <c r="K38" s="207"/>
      <c r="N38" s="24" t="str">
        <f ca="1">IF(ROWS($1:23)&gt;COUNT(Dong1),"",OFFSET('141-TT'!B$1,SMALL(Dong1,ROWS($1:23)),))</f>
        <v/>
      </c>
      <c r="O38" s="150" t="str">
        <f ca="1">IF(ROWS($1:23)&gt;COUNT(Dong1),"",OFFSET('141-TT'!C$1,SMALL(Dong1,ROWS($1:23)),))</f>
        <v/>
      </c>
      <c r="P38" s="24" t="str">
        <f ca="1">IF(ROWS($1:23)&gt;COUNT(Dong1),"",OFFSET('141-TT'!D$1,SMALL(Dong1,ROWS($1:23)),))</f>
        <v/>
      </c>
      <c r="Q38" s="24" t="str">
        <f ca="1">IF(ROWS($1:23)&gt;COUNT(Dong1),"",OFFSET('141-TT'!E$1,SMALL(Dong1,ROWS($1:23)),))</f>
        <v/>
      </c>
      <c r="R38" s="24" t="str">
        <f ca="1">IF(ROWS($1:23)&gt;COUNT(Dong1),"",OFFSET('141-TT'!F$1,SMALL(Dong1,ROWS($1:23)),))</f>
        <v/>
      </c>
      <c r="S38" s="24" t="str">
        <f ca="1">IF(ROWS($1:23)&gt;COUNT(Dong1),"",OFFSET('141-TT'!G$1,SMALL(Dong1,ROWS($1:23)),))</f>
        <v/>
      </c>
      <c r="T38" s="1" t="str">
        <f ca="1">IF(IF(ROWS($1:23)&gt;COUNT(Dong1),"",OFFSET('141-TT'!K$1,SMALL(Dong1,ROWS($1:23)),))=0,"",IF(ROWS($1:23)&gt;COUNT(Dong1),"",OFFSET('141-TT'!K$1,SMALL(Dong1,ROWS($1:23)),)))</f>
        <v/>
      </c>
    </row>
    <row r="39" spans="1:20" ht="17.25" customHeight="1">
      <c r="A39" s="14">
        <v>42063</v>
      </c>
      <c r="B39" s="24" t="s">
        <v>74</v>
      </c>
      <c r="C39" s="11">
        <f t="shared" si="0"/>
        <v>42063</v>
      </c>
      <c r="D39" s="17" t="s">
        <v>101</v>
      </c>
      <c r="E39" s="12" t="s">
        <v>42</v>
      </c>
      <c r="F39" s="9"/>
      <c r="G39" s="20">
        <v>175171000</v>
      </c>
      <c r="H39" s="5">
        <f t="shared" si="4"/>
        <v>1845084000</v>
      </c>
      <c r="I39" s="5">
        <f t="shared" si="5"/>
        <v>0</v>
      </c>
      <c r="J39" s="37">
        <f t="shared" si="3"/>
        <v>2</v>
      </c>
      <c r="K39" s="207" t="s">
        <v>180</v>
      </c>
      <c r="N39" s="24" t="str">
        <f ca="1">IF(ROWS($1:24)&gt;COUNT(Dong1),"",OFFSET('141-TT'!B$1,SMALL(Dong1,ROWS($1:24)),))</f>
        <v/>
      </c>
      <c r="O39" s="150" t="str">
        <f ca="1">IF(ROWS($1:24)&gt;COUNT(Dong1),"",OFFSET('141-TT'!C$1,SMALL(Dong1,ROWS($1:24)),))</f>
        <v/>
      </c>
      <c r="P39" s="24" t="str">
        <f ca="1">IF(ROWS($1:24)&gt;COUNT(Dong1),"",OFFSET('141-TT'!D$1,SMALL(Dong1,ROWS($1:24)),))</f>
        <v/>
      </c>
      <c r="Q39" s="24" t="str">
        <f ca="1">IF(ROWS($1:24)&gt;COUNT(Dong1),"",OFFSET('141-TT'!E$1,SMALL(Dong1,ROWS($1:24)),))</f>
        <v/>
      </c>
      <c r="R39" s="24" t="str">
        <f ca="1">IF(ROWS($1:24)&gt;COUNT(Dong1),"",OFFSET('141-TT'!F$1,SMALL(Dong1,ROWS($1:24)),))</f>
        <v/>
      </c>
      <c r="S39" s="24" t="str">
        <f ca="1">IF(ROWS($1:24)&gt;COUNT(Dong1),"",OFFSET('141-TT'!G$1,SMALL(Dong1,ROWS($1:24)),))</f>
        <v/>
      </c>
      <c r="T39" s="1" t="str">
        <f ca="1">IF(IF(ROWS($1:24)&gt;COUNT(Dong1),"",OFFSET('141-TT'!K$1,SMALL(Dong1,ROWS($1:24)),))=0,"",IF(ROWS($1:24)&gt;COUNT(Dong1),"",OFFSET('141-TT'!K$1,SMALL(Dong1,ROWS($1:24)),)))</f>
        <v/>
      </c>
    </row>
    <row r="40" spans="1:20" ht="17.25" customHeight="1">
      <c r="A40" s="14">
        <v>42063</v>
      </c>
      <c r="B40" s="24" t="s">
        <v>74</v>
      </c>
      <c r="C40" s="11">
        <f t="shared" si="0"/>
        <v>42063</v>
      </c>
      <c r="D40" s="17" t="s">
        <v>53</v>
      </c>
      <c r="E40" s="12" t="s">
        <v>42</v>
      </c>
      <c r="F40" s="9"/>
      <c r="G40" s="20">
        <v>176528000</v>
      </c>
      <c r="H40" s="5">
        <f t="shared" si="4"/>
        <v>1668556000</v>
      </c>
      <c r="I40" s="5">
        <f t="shared" si="5"/>
        <v>0</v>
      </c>
      <c r="J40" s="37">
        <f t="shared" si="3"/>
        <v>2</v>
      </c>
      <c r="K40" s="207" t="s">
        <v>181</v>
      </c>
      <c r="N40" s="24" t="str">
        <f ca="1">IF(ROWS($1:25)&gt;COUNT(Dong1),"",OFFSET('141-TT'!B$1,SMALL(Dong1,ROWS($1:25)),))</f>
        <v/>
      </c>
      <c r="O40" s="150" t="str">
        <f ca="1">IF(ROWS($1:25)&gt;COUNT(Dong1),"",OFFSET('141-TT'!C$1,SMALL(Dong1,ROWS($1:25)),))</f>
        <v/>
      </c>
      <c r="P40" s="24" t="str">
        <f ca="1">IF(ROWS($1:25)&gt;COUNT(Dong1),"",OFFSET('141-TT'!D$1,SMALL(Dong1,ROWS($1:25)),))</f>
        <v/>
      </c>
      <c r="Q40" s="24" t="str">
        <f ca="1">IF(ROWS($1:25)&gt;COUNT(Dong1),"",OFFSET('141-TT'!E$1,SMALL(Dong1,ROWS($1:25)),))</f>
        <v/>
      </c>
      <c r="R40" s="24" t="str">
        <f ca="1">IF(ROWS($1:25)&gt;COUNT(Dong1),"",OFFSET('141-TT'!F$1,SMALL(Dong1,ROWS($1:25)),))</f>
        <v/>
      </c>
      <c r="S40" s="24" t="str">
        <f ca="1">IF(ROWS($1:25)&gt;COUNT(Dong1),"",OFFSET('141-TT'!G$1,SMALL(Dong1,ROWS($1:25)),))</f>
        <v/>
      </c>
      <c r="T40" s="1" t="str">
        <f ca="1">IF(IF(ROWS($1:25)&gt;COUNT(Dong1),"",OFFSET('141-TT'!K$1,SMALL(Dong1,ROWS($1:25)),))=0,"",IF(ROWS($1:25)&gt;COUNT(Dong1),"",OFFSET('141-TT'!K$1,SMALL(Dong1,ROWS($1:25)),)))</f>
        <v/>
      </c>
    </row>
    <row r="41" spans="1:20" ht="17.25" customHeight="1">
      <c r="A41" s="14">
        <v>42063</v>
      </c>
      <c r="B41" s="24" t="s">
        <v>74</v>
      </c>
      <c r="C41" s="11">
        <f t="shared" si="0"/>
        <v>42063</v>
      </c>
      <c r="D41" s="17" t="s">
        <v>33</v>
      </c>
      <c r="E41" s="12" t="s">
        <v>42</v>
      </c>
      <c r="F41" s="9"/>
      <c r="G41" s="20">
        <v>176498500</v>
      </c>
      <c r="H41" s="5">
        <f t="shared" si="4"/>
        <v>1492057500</v>
      </c>
      <c r="I41" s="5">
        <f t="shared" si="5"/>
        <v>0</v>
      </c>
      <c r="J41" s="37">
        <f t="shared" si="3"/>
        <v>2</v>
      </c>
      <c r="K41" s="207" t="s">
        <v>182</v>
      </c>
      <c r="N41" s="24" t="str">
        <f ca="1">IF(ROWS($1:26)&gt;COUNT(Dong1),"",OFFSET('141-TT'!B$1,SMALL(Dong1,ROWS($1:26)),))</f>
        <v/>
      </c>
      <c r="O41" s="150" t="str">
        <f ca="1">IF(ROWS($1:26)&gt;COUNT(Dong1),"",OFFSET('141-TT'!C$1,SMALL(Dong1,ROWS($1:26)),))</f>
        <v/>
      </c>
      <c r="P41" s="24" t="str">
        <f ca="1">IF(ROWS($1:26)&gt;COUNT(Dong1),"",OFFSET('141-TT'!D$1,SMALL(Dong1,ROWS($1:26)),))</f>
        <v/>
      </c>
      <c r="Q41" s="24" t="str">
        <f ca="1">IF(ROWS($1:26)&gt;COUNT(Dong1),"",OFFSET('141-TT'!E$1,SMALL(Dong1,ROWS($1:26)),))</f>
        <v/>
      </c>
      <c r="R41" s="24" t="str">
        <f ca="1">IF(ROWS($1:26)&gt;COUNT(Dong1),"",OFFSET('141-TT'!F$1,SMALL(Dong1,ROWS($1:26)),))</f>
        <v/>
      </c>
      <c r="S41" s="24" t="str">
        <f ca="1">IF(ROWS($1:26)&gt;COUNT(Dong1),"",OFFSET('141-TT'!G$1,SMALL(Dong1,ROWS($1:26)),))</f>
        <v/>
      </c>
      <c r="T41" s="1" t="str">
        <f ca="1">IF(IF(ROWS($1:26)&gt;COUNT(Dong1),"",OFFSET('141-TT'!K$1,SMALL(Dong1,ROWS($1:26)),))=0,"",IF(ROWS($1:26)&gt;COUNT(Dong1),"",OFFSET('141-TT'!K$1,SMALL(Dong1,ROWS($1:26)),)))</f>
        <v/>
      </c>
    </row>
    <row r="42" spans="1:20" ht="17.25" customHeight="1">
      <c r="A42" s="14">
        <v>42063</v>
      </c>
      <c r="B42" s="24" t="s">
        <v>74</v>
      </c>
      <c r="C42" s="11">
        <f t="shared" si="0"/>
        <v>42063</v>
      </c>
      <c r="D42" s="17" t="s">
        <v>52</v>
      </c>
      <c r="E42" s="12" t="s">
        <v>42</v>
      </c>
      <c r="F42" s="9"/>
      <c r="G42" s="20">
        <v>168091000</v>
      </c>
      <c r="H42" s="5">
        <f t="shared" si="4"/>
        <v>1323966500</v>
      </c>
      <c r="I42" s="5">
        <f t="shared" si="5"/>
        <v>0</v>
      </c>
      <c r="J42" s="37">
        <f t="shared" si="3"/>
        <v>2</v>
      </c>
      <c r="K42" s="207" t="s">
        <v>183</v>
      </c>
      <c r="N42" s="24" t="str">
        <f ca="1">IF(ROWS($1:27)&gt;COUNT(Dong1),"",OFFSET('141-TT'!B$1,SMALL(Dong1,ROWS($1:27)),))</f>
        <v/>
      </c>
      <c r="O42" s="150" t="str">
        <f ca="1">IF(ROWS($1:27)&gt;COUNT(Dong1),"",OFFSET('141-TT'!C$1,SMALL(Dong1,ROWS($1:27)),))</f>
        <v/>
      </c>
      <c r="P42" s="24" t="str">
        <f ca="1">IF(ROWS($1:27)&gt;COUNT(Dong1),"",OFFSET('141-TT'!D$1,SMALL(Dong1,ROWS($1:27)),))</f>
        <v/>
      </c>
      <c r="Q42" s="24" t="str">
        <f ca="1">IF(ROWS($1:27)&gt;COUNT(Dong1),"",OFFSET('141-TT'!E$1,SMALL(Dong1,ROWS($1:27)),))</f>
        <v/>
      </c>
      <c r="R42" s="24" t="str">
        <f ca="1">IF(ROWS($1:27)&gt;COUNT(Dong1),"",OFFSET('141-TT'!F$1,SMALL(Dong1,ROWS($1:27)),))</f>
        <v/>
      </c>
      <c r="S42" s="24" t="str">
        <f ca="1">IF(ROWS($1:27)&gt;COUNT(Dong1),"",OFFSET('141-TT'!G$1,SMALL(Dong1,ROWS($1:27)),))</f>
        <v/>
      </c>
      <c r="T42" s="1" t="str">
        <f ca="1">IF(IF(ROWS($1:27)&gt;COUNT(Dong1),"",OFFSET('141-TT'!K$1,SMALL(Dong1,ROWS($1:27)),))=0,"",IF(ROWS($1:27)&gt;COUNT(Dong1),"",OFFSET('141-TT'!K$1,SMALL(Dong1,ROWS($1:27)),)))</f>
        <v/>
      </c>
    </row>
    <row r="43" spans="1:20" ht="17.25" customHeight="1">
      <c r="A43" s="14">
        <v>42063</v>
      </c>
      <c r="B43" s="24" t="s">
        <v>74</v>
      </c>
      <c r="C43" s="11">
        <f t="shared" si="0"/>
        <v>42063</v>
      </c>
      <c r="D43" s="17" t="s">
        <v>36</v>
      </c>
      <c r="E43" s="12" t="s">
        <v>42</v>
      </c>
      <c r="F43" s="9"/>
      <c r="G43" s="9">
        <v>150155000</v>
      </c>
      <c r="H43" s="5">
        <f t="shared" si="4"/>
        <v>1173811500</v>
      </c>
      <c r="I43" s="5">
        <f t="shared" si="5"/>
        <v>0</v>
      </c>
      <c r="J43" s="37">
        <f t="shared" si="3"/>
        <v>2</v>
      </c>
      <c r="K43" s="207" t="s">
        <v>184</v>
      </c>
      <c r="N43" s="24" t="str">
        <f ca="1">IF(ROWS($1:28)&gt;COUNT(Dong1),"",OFFSET('141-TT'!B$1,SMALL(Dong1,ROWS($1:28)),))</f>
        <v/>
      </c>
      <c r="O43" s="150" t="str">
        <f ca="1">IF(ROWS($1:28)&gt;COUNT(Dong1),"",OFFSET('141-TT'!C$1,SMALL(Dong1,ROWS($1:28)),))</f>
        <v/>
      </c>
      <c r="P43" s="24" t="str">
        <f ca="1">IF(ROWS($1:28)&gt;COUNT(Dong1),"",OFFSET('141-TT'!D$1,SMALL(Dong1,ROWS($1:28)),))</f>
        <v/>
      </c>
      <c r="Q43" s="24" t="str">
        <f ca="1">IF(ROWS($1:28)&gt;COUNT(Dong1),"",OFFSET('141-TT'!E$1,SMALL(Dong1,ROWS($1:28)),))</f>
        <v/>
      </c>
      <c r="R43" s="24" t="str">
        <f ca="1">IF(ROWS($1:28)&gt;COUNT(Dong1),"",OFFSET('141-TT'!F$1,SMALL(Dong1,ROWS($1:28)),))</f>
        <v/>
      </c>
      <c r="S43" s="24" t="str">
        <f ca="1">IF(ROWS($1:28)&gt;COUNT(Dong1),"",OFFSET('141-TT'!G$1,SMALL(Dong1,ROWS($1:28)),))</f>
        <v/>
      </c>
      <c r="T43" s="1" t="str">
        <f ca="1">IF(IF(ROWS($1:28)&gt;COUNT(Dong1),"",OFFSET('141-TT'!K$1,SMALL(Dong1,ROWS($1:28)),))=0,"",IF(ROWS($1:28)&gt;COUNT(Dong1),"",OFFSET('141-TT'!K$1,SMALL(Dong1,ROWS($1:28)),)))</f>
        <v/>
      </c>
    </row>
    <row r="44" spans="1:20" ht="17.25" customHeight="1">
      <c r="A44" s="14">
        <v>42063</v>
      </c>
      <c r="B44" s="24" t="s">
        <v>74</v>
      </c>
      <c r="C44" s="11">
        <f t="shared" si="0"/>
        <v>42063</v>
      </c>
      <c r="D44" s="17" t="s">
        <v>34</v>
      </c>
      <c r="E44" s="12" t="s">
        <v>42</v>
      </c>
      <c r="F44" s="9"/>
      <c r="G44" s="20">
        <v>158474000</v>
      </c>
      <c r="H44" s="5">
        <f t="shared" si="4"/>
        <v>1015337500</v>
      </c>
      <c r="I44" s="5">
        <f t="shared" si="5"/>
        <v>0</v>
      </c>
      <c r="J44" s="37">
        <f t="shared" si="3"/>
        <v>2</v>
      </c>
      <c r="K44" s="207" t="s">
        <v>185</v>
      </c>
      <c r="N44" s="24" t="str">
        <f ca="1">IF(ROWS($1:29)&gt;COUNT(Dong1),"",OFFSET('141-TT'!B$1,SMALL(Dong1,ROWS($1:29)),))</f>
        <v/>
      </c>
      <c r="O44" s="150" t="str">
        <f ca="1">IF(ROWS($1:29)&gt;COUNT(Dong1),"",OFFSET('141-TT'!C$1,SMALL(Dong1,ROWS($1:29)),))</f>
        <v/>
      </c>
      <c r="P44" s="24" t="str">
        <f ca="1">IF(ROWS($1:29)&gt;COUNT(Dong1),"",OFFSET('141-TT'!D$1,SMALL(Dong1,ROWS($1:29)),))</f>
        <v/>
      </c>
      <c r="Q44" s="24" t="str">
        <f ca="1">IF(ROWS($1:29)&gt;COUNT(Dong1),"",OFFSET('141-TT'!E$1,SMALL(Dong1,ROWS($1:29)),))</f>
        <v/>
      </c>
      <c r="R44" s="24" t="str">
        <f ca="1">IF(ROWS($1:29)&gt;COUNT(Dong1),"",OFFSET('141-TT'!F$1,SMALL(Dong1,ROWS($1:29)),))</f>
        <v/>
      </c>
      <c r="S44" s="24" t="str">
        <f ca="1">IF(ROWS($1:29)&gt;COUNT(Dong1),"",OFFSET('141-TT'!G$1,SMALL(Dong1,ROWS($1:29)),))</f>
        <v/>
      </c>
      <c r="T44" s="1" t="str">
        <f ca="1">IF(IF(ROWS($1:29)&gt;COUNT(Dong1),"",OFFSET('141-TT'!K$1,SMALL(Dong1,ROWS($1:29)),))=0,"",IF(ROWS($1:29)&gt;COUNT(Dong1),"",OFFSET('141-TT'!K$1,SMALL(Dong1,ROWS($1:29)),)))</f>
        <v/>
      </c>
    </row>
    <row r="45" spans="1:20" ht="17.25" customHeight="1">
      <c r="A45" s="14">
        <v>42063</v>
      </c>
      <c r="B45" s="24" t="s">
        <v>74</v>
      </c>
      <c r="C45" s="11">
        <f t="shared" si="0"/>
        <v>42063</v>
      </c>
      <c r="D45" s="17" t="s">
        <v>40</v>
      </c>
      <c r="E45" s="12" t="s">
        <v>42</v>
      </c>
      <c r="F45" s="9"/>
      <c r="G45" s="20">
        <v>324972000</v>
      </c>
      <c r="H45" s="5">
        <f t="shared" si="4"/>
        <v>690365500</v>
      </c>
      <c r="I45" s="5">
        <f t="shared" si="5"/>
        <v>0</v>
      </c>
      <c r="J45" s="37">
        <f t="shared" si="3"/>
        <v>2</v>
      </c>
      <c r="K45" s="136" t="s">
        <v>190</v>
      </c>
      <c r="N45" s="24" t="str">
        <f ca="1">IF(ROWS($1:30)&gt;COUNT(Dong1),"",OFFSET('141-TT'!B$1,SMALL(Dong1,ROWS($1:30)),))</f>
        <v/>
      </c>
      <c r="O45" s="150" t="str">
        <f ca="1">IF(ROWS($1:30)&gt;COUNT(Dong1),"",OFFSET('141-TT'!C$1,SMALL(Dong1,ROWS($1:30)),))</f>
        <v/>
      </c>
      <c r="P45" s="24" t="str">
        <f ca="1">IF(ROWS($1:30)&gt;COUNT(Dong1),"",OFFSET('141-TT'!D$1,SMALL(Dong1,ROWS($1:30)),))</f>
        <v/>
      </c>
      <c r="Q45" s="24" t="str">
        <f ca="1">IF(ROWS($1:30)&gt;COUNT(Dong1),"",OFFSET('141-TT'!E$1,SMALL(Dong1,ROWS($1:30)),))</f>
        <v/>
      </c>
      <c r="R45" s="24" t="str">
        <f ca="1">IF(ROWS($1:30)&gt;COUNT(Dong1),"",OFFSET('141-TT'!F$1,SMALL(Dong1,ROWS($1:30)),))</f>
        <v/>
      </c>
      <c r="S45" s="24" t="str">
        <f ca="1">IF(ROWS($1:30)&gt;COUNT(Dong1),"",OFFSET('141-TT'!G$1,SMALL(Dong1,ROWS($1:30)),))</f>
        <v/>
      </c>
      <c r="T45" s="1" t="str">
        <f ca="1">IF(IF(ROWS($1:30)&gt;COUNT(Dong1),"",OFFSET('141-TT'!K$1,SMALL(Dong1,ROWS($1:30)),))=0,"",IF(ROWS($1:30)&gt;COUNT(Dong1),"",OFFSET('141-TT'!K$1,SMALL(Dong1,ROWS($1:30)),)))</f>
        <v/>
      </c>
    </row>
    <row r="46" spans="1:20" ht="17.25" customHeight="1">
      <c r="A46" s="14">
        <v>42063</v>
      </c>
      <c r="B46" s="24" t="s">
        <v>74</v>
      </c>
      <c r="C46" s="11">
        <f t="shared" si="0"/>
        <v>42063</v>
      </c>
      <c r="D46" s="17" t="s">
        <v>41</v>
      </c>
      <c r="E46" s="12" t="s">
        <v>42</v>
      </c>
      <c r="F46" s="9"/>
      <c r="G46" s="20">
        <v>352997000</v>
      </c>
      <c r="H46" s="5">
        <f t="shared" si="4"/>
        <v>337368500</v>
      </c>
      <c r="I46" s="5">
        <f t="shared" si="5"/>
        <v>0</v>
      </c>
      <c r="J46" s="37">
        <f t="shared" si="3"/>
        <v>2</v>
      </c>
      <c r="K46" s="136" t="s">
        <v>192</v>
      </c>
      <c r="N46" s="24" t="str">
        <f ca="1">IF(ROWS($1:31)&gt;COUNT(Dong1),"",OFFSET('141-TT'!B$1,SMALL(Dong1,ROWS($1:31)),))</f>
        <v/>
      </c>
      <c r="O46" s="150" t="str">
        <f ca="1">IF(ROWS($1:31)&gt;COUNT(Dong1),"",OFFSET('141-TT'!C$1,SMALL(Dong1,ROWS($1:31)),))</f>
        <v/>
      </c>
      <c r="P46" s="24" t="str">
        <f ca="1">IF(ROWS($1:31)&gt;COUNT(Dong1),"",OFFSET('141-TT'!D$1,SMALL(Dong1,ROWS($1:31)),))</f>
        <v/>
      </c>
      <c r="Q46" s="24" t="str">
        <f ca="1">IF(ROWS($1:31)&gt;COUNT(Dong1),"",OFFSET('141-TT'!E$1,SMALL(Dong1,ROWS($1:31)),))</f>
        <v/>
      </c>
      <c r="R46" s="24" t="str">
        <f ca="1">IF(ROWS($1:31)&gt;COUNT(Dong1),"",OFFSET('141-TT'!F$1,SMALL(Dong1,ROWS($1:31)),))</f>
        <v/>
      </c>
      <c r="S46" s="24" t="str">
        <f ca="1">IF(ROWS($1:31)&gt;COUNT(Dong1),"",OFFSET('141-TT'!G$1,SMALL(Dong1,ROWS($1:31)),))</f>
        <v/>
      </c>
      <c r="T46" s="1" t="str">
        <f ca="1">IF(IF(ROWS($1:31)&gt;COUNT(Dong1),"",OFFSET('141-TT'!K$1,SMALL(Dong1,ROWS($1:31)),))=0,"",IF(ROWS($1:31)&gt;COUNT(Dong1),"",OFFSET('141-TT'!K$1,SMALL(Dong1,ROWS($1:31)),)))</f>
        <v/>
      </c>
    </row>
    <row r="47" spans="1:20" ht="17.25" customHeight="1">
      <c r="A47" s="14">
        <v>42063</v>
      </c>
      <c r="B47" s="24" t="s">
        <v>74</v>
      </c>
      <c r="C47" s="11">
        <f t="shared" si="0"/>
        <v>42063</v>
      </c>
      <c r="D47" s="17" t="s">
        <v>37</v>
      </c>
      <c r="E47" s="12" t="s">
        <v>42</v>
      </c>
      <c r="F47" s="9"/>
      <c r="G47" s="20">
        <v>171985000</v>
      </c>
      <c r="H47" s="5">
        <f t="shared" si="4"/>
        <v>165383500</v>
      </c>
      <c r="I47" s="5">
        <f t="shared" si="5"/>
        <v>0</v>
      </c>
      <c r="J47" s="37">
        <f t="shared" si="3"/>
        <v>2</v>
      </c>
      <c r="K47" s="136" t="s">
        <v>193</v>
      </c>
      <c r="N47" s="24" t="str">
        <f ca="1">IF(ROWS($1:32)&gt;COUNT(Dong1),"",OFFSET('141-TT'!B$1,SMALL(Dong1,ROWS($1:32)),))</f>
        <v/>
      </c>
      <c r="O47" s="150" t="str">
        <f ca="1">IF(ROWS($1:32)&gt;COUNT(Dong1),"",OFFSET('141-TT'!C$1,SMALL(Dong1,ROWS($1:32)),))</f>
        <v/>
      </c>
      <c r="P47" s="24" t="str">
        <f ca="1">IF(ROWS($1:32)&gt;COUNT(Dong1),"",OFFSET('141-TT'!D$1,SMALL(Dong1,ROWS($1:32)),))</f>
        <v/>
      </c>
      <c r="Q47" s="24" t="str">
        <f ca="1">IF(ROWS($1:32)&gt;COUNT(Dong1),"",OFFSET('141-TT'!E$1,SMALL(Dong1,ROWS($1:32)),))</f>
        <v/>
      </c>
      <c r="R47" s="24" t="str">
        <f ca="1">IF(ROWS($1:32)&gt;COUNT(Dong1),"",OFFSET('141-TT'!F$1,SMALL(Dong1,ROWS($1:32)),))</f>
        <v/>
      </c>
      <c r="S47" s="24" t="str">
        <f ca="1">IF(ROWS($1:32)&gt;COUNT(Dong1),"",OFFSET('141-TT'!G$1,SMALL(Dong1,ROWS($1:32)),))</f>
        <v/>
      </c>
      <c r="T47" s="1" t="str">
        <f ca="1">IF(IF(ROWS($1:32)&gt;COUNT(Dong1),"",OFFSET('141-TT'!K$1,SMALL(Dong1,ROWS($1:32)),))=0,"",IF(ROWS($1:32)&gt;COUNT(Dong1),"",OFFSET('141-TT'!K$1,SMALL(Dong1,ROWS($1:32)),)))</f>
        <v/>
      </c>
    </row>
    <row r="48" spans="1:20" ht="17.25" customHeight="1">
      <c r="A48" s="14">
        <v>42063</v>
      </c>
      <c r="B48" s="24" t="s">
        <v>74</v>
      </c>
      <c r="C48" s="11">
        <f t="shared" si="0"/>
        <v>42063</v>
      </c>
      <c r="D48" s="17" t="s">
        <v>38</v>
      </c>
      <c r="E48" s="12" t="s">
        <v>42</v>
      </c>
      <c r="F48" s="9"/>
      <c r="G48" s="20">
        <v>160362000</v>
      </c>
      <c r="H48" s="5">
        <f t="shared" si="4"/>
        <v>5021500</v>
      </c>
      <c r="I48" s="5">
        <f t="shared" si="5"/>
        <v>0</v>
      </c>
      <c r="J48" s="37">
        <f t="shared" ref="J48:J68" si="6">IF(A48&lt;&gt;"",MONTH(A48),"")</f>
        <v>2</v>
      </c>
      <c r="K48" s="136" t="s">
        <v>194</v>
      </c>
      <c r="N48" s="24" t="str">
        <f ca="1">IF(ROWS($1:33)&gt;COUNT(Dong1),"",OFFSET('141-TT'!B$1,SMALL(Dong1,ROWS($1:33)),))</f>
        <v/>
      </c>
      <c r="O48" s="150" t="str">
        <f ca="1">IF(ROWS($1:33)&gt;COUNT(Dong1),"",OFFSET('141-TT'!C$1,SMALL(Dong1,ROWS($1:33)),))</f>
        <v/>
      </c>
      <c r="P48" s="24" t="str">
        <f ca="1">IF(ROWS($1:33)&gt;COUNT(Dong1),"",OFFSET('141-TT'!D$1,SMALL(Dong1,ROWS($1:33)),))</f>
        <v/>
      </c>
      <c r="Q48" s="24" t="str">
        <f ca="1">IF(ROWS($1:33)&gt;COUNT(Dong1),"",OFFSET('141-TT'!E$1,SMALL(Dong1,ROWS($1:33)),))</f>
        <v/>
      </c>
      <c r="R48" s="24" t="str">
        <f ca="1">IF(ROWS($1:33)&gt;COUNT(Dong1),"",OFFSET('141-TT'!F$1,SMALL(Dong1,ROWS($1:33)),))</f>
        <v/>
      </c>
      <c r="S48" s="24" t="str">
        <f ca="1">IF(ROWS($1:33)&gt;COUNT(Dong1),"",OFFSET('141-TT'!G$1,SMALL(Dong1,ROWS($1:33)),))</f>
        <v/>
      </c>
      <c r="T48" s="1" t="str">
        <f ca="1">IF(IF(ROWS($1:33)&gt;COUNT(Dong1),"",OFFSET('141-TT'!K$1,SMALL(Dong1,ROWS($1:33)),))=0,"",IF(ROWS($1:33)&gt;COUNT(Dong1),"",OFFSET('141-TT'!K$1,SMALL(Dong1,ROWS($1:33)),)))</f>
        <v/>
      </c>
    </row>
    <row r="49" spans="1:21" ht="17.25" customHeight="1">
      <c r="A49" s="14">
        <v>42065</v>
      </c>
      <c r="B49" s="24" t="s">
        <v>221</v>
      </c>
      <c r="C49" s="11">
        <f t="shared" si="0"/>
        <v>42065</v>
      </c>
      <c r="D49" s="17" t="s">
        <v>44</v>
      </c>
      <c r="E49" s="38" t="s">
        <v>45</v>
      </c>
      <c r="F49" s="9">
        <v>450000000</v>
      </c>
      <c r="G49" s="20"/>
      <c r="H49" s="5">
        <f t="shared" si="4"/>
        <v>455021500</v>
      </c>
      <c r="I49" s="5">
        <f t="shared" si="5"/>
        <v>0</v>
      </c>
      <c r="J49" s="37">
        <f t="shared" si="6"/>
        <v>3</v>
      </c>
      <c r="K49" s="207"/>
      <c r="N49" s="93"/>
      <c r="O49" s="151"/>
      <c r="P49" s="93"/>
      <c r="Q49" s="93"/>
      <c r="R49" s="93"/>
      <c r="S49" s="93"/>
    </row>
    <row r="50" spans="1:21" ht="17.25" customHeight="1">
      <c r="A50" s="14">
        <v>42068</v>
      </c>
      <c r="B50" s="24" t="s">
        <v>222</v>
      </c>
      <c r="C50" s="11">
        <f t="shared" si="0"/>
        <v>42068</v>
      </c>
      <c r="D50" s="17" t="s">
        <v>44</v>
      </c>
      <c r="E50" s="38" t="s">
        <v>45</v>
      </c>
      <c r="F50" s="9">
        <v>450000000</v>
      </c>
      <c r="G50" s="20"/>
      <c r="H50" s="5">
        <f t="shared" si="4"/>
        <v>905021500</v>
      </c>
      <c r="I50" s="5">
        <f t="shared" si="5"/>
        <v>0</v>
      </c>
      <c r="J50" s="37">
        <f t="shared" si="6"/>
        <v>3</v>
      </c>
      <c r="K50" s="207"/>
      <c r="N50" s="93"/>
      <c r="O50" s="151"/>
      <c r="P50" s="93"/>
      <c r="Q50" s="93"/>
      <c r="R50" s="93"/>
      <c r="S50" s="93"/>
    </row>
    <row r="51" spans="1:21" ht="17.25" customHeight="1">
      <c r="A51" s="14">
        <v>42076</v>
      </c>
      <c r="B51" s="24" t="s">
        <v>66</v>
      </c>
      <c r="C51" s="11">
        <f t="shared" si="0"/>
        <v>42076</v>
      </c>
      <c r="D51" s="17" t="s">
        <v>44</v>
      </c>
      <c r="E51" s="38" t="s">
        <v>45</v>
      </c>
      <c r="F51" s="251">
        <v>550000000</v>
      </c>
      <c r="G51" s="20"/>
      <c r="H51" s="5">
        <f t="shared" si="4"/>
        <v>1455021500</v>
      </c>
      <c r="I51" s="5">
        <f t="shared" si="5"/>
        <v>0</v>
      </c>
      <c r="J51" s="37">
        <f t="shared" si="6"/>
        <v>3</v>
      </c>
      <c r="K51" s="207"/>
      <c r="N51" s="93"/>
      <c r="O51" s="151"/>
      <c r="P51" s="93"/>
      <c r="Q51" s="93"/>
      <c r="R51" s="93"/>
      <c r="S51" s="93"/>
    </row>
    <row r="52" spans="1:21" ht="17.25" customHeight="1">
      <c r="A52" s="14">
        <v>42086</v>
      </c>
      <c r="B52" s="24" t="s">
        <v>64</v>
      </c>
      <c r="C52" s="11">
        <f t="shared" si="0"/>
        <v>42086</v>
      </c>
      <c r="D52" s="17" t="s">
        <v>44</v>
      </c>
      <c r="E52" s="38" t="s">
        <v>45</v>
      </c>
      <c r="F52" s="251">
        <v>570000000</v>
      </c>
      <c r="G52" s="20"/>
      <c r="H52" s="5">
        <f t="shared" si="4"/>
        <v>2025021500</v>
      </c>
      <c r="I52" s="5">
        <f t="shared" si="5"/>
        <v>0</v>
      </c>
      <c r="J52" s="37">
        <f t="shared" si="6"/>
        <v>3</v>
      </c>
      <c r="K52" s="207"/>
      <c r="N52" s="93"/>
      <c r="O52" s="151"/>
      <c r="P52" s="93"/>
      <c r="Q52" s="93"/>
      <c r="R52" s="93"/>
      <c r="S52" s="93"/>
    </row>
    <row r="53" spans="1:21" ht="17.25" customHeight="1">
      <c r="A53" s="14">
        <v>42094</v>
      </c>
      <c r="B53" s="24" t="s">
        <v>253</v>
      </c>
      <c r="C53" s="14">
        <f>A53</f>
        <v>42094</v>
      </c>
      <c r="D53" s="17" t="s">
        <v>53</v>
      </c>
      <c r="E53" s="12" t="s">
        <v>42</v>
      </c>
      <c r="F53" s="9"/>
      <c r="G53" s="20">
        <v>150597500</v>
      </c>
      <c r="H53" s="5">
        <f t="shared" si="4"/>
        <v>1874424000</v>
      </c>
      <c r="I53" s="5">
        <f t="shared" si="5"/>
        <v>0</v>
      </c>
      <c r="J53" s="37">
        <f t="shared" si="6"/>
        <v>3</v>
      </c>
      <c r="K53" s="211" t="s">
        <v>184</v>
      </c>
      <c r="N53" s="93"/>
      <c r="O53" s="151"/>
      <c r="P53" s="93"/>
      <c r="Q53" s="93"/>
      <c r="R53" s="93"/>
      <c r="S53" s="93"/>
    </row>
    <row r="54" spans="1:21" ht="17.25" customHeight="1">
      <c r="A54" s="14">
        <v>42094</v>
      </c>
      <c r="B54" s="24" t="s">
        <v>253</v>
      </c>
      <c r="C54" s="14">
        <f t="shared" ref="C54:C64" si="7">A54</f>
        <v>42094</v>
      </c>
      <c r="D54" s="17" t="s">
        <v>33</v>
      </c>
      <c r="E54" s="12" t="s">
        <v>42</v>
      </c>
      <c r="F54" s="9"/>
      <c r="G54" s="20">
        <v>128738000</v>
      </c>
      <c r="H54" s="5">
        <f t="shared" si="4"/>
        <v>1745686000</v>
      </c>
      <c r="I54" s="5">
        <f t="shared" si="5"/>
        <v>0</v>
      </c>
      <c r="J54" s="37">
        <f t="shared" si="6"/>
        <v>3</v>
      </c>
      <c r="K54" s="211" t="s">
        <v>185</v>
      </c>
      <c r="N54" s="93"/>
      <c r="O54" s="151"/>
      <c r="P54" s="93"/>
      <c r="Q54" s="93"/>
      <c r="R54" s="93"/>
      <c r="S54" s="93"/>
    </row>
    <row r="55" spans="1:21" ht="17.25" customHeight="1">
      <c r="A55" s="14">
        <v>42094</v>
      </c>
      <c r="B55" s="24" t="s">
        <v>253</v>
      </c>
      <c r="C55" s="14">
        <f t="shared" si="7"/>
        <v>42094</v>
      </c>
      <c r="D55" s="17" t="s">
        <v>52</v>
      </c>
      <c r="E55" s="12" t="s">
        <v>42</v>
      </c>
      <c r="F55" s="9"/>
      <c r="G55" s="20">
        <v>147795000</v>
      </c>
      <c r="H55" s="5">
        <f t="shared" si="4"/>
        <v>1597891000</v>
      </c>
      <c r="I55" s="5">
        <f t="shared" si="5"/>
        <v>0</v>
      </c>
      <c r="J55" s="37">
        <f t="shared" si="6"/>
        <v>3</v>
      </c>
      <c r="K55" s="211" t="s">
        <v>225</v>
      </c>
      <c r="N55" s="93"/>
      <c r="O55" s="151"/>
      <c r="P55" s="93"/>
      <c r="Q55" s="93"/>
      <c r="R55" s="93"/>
      <c r="S55" s="93"/>
    </row>
    <row r="56" spans="1:21" ht="17.25" customHeight="1">
      <c r="A56" s="14">
        <v>42094</v>
      </c>
      <c r="B56" s="24" t="s">
        <v>253</v>
      </c>
      <c r="C56" s="14">
        <f t="shared" si="7"/>
        <v>42094</v>
      </c>
      <c r="D56" s="17" t="s">
        <v>36</v>
      </c>
      <c r="E56" s="12" t="s">
        <v>42</v>
      </c>
      <c r="F56" s="9"/>
      <c r="G56" s="20">
        <v>149653500</v>
      </c>
      <c r="H56" s="5">
        <f t="shared" si="4"/>
        <v>1448237500</v>
      </c>
      <c r="I56" s="5">
        <f t="shared" si="5"/>
        <v>0</v>
      </c>
      <c r="J56" s="37">
        <f t="shared" si="6"/>
        <v>3</v>
      </c>
      <c r="K56" s="211" t="s">
        <v>188</v>
      </c>
      <c r="N56" s="93"/>
      <c r="O56" s="151"/>
      <c r="P56" s="93"/>
      <c r="Q56" s="93"/>
      <c r="R56" s="93"/>
      <c r="S56" s="93"/>
    </row>
    <row r="57" spans="1:21" ht="17.25" customHeight="1">
      <c r="A57" s="14">
        <v>42094</v>
      </c>
      <c r="B57" s="24" t="s">
        <v>253</v>
      </c>
      <c r="C57" s="14">
        <f t="shared" si="7"/>
        <v>42094</v>
      </c>
      <c r="D57" s="17" t="s">
        <v>34</v>
      </c>
      <c r="E57" s="12" t="s">
        <v>42</v>
      </c>
      <c r="F57" s="9"/>
      <c r="G57" s="9">
        <v>151512000</v>
      </c>
      <c r="H57" s="5">
        <f t="shared" si="4"/>
        <v>1296725500</v>
      </c>
      <c r="I57" s="5">
        <f t="shared" si="5"/>
        <v>0</v>
      </c>
      <c r="J57" s="37">
        <f t="shared" si="6"/>
        <v>3</v>
      </c>
      <c r="K57" s="211" t="s">
        <v>189</v>
      </c>
      <c r="N57" s="93"/>
      <c r="O57" s="151"/>
      <c r="P57" s="93"/>
      <c r="Q57" s="93"/>
      <c r="R57" s="93"/>
      <c r="S57" s="93"/>
    </row>
    <row r="58" spans="1:21" ht="17.25" customHeight="1">
      <c r="A58" s="14">
        <v>42094</v>
      </c>
      <c r="B58" s="24" t="s">
        <v>253</v>
      </c>
      <c r="C58" s="14">
        <f t="shared" si="7"/>
        <v>42094</v>
      </c>
      <c r="D58" s="17" t="s">
        <v>40</v>
      </c>
      <c r="E58" s="12" t="s">
        <v>42</v>
      </c>
      <c r="F58" s="9"/>
      <c r="G58" s="25">
        <v>156350000</v>
      </c>
      <c r="H58" s="5">
        <f t="shared" si="4"/>
        <v>1140375500</v>
      </c>
      <c r="I58" s="5">
        <f t="shared" si="5"/>
        <v>0</v>
      </c>
      <c r="J58" s="37">
        <f t="shared" si="6"/>
        <v>3</v>
      </c>
      <c r="K58" s="211" t="s">
        <v>170</v>
      </c>
      <c r="N58" s="93"/>
      <c r="O58" s="151"/>
      <c r="P58" s="93"/>
      <c r="Q58" s="93"/>
      <c r="R58" s="93"/>
      <c r="S58" s="93"/>
    </row>
    <row r="59" spans="1:21" ht="17.25" customHeight="1">
      <c r="A59" s="14">
        <v>42094</v>
      </c>
      <c r="B59" s="24" t="s">
        <v>253</v>
      </c>
      <c r="C59" s="14">
        <f t="shared" si="7"/>
        <v>42094</v>
      </c>
      <c r="D59" s="17" t="s">
        <v>214</v>
      </c>
      <c r="E59" s="12" t="s">
        <v>42</v>
      </c>
      <c r="F59" s="9"/>
      <c r="G59" s="20">
        <v>231858000</v>
      </c>
      <c r="H59" s="5">
        <f t="shared" si="4"/>
        <v>908517500</v>
      </c>
      <c r="I59" s="5">
        <f t="shared" si="5"/>
        <v>0</v>
      </c>
      <c r="J59" s="37">
        <f t="shared" si="6"/>
        <v>3</v>
      </c>
      <c r="K59" s="207" t="s">
        <v>226</v>
      </c>
      <c r="N59" s="93"/>
      <c r="O59" s="151"/>
      <c r="P59" s="93"/>
      <c r="Q59" s="93"/>
      <c r="R59" s="93"/>
      <c r="S59" s="93"/>
    </row>
    <row r="60" spans="1:21" ht="17.25" customHeight="1">
      <c r="A60" s="14">
        <v>42094</v>
      </c>
      <c r="B60" s="24" t="s">
        <v>253</v>
      </c>
      <c r="C60" s="14">
        <f t="shared" si="7"/>
        <v>42094</v>
      </c>
      <c r="D60" s="17" t="s">
        <v>215</v>
      </c>
      <c r="E60" s="12" t="s">
        <v>42</v>
      </c>
      <c r="F60" s="9"/>
      <c r="G60" s="20">
        <v>225000000</v>
      </c>
      <c r="H60" s="5">
        <f t="shared" ref="H60:H72" si="8">MAX(H59+F60-G60-I59,0)</f>
        <v>683517500</v>
      </c>
      <c r="I60" s="5">
        <f t="shared" ref="I60:I72" si="9">MAX(I59+G60-F60-H59,0)</f>
        <v>0</v>
      </c>
      <c r="J60" s="37">
        <f t="shared" si="6"/>
        <v>3</v>
      </c>
      <c r="K60" s="211" t="s">
        <v>227</v>
      </c>
      <c r="N60" s="93"/>
      <c r="O60" s="151"/>
      <c r="P60" s="93"/>
      <c r="Q60" s="93"/>
      <c r="R60" s="93"/>
      <c r="S60" s="93"/>
    </row>
    <row r="61" spans="1:21" ht="17.25" customHeight="1">
      <c r="A61" s="14">
        <v>42094</v>
      </c>
      <c r="B61" s="24" t="s">
        <v>253</v>
      </c>
      <c r="C61" s="14">
        <f t="shared" si="7"/>
        <v>42094</v>
      </c>
      <c r="D61" s="17" t="s">
        <v>216</v>
      </c>
      <c r="E61" s="12" t="s">
        <v>42</v>
      </c>
      <c r="F61" s="9"/>
      <c r="G61" s="20">
        <v>125640000</v>
      </c>
      <c r="H61" s="5">
        <f t="shared" si="8"/>
        <v>557877500</v>
      </c>
      <c r="I61" s="5">
        <f t="shared" si="9"/>
        <v>0</v>
      </c>
      <c r="J61" s="37">
        <f t="shared" si="6"/>
        <v>3</v>
      </c>
      <c r="K61" s="211" t="s">
        <v>183</v>
      </c>
      <c r="N61" s="93"/>
      <c r="O61" s="151"/>
      <c r="P61" s="93"/>
      <c r="Q61" s="93"/>
      <c r="R61" s="93"/>
      <c r="S61" s="93"/>
    </row>
    <row r="62" spans="1:21" ht="17.25" customHeight="1">
      <c r="A62" s="14">
        <v>42094</v>
      </c>
      <c r="B62" s="24" t="s">
        <v>253</v>
      </c>
      <c r="C62" s="14">
        <f t="shared" si="7"/>
        <v>42094</v>
      </c>
      <c r="D62" s="17" t="s">
        <v>217</v>
      </c>
      <c r="E62" s="12" t="s">
        <v>42</v>
      </c>
      <c r="F62" s="9"/>
      <c r="G62" s="20">
        <v>109314000</v>
      </c>
      <c r="H62" s="5">
        <f t="shared" si="8"/>
        <v>448563500</v>
      </c>
      <c r="I62" s="5">
        <f t="shared" si="9"/>
        <v>0</v>
      </c>
      <c r="J62" s="37">
        <f t="shared" si="6"/>
        <v>3</v>
      </c>
      <c r="K62" s="211" t="s">
        <v>175</v>
      </c>
      <c r="N62" s="93"/>
      <c r="O62" s="151"/>
      <c r="P62" s="93"/>
      <c r="Q62" s="93"/>
      <c r="R62" s="93"/>
      <c r="S62" s="93"/>
    </row>
    <row r="63" spans="1:21" ht="17.25" customHeight="1">
      <c r="A63" s="14">
        <v>42094</v>
      </c>
      <c r="B63" s="24" t="s">
        <v>253</v>
      </c>
      <c r="C63" s="14">
        <f t="shared" si="7"/>
        <v>42094</v>
      </c>
      <c r="D63" s="17" t="s">
        <v>218</v>
      </c>
      <c r="E63" s="12" t="s">
        <v>42</v>
      </c>
      <c r="F63" s="9"/>
      <c r="G63" s="20">
        <v>226494000</v>
      </c>
      <c r="H63" s="5">
        <f t="shared" si="8"/>
        <v>222069500</v>
      </c>
      <c r="I63" s="5">
        <f t="shared" si="9"/>
        <v>0</v>
      </c>
      <c r="J63" s="37">
        <f t="shared" si="6"/>
        <v>3</v>
      </c>
      <c r="K63" s="211" t="s">
        <v>228</v>
      </c>
      <c r="N63" s="93"/>
      <c r="O63" s="151"/>
      <c r="P63" s="93"/>
      <c r="Q63" s="93"/>
      <c r="R63" s="93"/>
      <c r="S63" s="93"/>
    </row>
    <row r="64" spans="1:21" s="29" customFormat="1" ht="19.5" customHeight="1">
      <c r="A64" s="14">
        <v>42094</v>
      </c>
      <c r="B64" s="18" t="s">
        <v>252</v>
      </c>
      <c r="C64" s="14">
        <f t="shared" si="7"/>
        <v>42094</v>
      </c>
      <c r="D64" s="17" t="s">
        <v>213</v>
      </c>
      <c r="E64" s="38" t="s">
        <v>42</v>
      </c>
      <c r="F64" s="9"/>
      <c r="G64" s="20">
        <v>218214000</v>
      </c>
      <c r="H64" s="5">
        <f t="shared" si="8"/>
        <v>3855500</v>
      </c>
      <c r="I64" s="5">
        <f t="shared" si="9"/>
        <v>0</v>
      </c>
      <c r="J64" s="37">
        <f t="shared" si="6"/>
        <v>3</v>
      </c>
      <c r="K64" s="140" t="s">
        <v>224</v>
      </c>
      <c r="O64" s="51"/>
      <c r="P64" s="93"/>
      <c r="Q64" s="54"/>
      <c r="R64" s="110"/>
      <c r="S64" s="111"/>
      <c r="T64" s="61"/>
      <c r="U64" s="144"/>
    </row>
    <row r="65" spans="1:19" ht="17.25" customHeight="1">
      <c r="A65" s="14">
        <v>42101</v>
      </c>
      <c r="B65" s="24" t="s">
        <v>222</v>
      </c>
      <c r="C65" s="11">
        <f>A65</f>
        <v>42101</v>
      </c>
      <c r="D65" s="17" t="s">
        <v>44</v>
      </c>
      <c r="E65" s="38" t="s">
        <v>45</v>
      </c>
      <c r="F65" s="9">
        <v>450000000</v>
      </c>
      <c r="G65" s="9"/>
      <c r="H65" s="5">
        <f t="shared" si="8"/>
        <v>453855500</v>
      </c>
      <c r="I65" s="5">
        <f t="shared" si="9"/>
        <v>0</v>
      </c>
      <c r="J65" s="37">
        <f t="shared" si="6"/>
        <v>4</v>
      </c>
      <c r="K65" s="136"/>
      <c r="N65" s="93"/>
      <c r="O65" s="151"/>
      <c r="P65" s="93"/>
      <c r="Q65" s="93"/>
      <c r="R65" s="93"/>
      <c r="S65" s="93"/>
    </row>
    <row r="66" spans="1:19" ht="17.25" customHeight="1">
      <c r="A66" s="14">
        <v>42118</v>
      </c>
      <c r="B66" s="24" t="s">
        <v>268</v>
      </c>
      <c r="C66" s="11">
        <f>A66</f>
        <v>42118</v>
      </c>
      <c r="D66" s="17" t="s">
        <v>44</v>
      </c>
      <c r="E66" s="38" t="s">
        <v>45</v>
      </c>
      <c r="F66" s="251">
        <v>420000000</v>
      </c>
      <c r="G66" s="20"/>
      <c r="H66" s="5">
        <f t="shared" si="8"/>
        <v>873855500</v>
      </c>
      <c r="I66" s="5">
        <f t="shared" si="9"/>
        <v>0</v>
      </c>
      <c r="J66" s="37">
        <f t="shared" si="6"/>
        <v>4</v>
      </c>
      <c r="K66" s="213"/>
      <c r="N66" s="93"/>
      <c r="O66" s="151"/>
      <c r="P66" s="93"/>
      <c r="Q66" s="93"/>
      <c r="R66" s="93"/>
      <c r="S66" s="93"/>
    </row>
    <row r="67" spans="1:19" ht="17.25" customHeight="1">
      <c r="A67" s="14">
        <v>42123</v>
      </c>
      <c r="B67" s="24" t="s">
        <v>269</v>
      </c>
      <c r="C67" s="11">
        <f>A67</f>
        <v>42123</v>
      </c>
      <c r="D67" s="17" t="s">
        <v>259</v>
      </c>
      <c r="E67" s="12" t="s">
        <v>42</v>
      </c>
      <c r="F67" s="9"/>
      <c r="G67" s="20">
        <v>181195000</v>
      </c>
      <c r="H67" s="5">
        <f t="shared" si="8"/>
        <v>692660500</v>
      </c>
      <c r="I67" s="5">
        <f t="shared" si="9"/>
        <v>0</v>
      </c>
      <c r="J67" s="37">
        <f t="shared" si="6"/>
        <v>4</v>
      </c>
      <c r="K67" s="214" t="s">
        <v>261</v>
      </c>
      <c r="N67" s="93"/>
      <c r="O67" s="151"/>
      <c r="P67" s="93"/>
      <c r="Q67" s="93"/>
      <c r="R67" s="93"/>
      <c r="S67" s="93"/>
    </row>
    <row r="68" spans="1:19" ht="17.25" customHeight="1">
      <c r="A68" s="14">
        <v>42123</v>
      </c>
      <c r="B68" s="24" t="s">
        <v>269</v>
      </c>
      <c r="C68" s="11">
        <f t="shared" ref="C68:C107" si="10">A68</f>
        <v>42123</v>
      </c>
      <c r="D68" s="17" t="s">
        <v>214</v>
      </c>
      <c r="E68" s="12" t="s">
        <v>42</v>
      </c>
      <c r="F68" s="9"/>
      <c r="G68" s="20">
        <v>91124500</v>
      </c>
      <c r="H68" s="5">
        <f t="shared" si="8"/>
        <v>601536000</v>
      </c>
      <c r="I68" s="5">
        <f t="shared" si="9"/>
        <v>0</v>
      </c>
      <c r="J68" s="37">
        <f t="shared" si="6"/>
        <v>4</v>
      </c>
      <c r="K68" s="207" t="s">
        <v>262</v>
      </c>
      <c r="N68" s="93"/>
      <c r="O68" s="151"/>
      <c r="P68" s="93"/>
      <c r="Q68" s="93"/>
      <c r="R68" s="93"/>
      <c r="S68" s="93"/>
    </row>
    <row r="69" spans="1:19" ht="17.25" customHeight="1">
      <c r="A69" s="14">
        <v>42123</v>
      </c>
      <c r="B69" s="24" t="s">
        <v>269</v>
      </c>
      <c r="C69" s="11">
        <f t="shared" si="10"/>
        <v>42123</v>
      </c>
      <c r="D69" s="17" t="s">
        <v>263</v>
      </c>
      <c r="E69" s="12" t="s">
        <v>42</v>
      </c>
      <c r="F69" s="9"/>
      <c r="G69" s="20">
        <v>90365000</v>
      </c>
      <c r="H69" s="5">
        <f t="shared" si="8"/>
        <v>511171000</v>
      </c>
      <c r="I69" s="5">
        <f t="shared" si="9"/>
        <v>0</v>
      </c>
      <c r="J69" s="37">
        <f t="shared" ref="J69:J112" si="11">IF(A69&lt;&gt;"",MONTH(A69),"")</f>
        <v>4</v>
      </c>
      <c r="K69" s="207" t="s">
        <v>180</v>
      </c>
      <c r="N69" s="93"/>
      <c r="O69" s="151"/>
      <c r="P69" s="93"/>
      <c r="Q69" s="93"/>
      <c r="R69" s="93"/>
      <c r="S69" s="93"/>
    </row>
    <row r="70" spans="1:19" ht="17.25" customHeight="1">
      <c r="A70" s="14">
        <v>42123</v>
      </c>
      <c r="B70" s="24" t="s">
        <v>269</v>
      </c>
      <c r="C70" s="11">
        <f t="shared" si="10"/>
        <v>42123</v>
      </c>
      <c r="D70" s="17" t="s">
        <v>217</v>
      </c>
      <c r="E70" s="12" t="s">
        <v>42</v>
      </c>
      <c r="F70" s="9"/>
      <c r="G70" s="25">
        <v>164966500</v>
      </c>
      <c r="H70" s="5">
        <f t="shared" si="8"/>
        <v>346204500</v>
      </c>
      <c r="I70" s="5">
        <f t="shared" si="9"/>
        <v>0</v>
      </c>
      <c r="J70" s="37">
        <f t="shared" si="11"/>
        <v>4</v>
      </c>
      <c r="K70" s="207" t="s">
        <v>264</v>
      </c>
      <c r="N70" s="93"/>
      <c r="O70" s="151"/>
      <c r="P70" s="93"/>
      <c r="Q70" s="93"/>
      <c r="R70" s="93"/>
      <c r="S70" s="93"/>
    </row>
    <row r="71" spans="1:19" ht="17.25" customHeight="1">
      <c r="A71" s="14">
        <v>42123</v>
      </c>
      <c r="B71" s="24" t="s">
        <v>269</v>
      </c>
      <c r="C71" s="11">
        <f t="shared" si="10"/>
        <v>42123</v>
      </c>
      <c r="D71" s="17" t="s">
        <v>102</v>
      </c>
      <c r="E71" s="12" t="s">
        <v>42</v>
      </c>
      <c r="F71" s="9"/>
      <c r="G71" s="25">
        <v>183163500</v>
      </c>
      <c r="H71" s="5">
        <f t="shared" si="8"/>
        <v>163041000</v>
      </c>
      <c r="I71" s="5">
        <f t="shared" si="9"/>
        <v>0</v>
      </c>
      <c r="J71" s="37">
        <f t="shared" si="11"/>
        <v>4</v>
      </c>
      <c r="K71" s="206" t="s">
        <v>265</v>
      </c>
      <c r="N71" s="93"/>
      <c r="O71" s="151"/>
      <c r="P71" s="93"/>
      <c r="Q71" s="93"/>
      <c r="R71" s="93"/>
      <c r="S71" s="93"/>
    </row>
    <row r="72" spans="1:19" ht="17.25" customHeight="1">
      <c r="A72" s="14">
        <v>42123</v>
      </c>
      <c r="B72" s="24" t="s">
        <v>269</v>
      </c>
      <c r="C72" s="11">
        <f t="shared" si="10"/>
        <v>42123</v>
      </c>
      <c r="D72" s="17" t="s">
        <v>218</v>
      </c>
      <c r="E72" s="12" t="s">
        <v>42</v>
      </c>
      <c r="F72" s="9"/>
      <c r="G72" s="25">
        <v>153946000</v>
      </c>
      <c r="H72" s="5">
        <f t="shared" si="8"/>
        <v>9095000</v>
      </c>
      <c r="I72" s="5">
        <f t="shared" si="9"/>
        <v>0</v>
      </c>
      <c r="J72" s="37">
        <f t="shared" si="11"/>
        <v>4</v>
      </c>
      <c r="K72" s="206" t="s">
        <v>266</v>
      </c>
      <c r="N72" s="93"/>
      <c r="O72" s="151"/>
      <c r="P72" s="93"/>
      <c r="Q72" s="93"/>
      <c r="R72" s="93"/>
      <c r="S72" s="93"/>
    </row>
    <row r="73" spans="1:19" ht="17.25" customHeight="1">
      <c r="A73" s="14">
        <v>42130</v>
      </c>
      <c r="B73" s="24" t="s">
        <v>274</v>
      </c>
      <c r="C73" s="11">
        <f t="shared" si="10"/>
        <v>42130</v>
      </c>
      <c r="D73" s="17" t="s">
        <v>44</v>
      </c>
      <c r="E73" s="38" t="s">
        <v>45</v>
      </c>
      <c r="F73" s="9">
        <v>550000000</v>
      </c>
      <c r="G73" s="58"/>
      <c r="H73" s="5">
        <f t="shared" si="4"/>
        <v>559095000</v>
      </c>
      <c r="I73" s="5">
        <f t="shared" si="5"/>
        <v>0</v>
      </c>
      <c r="J73" s="37">
        <f t="shared" si="11"/>
        <v>5</v>
      </c>
      <c r="K73" s="208"/>
      <c r="N73" s="93"/>
      <c r="O73" s="151"/>
      <c r="P73" s="93"/>
      <c r="Q73" s="93"/>
      <c r="R73" s="93"/>
      <c r="S73" s="93"/>
    </row>
    <row r="74" spans="1:19" ht="17.25" customHeight="1">
      <c r="A74" s="14">
        <v>42151</v>
      </c>
      <c r="B74" s="24" t="s">
        <v>58</v>
      </c>
      <c r="C74" s="11">
        <f t="shared" si="10"/>
        <v>42151</v>
      </c>
      <c r="D74" s="17" t="s">
        <v>44</v>
      </c>
      <c r="E74" s="38" t="s">
        <v>45</v>
      </c>
      <c r="F74" s="251">
        <v>530000000</v>
      </c>
      <c r="G74" s="58"/>
      <c r="H74" s="5">
        <f t="shared" si="4"/>
        <v>1089095000</v>
      </c>
      <c r="I74" s="5">
        <f t="shared" si="5"/>
        <v>0</v>
      </c>
      <c r="J74" s="37">
        <f t="shared" si="11"/>
        <v>5</v>
      </c>
      <c r="K74" s="209"/>
      <c r="N74" s="93"/>
      <c r="O74" s="151"/>
      <c r="P74" s="93"/>
      <c r="Q74" s="93"/>
      <c r="R74" s="93"/>
      <c r="S74" s="93"/>
    </row>
    <row r="75" spans="1:19" ht="17.25" customHeight="1">
      <c r="A75" s="14">
        <v>42155</v>
      </c>
      <c r="B75" s="24" t="s">
        <v>276</v>
      </c>
      <c r="C75" s="11">
        <f t="shared" si="10"/>
        <v>42155</v>
      </c>
      <c r="D75" s="17" t="s">
        <v>53</v>
      </c>
      <c r="E75" s="12" t="s">
        <v>42</v>
      </c>
      <c r="F75" s="9"/>
      <c r="G75" s="25">
        <v>111776000</v>
      </c>
      <c r="H75" s="5">
        <f t="shared" si="4"/>
        <v>977319000</v>
      </c>
      <c r="I75" s="5">
        <f t="shared" si="5"/>
        <v>0</v>
      </c>
      <c r="J75" s="37">
        <f t="shared" si="11"/>
        <v>5</v>
      </c>
      <c r="K75" s="207" t="s">
        <v>260</v>
      </c>
      <c r="N75" s="93"/>
      <c r="O75" s="51"/>
      <c r="P75" s="54"/>
      <c r="Q75" s="149"/>
      <c r="R75" s="111"/>
      <c r="S75" s="61"/>
    </row>
    <row r="76" spans="1:19" ht="17.25" customHeight="1">
      <c r="A76" s="14">
        <v>42155</v>
      </c>
      <c r="B76" s="24" t="s">
        <v>276</v>
      </c>
      <c r="C76" s="11">
        <f t="shared" si="10"/>
        <v>42155</v>
      </c>
      <c r="D76" s="17" t="s">
        <v>33</v>
      </c>
      <c r="E76" s="12" t="s">
        <v>42</v>
      </c>
      <c r="F76" s="9"/>
      <c r="G76" s="25">
        <v>107984000</v>
      </c>
      <c r="H76" s="5">
        <f t="shared" si="4"/>
        <v>869335000</v>
      </c>
      <c r="I76" s="5">
        <f t="shared" si="5"/>
        <v>0</v>
      </c>
      <c r="J76" s="37">
        <f t="shared" si="11"/>
        <v>5</v>
      </c>
      <c r="K76" s="207" t="s">
        <v>180</v>
      </c>
      <c r="N76" s="93"/>
      <c r="O76" s="51"/>
      <c r="P76" s="54"/>
      <c r="Q76" s="149"/>
      <c r="R76" s="111"/>
      <c r="S76" s="61"/>
    </row>
    <row r="77" spans="1:19" ht="17.25" customHeight="1">
      <c r="A77" s="14">
        <v>42155</v>
      </c>
      <c r="B77" s="24" t="s">
        <v>276</v>
      </c>
      <c r="C77" s="11">
        <f t="shared" si="10"/>
        <v>42155</v>
      </c>
      <c r="D77" s="17" t="s">
        <v>52</v>
      </c>
      <c r="E77" s="12" t="s">
        <v>42</v>
      </c>
      <c r="F77" s="9"/>
      <c r="G77" s="20">
        <v>108656000</v>
      </c>
      <c r="H77" s="5">
        <f t="shared" si="4"/>
        <v>760679000</v>
      </c>
      <c r="I77" s="5">
        <f t="shared" si="5"/>
        <v>0</v>
      </c>
      <c r="J77" s="37">
        <f t="shared" si="11"/>
        <v>5</v>
      </c>
      <c r="K77" s="207" t="s">
        <v>181</v>
      </c>
      <c r="N77" s="93"/>
      <c r="O77" s="51"/>
      <c r="P77" s="54"/>
      <c r="Q77" s="149"/>
      <c r="R77" s="111"/>
      <c r="S77" s="61"/>
    </row>
    <row r="78" spans="1:19" ht="17.25" customHeight="1">
      <c r="A78" s="14">
        <v>42155</v>
      </c>
      <c r="B78" s="24" t="s">
        <v>276</v>
      </c>
      <c r="C78" s="11">
        <f t="shared" si="10"/>
        <v>42155</v>
      </c>
      <c r="D78" s="17" t="s">
        <v>36</v>
      </c>
      <c r="E78" s="12" t="s">
        <v>42</v>
      </c>
      <c r="F78" s="9"/>
      <c r="G78" s="20">
        <v>214176000</v>
      </c>
      <c r="H78" s="5">
        <f t="shared" si="4"/>
        <v>546503000</v>
      </c>
      <c r="I78" s="5">
        <f t="shared" si="5"/>
        <v>0</v>
      </c>
      <c r="J78" s="37">
        <f t="shared" si="11"/>
        <v>5</v>
      </c>
      <c r="K78" s="207" t="s">
        <v>271</v>
      </c>
      <c r="N78" s="93"/>
      <c r="O78" s="51"/>
      <c r="P78" s="54"/>
      <c r="Q78" s="149"/>
      <c r="R78" s="111"/>
      <c r="S78" s="61"/>
    </row>
    <row r="79" spans="1:19" ht="17.25" customHeight="1">
      <c r="A79" s="14">
        <v>42155</v>
      </c>
      <c r="B79" s="24" t="s">
        <v>276</v>
      </c>
      <c r="C79" s="11">
        <f t="shared" si="10"/>
        <v>42155</v>
      </c>
      <c r="D79" s="17" t="s">
        <v>34</v>
      </c>
      <c r="E79" s="12" t="s">
        <v>42</v>
      </c>
      <c r="F79" s="9"/>
      <c r="G79" s="20">
        <v>109280000</v>
      </c>
      <c r="H79" s="5">
        <f t="shared" si="4"/>
        <v>437223000</v>
      </c>
      <c r="I79" s="5">
        <f t="shared" si="5"/>
        <v>0</v>
      </c>
      <c r="J79" s="37">
        <f t="shared" si="11"/>
        <v>5</v>
      </c>
      <c r="K79" s="207" t="s">
        <v>183</v>
      </c>
      <c r="N79" s="93"/>
      <c r="O79" s="51"/>
      <c r="P79" s="54"/>
      <c r="Q79" s="149"/>
      <c r="R79" s="111"/>
      <c r="S79" s="61"/>
    </row>
    <row r="80" spans="1:19" ht="17.25" customHeight="1">
      <c r="A80" s="14">
        <v>42155</v>
      </c>
      <c r="B80" s="24" t="s">
        <v>276</v>
      </c>
      <c r="C80" s="11">
        <f t="shared" si="10"/>
        <v>42155</v>
      </c>
      <c r="D80" s="17" t="s">
        <v>40</v>
      </c>
      <c r="E80" s="12" t="s">
        <v>42</v>
      </c>
      <c r="F80" s="9"/>
      <c r="G80" s="20">
        <v>107680000</v>
      </c>
      <c r="H80" s="5">
        <f t="shared" si="4"/>
        <v>329543000</v>
      </c>
      <c r="I80" s="5">
        <f t="shared" si="5"/>
        <v>0</v>
      </c>
      <c r="J80" s="37">
        <f t="shared" si="11"/>
        <v>5</v>
      </c>
      <c r="K80" s="207" t="s">
        <v>262</v>
      </c>
      <c r="N80" s="93"/>
      <c r="O80" s="51"/>
      <c r="P80" s="54"/>
      <c r="Q80" s="149"/>
      <c r="R80" s="111"/>
      <c r="S80" s="61"/>
    </row>
    <row r="81" spans="1:19" ht="17.25" customHeight="1">
      <c r="A81" s="14">
        <v>42155</v>
      </c>
      <c r="B81" s="24" t="s">
        <v>276</v>
      </c>
      <c r="C81" s="11">
        <f t="shared" si="10"/>
        <v>42155</v>
      </c>
      <c r="D81" s="17" t="s">
        <v>37</v>
      </c>
      <c r="E81" s="12" t="s">
        <v>42</v>
      </c>
      <c r="F81" s="9"/>
      <c r="G81" s="20">
        <v>110880000</v>
      </c>
      <c r="H81" s="5">
        <f t="shared" si="4"/>
        <v>218663000</v>
      </c>
      <c r="I81" s="5">
        <f t="shared" si="5"/>
        <v>0</v>
      </c>
      <c r="J81" s="37">
        <f t="shared" si="11"/>
        <v>5</v>
      </c>
      <c r="K81" s="211" t="s">
        <v>225</v>
      </c>
      <c r="N81" s="93"/>
      <c r="O81" s="51"/>
      <c r="P81" s="54"/>
      <c r="Q81" s="110"/>
      <c r="R81" s="111"/>
      <c r="S81" s="61"/>
    </row>
    <row r="82" spans="1:19" ht="17.25" customHeight="1">
      <c r="A82" s="14">
        <v>42155</v>
      </c>
      <c r="B82" s="24" t="s">
        <v>276</v>
      </c>
      <c r="C82" s="11">
        <f t="shared" si="10"/>
        <v>42155</v>
      </c>
      <c r="D82" s="17" t="s">
        <v>38</v>
      </c>
      <c r="E82" s="12" t="s">
        <v>42</v>
      </c>
      <c r="F82" s="9"/>
      <c r="G82" s="20">
        <v>108960000</v>
      </c>
      <c r="H82" s="5">
        <f t="shared" ref="H82:H86" si="12">MAX(H81+F82-G82-I81,0)</f>
        <v>109703000</v>
      </c>
      <c r="I82" s="5">
        <f t="shared" ref="I82:I86" si="13">MAX(I81+G82-F82-H81,0)</f>
        <v>0</v>
      </c>
      <c r="J82" s="37">
        <f t="shared" si="11"/>
        <v>5</v>
      </c>
      <c r="K82" s="211" t="s">
        <v>186</v>
      </c>
      <c r="N82" s="93"/>
      <c r="O82" s="51"/>
      <c r="P82" s="54"/>
      <c r="Q82" s="110"/>
      <c r="R82" s="111"/>
      <c r="S82" s="61"/>
    </row>
    <row r="83" spans="1:19" ht="17.25" customHeight="1">
      <c r="A83" s="14">
        <v>42155</v>
      </c>
      <c r="B83" s="24" t="s">
        <v>276</v>
      </c>
      <c r="C83" s="11">
        <f t="shared" si="10"/>
        <v>42155</v>
      </c>
      <c r="D83" s="17" t="s">
        <v>35</v>
      </c>
      <c r="E83" s="12" t="s">
        <v>42</v>
      </c>
      <c r="F83" s="9"/>
      <c r="G83" s="20">
        <v>105360000</v>
      </c>
      <c r="H83" s="5">
        <f t="shared" si="12"/>
        <v>4343000</v>
      </c>
      <c r="I83" s="5">
        <f t="shared" si="13"/>
        <v>0</v>
      </c>
      <c r="J83" s="37">
        <f t="shared" si="11"/>
        <v>5</v>
      </c>
      <c r="K83" s="211" t="s">
        <v>177</v>
      </c>
      <c r="N83" s="93"/>
      <c r="O83" s="51"/>
      <c r="P83" s="54"/>
      <c r="Q83" s="110"/>
      <c r="R83" s="111"/>
      <c r="S83" s="61"/>
    </row>
    <row r="84" spans="1:19" ht="17.25" customHeight="1">
      <c r="A84" s="14">
        <f>C84</f>
        <v>42156</v>
      </c>
      <c r="B84" s="24" t="s">
        <v>299</v>
      </c>
      <c r="C84" s="11">
        <v>42156</v>
      </c>
      <c r="D84" s="17" t="s">
        <v>44</v>
      </c>
      <c r="E84" s="38" t="s">
        <v>45</v>
      </c>
      <c r="F84" s="9">
        <v>650000000</v>
      </c>
      <c r="G84" s="9"/>
      <c r="H84" s="5">
        <f t="shared" si="12"/>
        <v>654343000</v>
      </c>
      <c r="I84" s="5">
        <f t="shared" si="13"/>
        <v>0</v>
      </c>
      <c r="J84" s="37">
        <f t="shared" si="11"/>
        <v>6</v>
      </c>
      <c r="K84" s="208"/>
      <c r="N84" s="93"/>
      <c r="O84" s="51"/>
      <c r="P84" s="54"/>
      <c r="Q84" s="149"/>
      <c r="R84" s="111"/>
      <c r="S84" s="111"/>
    </row>
    <row r="85" spans="1:19" ht="17.25" customHeight="1">
      <c r="A85" s="14">
        <f t="shared" ref="A85:A86" si="14">C85</f>
        <v>42158</v>
      </c>
      <c r="B85" s="24" t="s">
        <v>57</v>
      </c>
      <c r="C85" s="11">
        <v>42158</v>
      </c>
      <c r="D85" s="17" t="s">
        <v>44</v>
      </c>
      <c r="E85" s="38" t="s">
        <v>45</v>
      </c>
      <c r="F85" s="9">
        <v>650000000</v>
      </c>
      <c r="G85" s="20"/>
      <c r="H85" s="5">
        <f t="shared" si="12"/>
        <v>1304343000</v>
      </c>
      <c r="I85" s="5">
        <f t="shared" si="13"/>
        <v>0</v>
      </c>
      <c r="J85" s="37">
        <f t="shared" si="11"/>
        <v>6</v>
      </c>
      <c r="K85" s="207"/>
      <c r="N85" s="93"/>
      <c r="O85" s="51"/>
      <c r="P85" s="54"/>
      <c r="Q85" s="149"/>
      <c r="R85" s="111"/>
      <c r="S85" s="61"/>
    </row>
    <row r="86" spans="1:19" ht="17.25" customHeight="1">
      <c r="A86" s="14">
        <f t="shared" si="14"/>
        <v>42179</v>
      </c>
      <c r="B86" s="24" t="s">
        <v>104</v>
      </c>
      <c r="C86" s="11">
        <v>42179</v>
      </c>
      <c r="D86" s="17" t="s">
        <v>44</v>
      </c>
      <c r="E86" s="38" t="s">
        <v>45</v>
      </c>
      <c r="F86" s="251">
        <v>590000000</v>
      </c>
      <c r="G86" s="9"/>
      <c r="H86" s="5">
        <f t="shared" si="12"/>
        <v>1894343000</v>
      </c>
      <c r="I86" s="5">
        <f t="shared" si="13"/>
        <v>0</v>
      </c>
      <c r="J86" s="37">
        <f t="shared" ref="J86" si="15">IF(A86&lt;&gt;"",MONTH(A86),"")</f>
        <v>6</v>
      </c>
      <c r="K86" s="208"/>
      <c r="N86" s="93"/>
      <c r="O86" s="51"/>
      <c r="P86" s="54"/>
      <c r="Q86" s="149"/>
      <c r="R86" s="111"/>
      <c r="S86" s="111"/>
    </row>
    <row r="87" spans="1:19" ht="17.25" customHeight="1">
      <c r="A87" s="14">
        <v>42185</v>
      </c>
      <c r="B87" s="24"/>
      <c r="C87" s="11">
        <f t="shared" si="10"/>
        <v>42185</v>
      </c>
      <c r="D87" s="17" t="s">
        <v>217</v>
      </c>
      <c r="E87" s="12" t="s">
        <v>42</v>
      </c>
      <c r="F87" s="9"/>
      <c r="G87" s="20">
        <v>142989000</v>
      </c>
      <c r="H87" s="5">
        <f t="shared" ref="H87:H98" si="16">MAX(H86+F87-G87-I86,0)</f>
        <v>1751354000</v>
      </c>
      <c r="I87" s="5">
        <f t="shared" ref="I87:I98" si="17">MAX(I86+G87-F87-H86,0)</f>
        <v>0</v>
      </c>
      <c r="J87" s="37">
        <f t="shared" si="11"/>
        <v>6</v>
      </c>
      <c r="K87" s="207" t="s">
        <v>325</v>
      </c>
      <c r="N87" s="93"/>
      <c r="O87" s="51"/>
      <c r="P87" s="54"/>
      <c r="Q87" s="149"/>
      <c r="R87" s="111"/>
      <c r="S87" s="61"/>
    </row>
    <row r="88" spans="1:19" ht="17.25" customHeight="1">
      <c r="A88" s="14">
        <v>42185</v>
      </c>
      <c r="B88" s="24"/>
      <c r="C88" s="11">
        <f t="shared" si="10"/>
        <v>42185</v>
      </c>
      <c r="D88" s="17" t="s">
        <v>218</v>
      </c>
      <c r="E88" s="12" t="s">
        <v>42</v>
      </c>
      <c r="F88" s="9"/>
      <c r="G88" s="20">
        <v>260935000</v>
      </c>
      <c r="H88" s="5">
        <f t="shared" si="16"/>
        <v>1490419000</v>
      </c>
      <c r="I88" s="5">
        <f t="shared" si="17"/>
        <v>0</v>
      </c>
      <c r="J88" s="37">
        <f t="shared" si="11"/>
        <v>6</v>
      </c>
      <c r="K88" s="207" t="s">
        <v>326</v>
      </c>
      <c r="N88" s="93"/>
      <c r="O88" s="51"/>
      <c r="P88" s="54"/>
      <c r="Q88" s="149"/>
      <c r="R88" s="111"/>
      <c r="S88" s="61"/>
    </row>
    <row r="89" spans="1:19" ht="17.25" customHeight="1">
      <c r="A89" s="14">
        <v>42185</v>
      </c>
      <c r="B89" s="24"/>
      <c r="C89" s="11">
        <f t="shared" si="10"/>
        <v>42185</v>
      </c>
      <c r="D89" s="17" t="s">
        <v>214</v>
      </c>
      <c r="E89" s="12" t="s">
        <v>42</v>
      </c>
      <c r="F89" s="9"/>
      <c r="G89" s="20">
        <v>246919000</v>
      </c>
      <c r="H89" s="5">
        <f t="shared" si="16"/>
        <v>1243500000</v>
      </c>
      <c r="I89" s="5">
        <f t="shared" si="17"/>
        <v>0</v>
      </c>
      <c r="J89" s="37">
        <f t="shared" si="11"/>
        <v>6</v>
      </c>
      <c r="K89" s="207" t="s">
        <v>327</v>
      </c>
      <c r="N89" s="93"/>
      <c r="O89" s="51"/>
      <c r="P89" s="54"/>
      <c r="Q89" s="149"/>
      <c r="R89" s="111"/>
      <c r="S89" s="61"/>
    </row>
    <row r="90" spans="1:19" ht="17.25" customHeight="1">
      <c r="A90" s="14">
        <v>42185</v>
      </c>
      <c r="B90" s="24"/>
      <c r="C90" s="11">
        <f t="shared" si="10"/>
        <v>42185</v>
      </c>
      <c r="D90" s="17" t="s">
        <v>215</v>
      </c>
      <c r="E90" s="12" t="s">
        <v>42</v>
      </c>
      <c r="F90" s="9"/>
      <c r="G90" s="20">
        <v>268324000</v>
      </c>
      <c r="H90" s="5">
        <f t="shared" si="16"/>
        <v>975176000</v>
      </c>
      <c r="I90" s="5">
        <f t="shared" si="17"/>
        <v>0</v>
      </c>
      <c r="J90" s="37">
        <f t="shared" si="11"/>
        <v>6</v>
      </c>
      <c r="K90" s="207" t="s">
        <v>328</v>
      </c>
      <c r="N90" s="93"/>
      <c r="O90" s="51"/>
      <c r="P90" s="54"/>
      <c r="Q90" s="149"/>
      <c r="R90" s="111"/>
      <c r="S90" s="61"/>
    </row>
    <row r="91" spans="1:19" ht="17.25" customHeight="1">
      <c r="A91" s="14">
        <v>42185</v>
      </c>
      <c r="B91" s="24"/>
      <c r="C91" s="11">
        <f t="shared" si="10"/>
        <v>42185</v>
      </c>
      <c r="D91" s="17" t="s">
        <v>295</v>
      </c>
      <c r="E91" s="12" t="s">
        <v>42</v>
      </c>
      <c r="F91" s="9"/>
      <c r="G91" s="20">
        <v>221650000</v>
      </c>
      <c r="H91" s="5">
        <f t="shared" si="16"/>
        <v>753526000</v>
      </c>
      <c r="I91" s="5">
        <f t="shared" si="17"/>
        <v>0</v>
      </c>
      <c r="J91" s="37">
        <f t="shared" si="11"/>
        <v>6</v>
      </c>
      <c r="K91" s="212" t="s">
        <v>329</v>
      </c>
      <c r="N91" s="93"/>
      <c r="O91" s="51"/>
      <c r="P91" s="54"/>
      <c r="Q91" s="110"/>
      <c r="R91" s="111"/>
      <c r="S91" s="61"/>
    </row>
    <row r="92" spans="1:19" ht="17.25" customHeight="1">
      <c r="A92" s="14">
        <v>42185</v>
      </c>
      <c r="B92" s="24"/>
      <c r="C92" s="11">
        <f t="shared" si="10"/>
        <v>42185</v>
      </c>
      <c r="D92" s="17" t="s">
        <v>216</v>
      </c>
      <c r="E92" s="12" t="s">
        <v>42</v>
      </c>
      <c r="F92" s="9"/>
      <c r="G92" s="20">
        <v>212465000</v>
      </c>
      <c r="H92" s="5">
        <f t="shared" si="16"/>
        <v>541061000</v>
      </c>
      <c r="I92" s="5">
        <f t="shared" si="17"/>
        <v>0</v>
      </c>
      <c r="J92" s="37">
        <f t="shared" si="11"/>
        <v>6</v>
      </c>
      <c r="K92" s="212" t="s">
        <v>330</v>
      </c>
      <c r="N92" s="93"/>
      <c r="O92" s="51"/>
      <c r="P92" s="54"/>
      <c r="Q92" s="110"/>
      <c r="R92" s="111"/>
      <c r="S92" s="61"/>
    </row>
    <row r="93" spans="1:19" ht="17.25" customHeight="1">
      <c r="A93" s="14">
        <v>42185</v>
      </c>
      <c r="B93" s="24"/>
      <c r="C93" s="11">
        <f t="shared" si="10"/>
        <v>42185</v>
      </c>
      <c r="D93" s="17" t="s">
        <v>213</v>
      </c>
      <c r="E93" s="12" t="s">
        <v>42</v>
      </c>
      <c r="F93" s="9"/>
      <c r="G93" s="20">
        <v>147246000</v>
      </c>
      <c r="H93" s="5">
        <f t="shared" si="16"/>
        <v>393815000</v>
      </c>
      <c r="I93" s="5">
        <f t="shared" si="17"/>
        <v>0</v>
      </c>
      <c r="J93" s="37">
        <f t="shared" si="11"/>
        <v>6</v>
      </c>
      <c r="K93" s="212" t="s">
        <v>331</v>
      </c>
      <c r="N93" s="93"/>
      <c r="O93" s="51"/>
      <c r="P93" s="54"/>
      <c r="Q93" s="110"/>
      <c r="R93" s="111"/>
      <c r="S93" s="61"/>
    </row>
    <row r="94" spans="1:19" ht="17.25" customHeight="1">
      <c r="A94" s="14">
        <v>42185</v>
      </c>
      <c r="B94" s="24"/>
      <c r="C94" s="11">
        <f t="shared" si="10"/>
        <v>42185</v>
      </c>
      <c r="D94" s="17" t="s">
        <v>296</v>
      </c>
      <c r="E94" s="12" t="s">
        <v>42</v>
      </c>
      <c r="F94" s="9"/>
      <c r="G94" s="20">
        <v>141130000</v>
      </c>
      <c r="H94" s="5">
        <f t="shared" si="16"/>
        <v>252685000</v>
      </c>
      <c r="I94" s="5">
        <f t="shared" si="17"/>
        <v>0</v>
      </c>
      <c r="J94" s="37">
        <f t="shared" si="11"/>
        <v>6</v>
      </c>
      <c r="K94" s="212" t="s">
        <v>332</v>
      </c>
      <c r="N94" s="93"/>
      <c r="O94" s="51"/>
      <c r="P94" s="54"/>
      <c r="Q94" s="110"/>
      <c r="R94" s="111"/>
      <c r="S94" s="61"/>
    </row>
    <row r="95" spans="1:19" ht="17.25" customHeight="1">
      <c r="A95" s="14">
        <v>42185</v>
      </c>
      <c r="B95" s="24"/>
      <c r="C95" s="11">
        <f t="shared" si="10"/>
        <v>42185</v>
      </c>
      <c r="D95" s="17" t="s">
        <v>297</v>
      </c>
      <c r="E95" s="12" t="s">
        <v>42</v>
      </c>
      <c r="F95" s="9"/>
      <c r="G95" s="20">
        <v>148742000</v>
      </c>
      <c r="H95" s="5">
        <f t="shared" si="16"/>
        <v>103943000</v>
      </c>
      <c r="I95" s="5">
        <f t="shared" si="17"/>
        <v>0</v>
      </c>
      <c r="J95" s="37">
        <f t="shared" si="11"/>
        <v>6</v>
      </c>
      <c r="K95" s="207" t="s">
        <v>333</v>
      </c>
      <c r="N95" s="93"/>
      <c r="O95" s="51"/>
      <c r="P95" s="54"/>
      <c r="Q95" s="149"/>
      <c r="R95" s="111"/>
      <c r="S95" s="61"/>
    </row>
    <row r="96" spans="1:19" ht="17.25" customHeight="1">
      <c r="A96" s="14">
        <v>42185</v>
      </c>
      <c r="B96" s="24"/>
      <c r="C96" s="11">
        <f t="shared" si="10"/>
        <v>42185</v>
      </c>
      <c r="D96" s="17" t="s">
        <v>263</v>
      </c>
      <c r="E96" s="12" t="s">
        <v>42</v>
      </c>
      <c r="F96" s="9"/>
      <c r="G96" s="20">
        <v>100275000</v>
      </c>
      <c r="H96" s="5">
        <f t="shared" si="16"/>
        <v>3668000</v>
      </c>
      <c r="I96" s="5">
        <f t="shared" si="17"/>
        <v>0</v>
      </c>
      <c r="J96" s="37">
        <f t="shared" si="11"/>
        <v>6</v>
      </c>
      <c r="K96" s="207" t="s">
        <v>334</v>
      </c>
      <c r="N96" s="93"/>
      <c r="O96" s="51"/>
      <c r="P96" s="54"/>
      <c r="Q96" s="149"/>
      <c r="R96" s="111"/>
      <c r="S96" s="61"/>
    </row>
    <row r="97" spans="1:19" ht="17.25" customHeight="1">
      <c r="A97" s="14"/>
      <c r="B97" s="24"/>
      <c r="C97" s="11">
        <f t="shared" si="10"/>
        <v>0</v>
      </c>
      <c r="D97" s="17" t="s">
        <v>44</v>
      </c>
      <c r="E97" s="38" t="s">
        <v>45</v>
      </c>
      <c r="F97" s="251">
        <v>450000000</v>
      </c>
      <c r="G97" s="20"/>
      <c r="H97" s="5">
        <f t="shared" si="16"/>
        <v>453668000</v>
      </c>
      <c r="I97" s="5">
        <f t="shared" si="17"/>
        <v>0</v>
      </c>
      <c r="J97" s="37" t="str">
        <f t="shared" si="11"/>
        <v/>
      </c>
      <c r="K97" s="207"/>
      <c r="N97" s="93"/>
      <c r="O97" s="51"/>
      <c r="P97" s="54"/>
      <c r="Q97" s="149"/>
      <c r="R97" s="111"/>
      <c r="S97" s="61"/>
    </row>
    <row r="98" spans="1:19" ht="17.25" customHeight="1">
      <c r="A98" s="11"/>
      <c r="B98" s="18"/>
      <c r="C98" s="11">
        <f t="shared" si="10"/>
        <v>0</v>
      </c>
      <c r="D98" s="17" t="s">
        <v>44</v>
      </c>
      <c r="E98" s="38" t="s">
        <v>45</v>
      </c>
      <c r="F98" s="251">
        <v>450000000</v>
      </c>
      <c r="G98" s="20"/>
      <c r="H98" s="5">
        <f t="shared" si="16"/>
        <v>903668000</v>
      </c>
      <c r="I98" s="5">
        <f t="shared" si="17"/>
        <v>0</v>
      </c>
      <c r="J98" s="37" t="str">
        <f t="shared" si="11"/>
        <v/>
      </c>
      <c r="K98" s="211"/>
      <c r="N98" s="115"/>
      <c r="O98" s="51"/>
      <c r="P98" s="54"/>
      <c r="Q98" s="110"/>
      <c r="R98" s="111"/>
      <c r="S98" s="61"/>
    </row>
    <row r="99" spans="1:19" ht="17.25" customHeight="1">
      <c r="A99" s="14"/>
      <c r="B99" s="24"/>
      <c r="C99" s="11">
        <f t="shared" si="10"/>
        <v>0</v>
      </c>
      <c r="D99" s="17" t="s">
        <v>44</v>
      </c>
      <c r="E99" s="38" t="s">
        <v>45</v>
      </c>
      <c r="F99" s="251">
        <v>400000000</v>
      </c>
      <c r="G99" s="9"/>
      <c r="H99" s="5">
        <f t="shared" ref="H99:H115" si="18">MAX(H98+F99-G99-I98,0)</f>
        <v>1303668000</v>
      </c>
      <c r="I99" s="5">
        <f t="shared" ref="I99:I115" si="19">MAX(I98+G99-F99-H98,0)</f>
        <v>0</v>
      </c>
      <c r="J99" s="37" t="str">
        <f t="shared" si="11"/>
        <v/>
      </c>
      <c r="K99" s="209"/>
      <c r="N99" s="93"/>
      <c r="O99" s="51"/>
      <c r="P99" s="54"/>
      <c r="Q99" s="149"/>
      <c r="R99" s="111"/>
      <c r="S99" s="111"/>
    </row>
    <row r="100" spans="1:19" ht="17.25" customHeight="1">
      <c r="A100" s="14">
        <v>42216</v>
      </c>
      <c r="B100" s="24"/>
      <c r="C100" s="11">
        <f t="shared" si="10"/>
        <v>42216</v>
      </c>
      <c r="D100" s="17" t="s">
        <v>296</v>
      </c>
      <c r="E100" s="12" t="s">
        <v>42</v>
      </c>
      <c r="F100" s="9"/>
      <c r="G100" s="20">
        <v>86130000</v>
      </c>
      <c r="H100" s="5">
        <f t="shared" si="18"/>
        <v>1217538000</v>
      </c>
      <c r="I100" s="5">
        <f t="shared" si="19"/>
        <v>0</v>
      </c>
      <c r="J100" s="37">
        <f t="shared" si="11"/>
        <v>7</v>
      </c>
      <c r="K100" s="207" t="s">
        <v>184</v>
      </c>
      <c r="N100" s="93"/>
      <c r="O100" s="51"/>
      <c r="P100" s="54"/>
      <c r="Q100" s="149"/>
      <c r="R100" s="111"/>
      <c r="S100" s="61"/>
    </row>
    <row r="101" spans="1:19" ht="17.25" customHeight="1">
      <c r="A101" s="14">
        <v>42216</v>
      </c>
      <c r="B101" s="24"/>
      <c r="C101" s="11">
        <f t="shared" si="10"/>
        <v>42216</v>
      </c>
      <c r="D101" s="17" t="s">
        <v>295</v>
      </c>
      <c r="E101" s="12" t="s">
        <v>42</v>
      </c>
      <c r="F101" s="9"/>
      <c r="G101" s="20">
        <v>147515000</v>
      </c>
      <c r="H101" s="5">
        <f t="shared" si="18"/>
        <v>1070023000</v>
      </c>
      <c r="I101" s="5">
        <f t="shared" si="19"/>
        <v>0</v>
      </c>
      <c r="J101" s="37">
        <f t="shared" si="11"/>
        <v>7</v>
      </c>
      <c r="K101" s="207" t="s">
        <v>335</v>
      </c>
      <c r="N101" s="93"/>
      <c r="O101" s="51"/>
      <c r="P101" s="54"/>
      <c r="Q101" s="149"/>
      <c r="R101" s="111"/>
      <c r="S101" s="61"/>
    </row>
    <row r="102" spans="1:19" ht="17.25" customHeight="1">
      <c r="A102" s="14">
        <v>42216</v>
      </c>
      <c r="B102" s="24"/>
      <c r="C102" s="11">
        <f t="shared" si="10"/>
        <v>42216</v>
      </c>
      <c r="D102" s="17" t="s">
        <v>213</v>
      </c>
      <c r="E102" s="12" t="s">
        <v>42</v>
      </c>
      <c r="F102" s="9"/>
      <c r="G102" s="20">
        <v>147725000</v>
      </c>
      <c r="H102" s="5">
        <f t="shared" si="18"/>
        <v>922298000</v>
      </c>
      <c r="I102" s="5">
        <f t="shared" si="19"/>
        <v>0</v>
      </c>
      <c r="J102" s="37">
        <f t="shared" si="11"/>
        <v>7</v>
      </c>
      <c r="K102" s="207" t="s">
        <v>336</v>
      </c>
      <c r="N102" s="93"/>
      <c r="O102" s="51"/>
      <c r="P102" s="54"/>
      <c r="Q102" s="149"/>
      <c r="R102" s="111"/>
      <c r="S102" s="61"/>
    </row>
    <row r="103" spans="1:19" ht="17.25" customHeight="1">
      <c r="A103" s="14">
        <v>42216</v>
      </c>
      <c r="B103" s="24"/>
      <c r="C103" s="11">
        <f t="shared" si="10"/>
        <v>42216</v>
      </c>
      <c r="D103" s="17" t="s">
        <v>214</v>
      </c>
      <c r="E103" s="12" t="s">
        <v>42</v>
      </c>
      <c r="F103" s="9"/>
      <c r="G103" s="20">
        <v>235724500</v>
      </c>
      <c r="H103" s="5">
        <f t="shared" si="18"/>
        <v>686573500</v>
      </c>
      <c r="I103" s="5">
        <f t="shared" si="19"/>
        <v>0</v>
      </c>
      <c r="J103" s="37">
        <f t="shared" si="11"/>
        <v>7</v>
      </c>
      <c r="K103" s="207" t="s">
        <v>337</v>
      </c>
      <c r="N103" s="93"/>
      <c r="O103" s="51"/>
      <c r="P103" s="54"/>
      <c r="Q103" s="149"/>
      <c r="R103" s="111"/>
      <c r="S103" s="61"/>
    </row>
    <row r="104" spans="1:19" ht="17.25" customHeight="1">
      <c r="A104" s="14">
        <v>42216</v>
      </c>
      <c r="B104" s="24"/>
      <c r="C104" s="11">
        <f t="shared" si="10"/>
        <v>42216</v>
      </c>
      <c r="D104" s="17" t="s">
        <v>215</v>
      </c>
      <c r="E104" s="12" t="s">
        <v>42</v>
      </c>
      <c r="F104" s="9"/>
      <c r="G104" s="25">
        <v>149449500</v>
      </c>
      <c r="H104" s="5">
        <f t="shared" si="18"/>
        <v>537124000</v>
      </c>
      <c r="I104" s="5">
        <f t="shared" si="19"/>
        <v>0</v>
      </c>
      <c r="J104" s="37">
        <f t="shared" si="11"/>
        <v>7</v>
      </c>
      <c r="K104" s="207" t="s">
        <v>338</v>
      </c>
      <c r="N104" s="93"/>
      <c r="O104" s="51"/>
      <c r="P104" s="54"/>
      <c r="Q104" s="149"/>
      <c r="R104" s="111"/>
      <c r="S104" s="61"/>
    </row>
    <row r="105" spans="1:19" ht="17.25" customHeight="1">
      <c r="A105" s="14">
        <v>42216</v>
      </c>
      <c r="B105" s="18"/>
      <c r="C105" s="11">
        <f t="shared" si="10"/>
        <v>42216</v>
      </c>
      <c r="D105" s="17" t="s">
        <v>216</v>
      </c>
      <c r="E105" s="12" t="s">
        <v>42</v>
      </c>
      <c r="F105" s="55"/>
      <c r="G105" s="25">
        <v>158411500</v>
      </c>
      <c r="H105" s="5">
        <f t="shared" si="18"/>
        <v>378712500</v>
      </c>
      <c r="I105" s="5">
        <f t="shared" si="19"/>
        <v>0</v>
      </c>
      <c r="J105" s="37">
        <f t="shared" si="11"/>
        <v>7</v>
      </c>
      <c r="K105" s="207" t="s">
        <v>339</v>
      </c>
      <c r="N105" s="115"/>
      <c r="O105" s="51"/>
      <c r="P105" s="54"/>
      <c r="Q105" s="110"/>
      <c r="R105" s="116"/>
      <c r="S105" s="61"/>
    </row>
    <row r="106" spans="1:19" ht="17.25" customHeight="1">
      <c r="A106" s="14">
        <v>42216</v>
      </c>
      <c r="B106" s="18"/>
      <c r="C106" s="11">
        <f t="shared" si="10"/>
        <v>42216</v>
      </c>
      <c r="D106" s="17" t="s">
        <v>217</v>
      </c>
      <c r="E106" s="12" t="s">
        <v>42</v>
      </c>
      <c r="F106" s="55"/>
      <c r="G106" s="25">
        <v>150486000</v>
      </c>
      <c r="H106" s="5">
        <f t="shared" si="18"/>
        <v>228226500</v>
      </c>
      <c r="I106" s="5">
        <f t="shared" si="19"/>
        <v>0</v>
      </c>
      <c r="J106" s="37">
        <f t="shared" si="11"/>
        <v>7</v>
      </c>
      <c r="K106" s="207" t="s">
        <v>211</v>
      </c>
      <c r="N106" s="115"/>
      <c r="O106" s="51"/>
      <c r="P106" s="54"/>
      <c r="Q106" s="110"/>
      <c r="R106" s="116"/>
      <c r="S106" s="61"/>
    </row>
    <row r="107" spans="1:19" ht="17.25" customHeight="1">
      <c r="A107" s="14">
        <v>42216</v>
      </c>
      <c r="B107" s="24"/>
      <c r="C107" s="11">
        <f t="shared" si="10"/>
        <v>42216</v>
      </c>
      <c r="D107" s="17" t="s">
        <v>218</v>
      </c>
      <c r="E107" s="12" t="s">
        <v>42</v>
      </c>
      <c r="F107" s="9"/>
      <c r="G107" s="25">
        <v>219808500</v>
      </c>
      <c r="H107" s="5">
        <f t="shared" si="18"/>
        <v>8418000</v>
      </c>
      <c r="I107" s="5">
        <f t="shared" si="19"/>
        <v>0</v>
      </c>
      <c r="J107" s="37">
        <f t="shared" si="11"/>
        <v>7</v>
      </c>
      <c r="K107" s="207" t="s">
        <v>340</v>
      </c>
      <c r="N107" s="93"/>
      <c r="O107" s="51"/>
      <c r="P107" s="54"/>
      <c r="Q107" s="149"/>
      <c r="R107" s="111"/>
      <c r="S107" s="61"/>
    </row>
    <row r="108" spans="1:19" ht="17.25" customHeight="1">
      <c r="A108" s="14"/>
      <c r="B108" s="24"/>
      <c r="C108" s="11">
        <f t="shared" ref="C108:C117" si="20">A108</f>
        <v>0</v>
      </c>
      <c r="D108" s="17" t="s">
        <v>44</v>
      </c>
      <c r="E108" s="38" t="s">
        <v>45</v>
      </c>
      <c r="F108" s="9">
        <v>500000000</v>
      </c>
      <c r="G108" s="25"/>
      <c r="H108" s="5">
        <f t="shared" si="18"/>
        <v>508418000</v>
      </c>
      <c r="I108" s="5">
        <f t="shared" si="19"/>
        <v>0</v>
      </c>
      <c r="J108" s="37" t="str">
        <f t="shared" si="11"/>
        <v/>
      </c>
      <c r="K108" s="136"/>
      <c r="N108" s="93"/>
      <c r="O108" s="51"/>
      <c r="P108" s="54"/>
      <c r="Q108" s="149"/>
      <c r="R108" s="111"/>
      <c r="S108" s="61"/>
    </row>
    <row r="109" spans="1:19" ht="17.25" customHeight="1">
      <c r="A109" s="14"/>
      <c r="B109" s="24"/>
      <c r="C109" s="11">
        <f t="shared" si="20"/>
        <v>0</v>
      </c>
      <c r="D109" s="17" t="s">
        <v>44</v>
      </c>
      <c r="E109" s="38" t="s">
        <v>45</v>
      </c>
      <c r="F109" s="9">
        <v>500000000</v>
      </c>
      <c r="G109" s="25"/>
      <c r="H109" s="5">
        <f t="shared" si="18"/>
        <v>1008418000</v>
      </c>
      <c r="I109" s="5">
        <f t="shared" si="19"/>
        <v>0</v>
      </c>
      <c r="J109" s="37" t="str">
        <f t="shared" si="11"/>
        <v/>
      </c>
      <c r="K109" s="209"/>
      <c r="N109" s="93"/>
      <c r="O109" s="51"/>
      <c r="P109" s="54"/>
      <c r="Q109" s="149"/>
      <c r="R109" s="111"/>
      <c r="S109" s="61"/>
    </row>
    <row r="110" spans="1:19" ht="17.25" customHeight="1">
      <c r="A110" s="14"/>
      <c r="B110" s="24"/>
      <c r="C110" s="11">
        <f t="shared" si="20"/>
        <v>0</v>
      </c>
      <c r="D110" s="17" t="s">
        <v>44</v>
      </c>
      <c r="E110" s="38" t="s">
        <v>45</v>
      </c>
      <c r="F110" s="9">
        <v>450000000</v>
      </c>
      <c r="G110" s="25"/>
      <c r="H110" s="5">
        <f t="shared" si="18"/>
        <v>1458418000</v>
      </c>
      <c r="I110" s="5">
        <f t="shared" si="19"/>
        <v>0</v>
      </c>
      <c r="J110" s="37" t="str">
        <f t="shared" si="11"/>
        <v/>
      </c>
      <c r="K110" s="207"/>
      <c r="N110" s="93"/>
      <c r="O110" s="51"/>
      <c r="P110" s="54"/>
      <c r="Q110" s="149"/>
      <c r="R110" s="111"/>
      <c r="S110" s="61"/>
    </row>
    <row r="111" spans="1:19" ht="17.25" customHeight="1">
      <c r="A111" s="14">
        <v>42247</v>
      </c>
      <c r="B111" s="24"/>
      <c r="C111" s="11">
        <f t="shared" si="20"/>
        <v>42247</v>
      </c>
      <c r="D111" s="17" t="s">
        <v>217</v>
      </c>
      <c r="E111" s="12" t="s">
        <v>42</v>
      </c>
      <c r="F111" s="9"/>
      <c r="G111" s="25">
        <v>371864000</v>
      </c>
      <c r="H111" s="5">
        <f t="shared" si="18"/>
        <v>1086554000</v>
      </c>
      <c r="I111" s="5">
        <f t="shared" si="19"/>
        <v>0</v>
      </c>
      <c r="J111" s="37">
        <f t="shared" si="11"/>
        <v>8</v>
      </c>
      <c r="K111" s="207" t="s">
        <v>344</v>
      </c>
      <c r="N111" s="93"/>
      <c r="O111" s="51"/>
      <c r="P111" s="54"/>
      <c r="Q111" s="149"/>
      <c r="R111" s="111"/>
      <c r="S111" s="61"/>
    </row>
    <row r="112" spans="1:19" ht="17.25" customHeight="1">
      <c r="A112" s="14">
        <v>42247</v>
      </c>
      <c r="B112" s="24"/>
      <c r="C112" s="11">
        <f t="shared" si="20"/>
        <v>42247</v>
      </c>
      <c r="D112" s="17" t="s">
        <v>218</v>
      </c>
      <c r="E112" s="12" t="s">
        <v>42</v>
      </c>
      <c r="F112" s="9"/>
      <c r="G112" s="20">
        <v>309327000</v>
      </c>
      <c r="H112" s="5">
        <f t="shared" si="18"/>
        <v>777227000</v>
      </c>
      <c r="I112" s="5">
        <f t="shared" si="19"/>
        <v>0</v>
      </c>
      <c r="J112" s="37">
        <f t="shared" si="11"/>
        <v>8</v>
      </c>
      <c r="K112" s="207" t="s">
        <v>345</v>
      </c>
      <c r="N112" s="93"/>
      <c r="O112" s="51"/>
      <c r="P112" s="54"/>
      <c r="Q112" s="149"/>
      <c r="R112" s="111"/>
      <c r="S112" s="61"/>
    </row>
    <row r="113" spans="1:19" ht="17.25" customHeight="1">
      <c r="A113" s="14">
        <v>42247</v>
      </c>
      <c r="B113" s="24"/>
      <c r="C113" s="11">
        <f t="shared" si="20"/>
        <v>42247</v>
      </c>
      <c r="D113" s="17" t="s">
        <v>214</v>
      </c>
      <c r="E113" s="12" t="s">
        <v>42</v>
      </c>
      <c r="F113" s="9"/>
      <c r="G113" s="20">
        <v>234002000</v>
      </c>
      <c r="H113" s="5">
        <f t="shared" si="18"/>
        <v>543225000</v>
      </c>
      <c r="I113" s="5">
        <f t="shared" si="19"/>
        <v>0</v>
      </c>
      <c r="J113" s="37">
        <f t="shared" ref="J113:J130" si="21">IF(A113&lt;&gt;"",MONTH(A113),"")</f>
        <v>8</v>
      </c>
      <c r="K113" s="207" t="s">
        <v>346</v>
      </c>
      <c r="N113" s="93"/>
      <c r="O113" s="51"/>
      <c r="P113" s="54"/>
      <c r="Q113" s="149"/>
      <c r="R113" s="111"/>
      <c r="S113" s="61"/>
    </row>
    <row r="114" spans="1:19" ht="17.25" customHeight="1">
      <c r="A114" s="14">
        <v>42247</v>
      </c>
      <c r="B114" s="24"/>
      <c r="C114" s="11">
        <f t="shared" si="20"/>
        <v>42247</v>
      </c>
      <c r="D114" s="17" t="s">
        <v>215</v>
      </c>
      <c r="E114" s="12" t="s">
        <v>42</v>
      </c>
      <c r="F114" s="9"/>
      <c r="G114" s="20">
        <v>84893000</v>
      </c>
      <c r="H114" s="5">
        <f t="shared" si="18"/>
        <v>458332000</v>
      </c>
      <c r="I114" s="5">
        <f t="shared" si="19"/>
        <v>0</v>
      </c>
      <c r="J114" s="37">
        <f t="shared" si="21"/>
        <v>8</v>
      </c>
      <c r="K114" s="207" t="s">
        <v>212</v>
      </c>
      <c r="N114" s="93"/>
      <c r="O114" s="51"/>
      <c r="P114" s="54"/>
      <c r="Q114" s="149"/>
      <c r="R114" s="111"/>
      <c r="S114" s="61"/>
    </row>
    <row r="115" spans="1:19" ht="17.25" customHeight="1">
      <c r="A115" s="14">
        <v>42247</v>
      </c>
      <c r="B115" s="24"/>
      <c r="C115" s="11">
        <f t="shared" si="20"/>
        <v>42247</v>
      </c>
      <c r="D115" s="17" t="s">
        <v>295</v>
      </c>
      <c r="E115" s="12" t="s">
        <v>42</v>
      </c>
      <c r="F115" s="55"/>
      <c r="G115" s="5">
        <v>150868500</v>
      </c>
      <c r="H115" s="5">
        <f t="shared" si="18"/>
        <v>307463500</v>
      </c>
      <c r="I115" s="5">
        <f t="shared" si="19"/>
        <v>0</v>
      </c>
      <c r="J115" s="37">
        <f t="shared" si="21"/>
        <v>8</v>
      </c>
      <c r="K115" s="206" t="s">
        <v>347</v>
      </c>
      <c r="N115" s="93"/>
      <c r="O115" s="51"/>
      <c r="P115" s="54"/>
      <c r="Q115" s="110"/>
      <c r="R115" s="116"/>
      <c r="S115" s="62"/>
    </row>
    <row r="116" spans="1:19" ht="17.25" customHeight="1">
      <c r="A116" s="14">
        <v>42247</v>
      </c>
      <c r="B116" s="24"/>
      <c r="C116" s="11">
        <f t="shared" si="20"/>
        <v>42247</v>
      </c>
      <c r="D116" s="17" t="s">
        <v>216</v>
      </c>
      <c r="E116" s="12" t="s">
        <v>42</v>
      </c>
      <c r="F116" s="55"/>
      <c r="G116" s="5">
        <v>144486000</v>
      </c>
      <c r="H116" s="5">
        <f t="shared" ref="H116:H138" si="22">MAX(H115+F116-G116-I115,0)</f>
        <v>162977500</v>
      </c>
      <c r="I116" s="5">
        <f t="shared" ref="I116:I138" si="23">MAX(I115+G116-F116-H115,0)</f>
        <v>0</v>
      </c>
      <c r="J116" s="37">
        <f t="shared" si="21"/>
        <v>8</v>
      </c>
      <c r="K116" s="206" t="s">
        <v>223</v>
      </c>
      <c r="N116" s="93"/>
      <c r="O116" s="51"/>
      <c r="P116" s="54"/>
      <c r="Q116" s="110"/>
      <c r="R116" s="116"/>
      <c r="S116" s="62"/>
    </row>
    <row r="117" spans="1:19" ht="17.25" customHeight="1">
      <c r="A117" s="14">
        <v>42247</v>
      </c>
      <c r="B117" s="24"/>
      <c r="C117" s="11">
        <f t="shared" si="20"/>
        <v>42247</v>
      </c>
      <c r="D117" s="17" t="s">
        <v>213</v>
      </c>
      <c r="E117" s="12" t="s">
        <v>42</v>
      </c>
      <c r="F117" s="9"/>
      <c r="G117" s="20">
        <v>146659500</v>
      </c>
      <c r="H117" s="5">
        <f t="shared" si="22"/>
        <v>16318000</v>
      </c>
      <c r="I117" s="5">
        <f t="shared" si="23"/>
        <v>0</v>
      </c>
      <c r="J117" s="37">
        <f t="shared" si="21"/>
        <v>8</v>
      </c>
      <c r="K117" s="209" t="s">
        <v>348</v>
      </c>
      <c r="N117" s="93"/>
      <c r="O117" s="51"/>
      <c r="P117" s="54"/>
      <c r="Q117" s="149"/>
      <c r="R117" s="111"/>
      <c r="S117" s="61"/>
    </row>
    <row r="118" spans="1:19" ht="17.25" customHeight="1">
      <c r="A118" s="14"/>
      <c r="B118" s="24"/>
      <c r="C118" s="11">
        <f t="shared" ref="C118:C128" si="24">A118</f>
        <v>0</v>
      </c>
      <c r="D118" s="17" t="s">
        <v>44</v>
      </c>
      <c r="E118" s="38" t="s">
        <v>45</v>
      </c>
      <c r="F118" s="9">
        <v>600000000</v>
      </c>
      <c r="G118" s="20"/>
      <c r="H118" s="5">
        <f t="shared" si="22"/>
        <v>616318000</v>
      </c>
      <c r="I118" s="5">
        <f t="shared" si="23"/>
        <v>0</v>
      </c>
      <c r="J118" s="37" t="str">
        <f t="shared" si="21"/>
        <v/>
      </c>
      <c r="K118" s="207"/>
      <c r="N118" s="93"/>
      <c r="O118" s="51"/>
      <c r="P118" s="54"/>
      <c r="Q118" s="149"/>
      <c r="R118" s="111"/>
      <c r="S118" s="61"/>
    </row>
    <row r="119" spans="1:19" ht="17.25" customHeight="1">
      <c r="A119" s="14"/>
      <c r="B119" s="24"/>
      <c r="C119" s="11">
        <f t="shared" si="24"/>
        <v>0</v>
      </c>
      <c r="D119" s="17" t="s">
        <v>44</v>
      </c>
      <c r="E119" s="38" t="s">
        <v>45</v>
      </c>
      <c r="F119" s="9">
        <v>600000000</v>
      </c>
      <c r="G119" s="20"/>
      <c r="H119" s="5">
        <f t="shared" si="22"/>
        <v>1216318000</v>
      </c>
      <c r="I119" s="5">
        <f t="shared" si="23"/>
        <v>0</v>
      </c>
      <c r="J119" s="37" t="str">
        <f t="shared" si="21"/>
        <v/>
      </c>
      <c r="K119" s="207"/>
      <c r="N119" s="93"/>
      <c r="O119" s="51"/>
      <c r="P119" s="54"/>
      <c r="Q119" s="149"/>
      <c r="R119" s="111"/>
      <c r="S119" s="61"/>
    </row>
    <row r="120" spans="1:19" ht="17.25" customHeight="1">
      <c r="A120" s="14"/>
      <c r="B120" s="24"/>
      <c r="C120" s="11">
        <f t="shared" si="24"/>
        <v>0</v>
      </c>
      <c r="D120" s="17" t="s">
        <v>44</v>
      </c>
      <c r="E120" s="38" t="s">
        <v>45</v>
      </c>
      <c r="F120" s="9">
        <v>520000000</v>
      </c>
      <c r="G120" s="20"/>
      <c r="H120" s="5">
        <f t="shared" si="22"/>
        <v>1736318000</v>
      </c>
      <c r="I120" s="5">
        <f t="shared" si="23"/>
        <v>0</v>
      </c>
      <c r="J120" s="37" t="str">
        <f t="shared" si="21"/>
        <v/>
      </c>
      <c r="K120" s="207"/>
      <c r="N120" s="93"/>
      <c r="O120" s="51"/>
      <c r="P120" s="54"/>
      <c r="Q120" s="149"/>
      <c r="R120" s="111"/>
      <c r="S120" s="61"/>
    </row>
    <row r="121" spans="1:19" ht="17.25" customHeight="1">
      <c r="A121" s="11">
        <v>42277</v>
      </c>
      <c r="B121" s="24"/>
      <c r="C121" s="11">
        <f t="shared" si="24"/>
        <v>42277</v>
      </c>
      <c r="D121" s="17" t="s">
        <v>217</v>
      </c>
      <c r="E121" s="12" t="s">
        <v>42</v>
      </c>
      <c r="F121" s="9"/>
      <c r="G121" s="20">
        <v>428046200</v>
      </c>
      <c r="H121" s="5">
        <f t="shared" si="22"/>
        <v>1308271800</v>
      </c>
      <c r="I121" s="5">
        <f t="shared" si="23"/>
        <v>0</v>
      </c>
      <c r="J121" s="37">
        <f t="shared" si="21"/>
        <v>9</v>
      </c>
      <c r="K121" s="207" t="s">
        <v>344</v>
      </c>
      <c r="N121" s="93"/>
      <c r="O121" s="51"/>
      <c r="P121" s="54"/>
      <c r="Q121" s="149"/>
      <c r="R121" s="111"/>
      <c r="S121" s="61"/>
    </row>
    <row r="122" spans="1:19" ht="17.25" customHeight="1">
      <c r="A122" s="11">
        <v>42277</v>
      </c>
      <c r="B122" s="24"/>
      <c r="C122" s="11">
        <f t="shared" si="24"/>
        <v>42277</v>
      </c>
      <c r="D122" s="17" t="s">
        <v>218</v>
      </c>
      <c r="E122" s="12" t="s">
        <v>42</v>
      </c>
      <c r="F122" s="9"/>
      <c r="G122" s="20">
        <v>345593600</v>
      </c>
      <c r="H122" s="5">
        <f t="shared" si="22"/>
        <v>962678200</v>
      </c>
      <c r="I122" s="5">
        <f t="shared" si="23"/>
        <v>0</v>
      </c>
      <c r="J122" s="37">
        <f t="shared" si="21"/>
        <v>9</v>
      </c>
      <c r="K122" s="207" t="s">
        <v>345</v>
      </c>
      <c r="N122" s="93"/>
      <c r="O122" s="51"/>
      <c r="P122" s="54"/>
      <c r="Q122" s="149"/>
      <c r="R122" s="111"/>
      <c r="S122" s="61"/>
    </row>
    <row r="123" spans="1:19" ht="17.25" customHeight="1">
      <c r="A123" s="11">
        <v>42277</v>
      </c>
      <c r="B123" s="24"/>
      <c r="C123" s="11">
        <f t="shared" si="24"/>
        <v>42277</v>
      </c>
      <c r="D123" s="17" t="s">
        <v>214</v>
      </c>
      <c r="E123" s="12" t="s">
        <v>42</v>
      </c>
      <c r="F123" s="9"/>
      <c r="G123" s="20">
        <v>272658000</v>
      </c>
      <c r="H123" s="5">
        <f t="shared" si="22"/>
        <v>690020200</v>
      </c>
      <c r="I123" s="5">
        <f t="shared" si="23"/>
        <v>0</v>
      </c>
      <c r="J123" s="37">
        <f t="shared" si="21"/>
        <v>9</v>
      </c>
      <c r="K123" s="207" t="s">
        <v>346</v>
      </c>
      <c r="N123" s="93"/>
      <c r="O123" s="51"/>
      <c r="P123" s="54"/>
      <c r="Q123" s="149"/>
      <c r="R123" s="111"/>
      <c r="S123" s="61"/>
    </row>
    <row r="124" spans="1:19" ht="17.25" customHeight="1">
      <c r="A124" s="11">
        <v>42277</v>
      </c>
      <c r="B124" s="24"/>
      <c r="C124" s="11">
        <f t="shared" si="24"/>
        <v>42277</v>
      </c>
      <c r="D124" s="17" t="s">
        <v>215</v>
      </c>
      <c r="E124" s="12" t="s">
        <v>42</v>
      </c>
      <c r="F124" s="9"/>
      <c r="G124" s="20">
        <v>119922000</v>
      </c>
      <c r="H124" s="5">
        <f t="shared" si="22"/>
        <v>570098200</v>
      </c>
      <c r="I124" s="5">
        <f t="shared" si="23"/>
        <v>0</v>
      </c>
      <c r="J124" s="37">
        <f t="shared" si="21"/>
        <v>9</v>
      </c>
      <c r="K124" s="206" t="s">
        <v>347</v>
      </c>
      <c r="N124" s="93"/>
      <c r="O124" s="51"/>
      <c r="P124" s="54"/>
      <c r="Q124" s="149"/>
      <c r="R124" s="111"/>
      <c r="S124" s="61"/>
    </row>
    <row r="125" spans="1:19" ht="17.25" customHeight="1">
      <c r="A125" s="11">
        <v>42277</v>
      </c>
      <c r="B125" s="24"/>
      <c r="C125" s="11">
        <f t="shared" si="24"/>
        <v>42277</v>
      </c>
      <c r="D125" s="17" t="s">
        <v>295</v>
      </c>
      <c r="E125" s="12" t="s">
        <v>42</v>
      </c>
      <c r="F125" s="55"/>
      <c r="G125" s="20">
        <v>188908000</v>
      </c>
      <c r="H125" s="5">
        <f t="shared" si="22"/>
        <v>381190200</v>
      </c>
      <c r="I125" s="5">
        <f t="shared" si="23"/>
        <v>0</v>
      </c>
      <c r="J125" s="37">
        <f t="shared" si="21"/>
        <v>9</v>
      </c>
      <c r="K125" s="206" t="s">
        <v>223</v>
      </c>
      <c r="N125" s="93"/>
      <c r="O125" s="51"/>
      <c r="P125" s="54"/>
      <c r="Q125" s="110"/>
      <c r="R125" s="116"/>
      <c r="S125" s="61"/>
    </row>
    <row r="126" spans="1:19" ht="17.25" customHeight="1">
      <c r="A126" s="11">
        <v>42277</v>
      </c>
      <c r="B126" s="24"/>
      <c r="C126" s="11">
        <f t="shared" si="24"/>
        <v>42277</v>
      </c>
      <c r="D126" s="17" t="s">
        <v>216</v>
      </c>
      <c r="E126" s="12" t="s">
        <v>42</v>
      </c>
      <c r="F126" s="55"/>
      <c r="G126" s="20">
        <v>203054800</v>
      </c>
      <c r="H126" s="5">
        <f t="shared" si="22"/>
        <v>178135400</v>
      </c>
      <c r="I126" s="5">
        <f t="shared" si="23"/>
        <v>0</v>
      </c>
      <c r="J126" s="37">
        <f t="shared" si="21"/>
        <v>9</v>
      </c>
      <c r="K126" s="209" t="s">
        <v>348</v>
      </c>
      <c r="N126" s="93"/>
      <c r="O126" s="51"/>
      <c r="P126" s="54"/>
      <c r="Q126" s="110"/>
      <c r="R126" s="116"/>
      <c r="S126" s="61"/>
    </row>
    <row r="127" spans="1:19" ht="17.25" customHeight="1">
      <c r="A127" s="11">
        <v>42277</v>
      </c>
      <c r="B127" s="24"/>
      <c r="C127" s="11">
        <f t="shared" si="24"/>
        <v>42277</v>
      </c>
      <c r="D127" s="17" t="s">
        <v>213</v>
      </c>
      <c r="E127" s="12" t="s">
        <v>42</v>
      </c>
      <c r="F127" s="55"/>
      <c r="G127" s="20">
        <v>171017400</v>
      </c>
      <c r="H127" s="5">
        <f t="shared" si="22"/>
        <v>7118000</v>
      </c>
      <c r="I127" s="5">
        <f t="shared" si="23"/>
        <v>0</v>
      </c>
      <c r="J127" s="37">
        <f t="shared" si="21"/>
        <v>9</v>
      </c>
      <c r="K127" s="211"/>
      <c r="N127" s="93"/>
      <c r="O127" s="51"/>
      <c r="P127" s="54"/>
      <c r="Q127" s="110"/>
      <c r="R127" s="116"/>
      <c r="S127" s="61"/>
    </row>
    <row r="128" spans="1:19" ht="17.25" customHeight="1">
      <c r="A128" s="14"/>
      <c r="B128" s="24"/>
      <c r="C128" s="11">
        <f t="shared" si="24"/>
        <v>0</v>
      </c>
      <c r="D128" s="17"/>
      <c r="E128" s="38"/>
      <c r="F128" s="55"/>
      <c r="G128" s="20"/>
      <c r="H128" s="5">
        <f t="shared" si="22"/>
        <v>7118000</v>
      </c>
      <c r="I128" s="5">
        <f t="shared" si="23"/>
        <v>0</v>
      </c>
      <c r="J128" s="37" t="str">
        <f t="shared" si="21"/>
        <v/>
      </c>
      <c r="K128" s="211"/>
      <c r="N128" s="93"/>
      <c r="O128" s="51"/>
      <c r="P128" s="54"/>
      <c r="Q128" s="110"/>
      <c r="R128" s="116"/>
      <c r="S128" s="61"/>
    </row>
    <row r="129" spans="1:19" ht="17.25" customHeight="1">
      <c r="A129" s="14"/>
      <c r="B129" s="24"/>
      <c r="C129" s="11"/>
      <c r="D129" s="17"/>
      <c r="E129" s="12"/>
      <c r="F129" s="9"/>
      <c r="G129" s="20"/>
      <c r="H129" s="5">
        <f t="shared" si="22"/>
        <v>7118000</v>
      </c>
      <c r="I129" s="5">
        <f t="shared" si="23"/>
        <v>0</v>
      </c>
      <c r="J129" s="37" t="str">
        <f t="shared" si="21"/>
        <v/>
      </c>
      <c r="K129" s="207"/>
      <c r="N129" s="93"/>
      <c r="O129" s="51"/>
      <c r="P129" s="54"/>
      <c r="Q129" s="149"/>
      <c r="R129" s="111"/>
      <c r="S129" s="61"/>
    </row>
    <row r="130" spans="1:19" ht="17.25" customHeight="1">
      <c r="A130" s="14"/>
      <c r="B130" s="24"/>
      <c r="C130" s="11"/>
      <c r="D130" s="17"/>
      <c r="E130" s="12"/>
      <c r="F130" s="9"/>
      <c r="G130" s="20"/>
      <c r="H130" s="5">
        <f t="shared" si="22"/>
        <v>7118000</v>
      </c>
      <c r="I130" s="5">
        <f t="shared" si="23"/>
        <v>0</v>
      </c>
      <c r="J130" s="37" t="str">
        <f t="shared" si="21"/>
        <v/>
      </c>
      <c r="K130" s="207"/>
      <c r="N130" s="93"/>
      <c r="O130" s="51"/>
      <c r="P130" s="54"/>
      <c r="Q130" s="149"/>
      <c r="R130" s="111"/>
      <c r="S130" s="61"/>
    </row>
    <row r="131" spans="1:19" ht="17.25" customHeight="1">
      <c r="A131" s="14"/>
      <c r="B131" s="24"/>
      <c r="C131" s="11"/>
      <c r="D131" s="17"/>
      <c r="E131" s="12"/>
      <c r="F131" s="9"/>
      <c r="G131" s="20"/>
      <c r="H131" s="5">
        <f t="shared" si="22"/>
        <v>7118000</v>
      </c>
      <c r="I131" s="5">
        <f t="shared" si="23"/>
        <v>0</v>
      </c>
      <c r="J131" s="37" t="str">
        <f t="shared" ref="J131:J141" si="25">IF(A131&lt;&gt;"",MONTH(A131),"")</f>
        <v/>
      </c>
      <c r="K131" s="207"/>
      <c r="N131" s="93"/>
      <c r="O131" s="51"/>
      <c r="P131" s="54"/>
      <c r="Q131" s="149"/>
      <c r="R131" s="111"/>
      <c r="S131" s="61"/>
    </row>
    <row r="132" spans="1:19" ht="17.25" customHeight="1">
      <c r="A132" s="14"/>
      <c r="B132" s="24"/>
      <c r="C132" s="11"/>
      <c r="D132" s="17"/>
      <c r="E132" s="12"/>
      <c r="F132" s="9"/>
      <c r="G132" s="20"/>
      <c r="H132" s="5">
        <f t="shared" si="22"/>
        <v>7118000</v>
      </c>
      <c r="I132" s="5">
        <f t="shared" si="23"/>
        <v>0</v>
      </c>
      <c r="J132" s="37" t="str">
        <f t="shared" si="25"/>
        <v/>
      </c>
      <c r="K132" s="207"/>
      <c r="N132" s="93"/>
      <c r="O132" s="51"/>
      <c r="P132" s="54"/>
      <c r="Q132" s="149"/>
      <c r="R132" s="111"/>
      <c r="S132" s="61"/>
    </row>
    <row r="133" spans="1:19" ht="17.25" customHeight="1">
      <c r="A133" s="14"/>
      <c r="B133" s="24"/>
      <c r="C133" s="11"/>
      <c r="D133" s="17"/>
      <c r="E133" s="12"/>
      <c r="F133" s="9"/>
      <c r="G133" s="20"/>
      <c r="H133" s="5">
        <f t="shared" si="22"/>
        <v>7118000</v>
      </c>
      <c r="I133" s="5">
        <f t="shared" si="23"/>
        <v>0</v>
      </c>
      <c r="J133" s="37" t="str">
        <f t="shared" si="25"/>
        <v/>
      </c>
      <c r="K133" s="207"/>
      <c r="N133" s="93"/>
      <c r="O133" s="51"/>
      <c r="P133" s="54"/>
      <c r="Q133" s="149"/>
      <c r="R133" s="111"/>
      <c r="S133" s="61"/>
    </row>
    <row r="134" spans="1:19" ht="17.25" customHeight="1">
      <c r="A134" s="14"/>
      <c r="B134" s="24"/>
      <c r="C134" s="11"/>
      <c r="D134" s="17"/>
      <c r="E134" s="38"/>
      <c r="F134" s="60"/>
      <c r="G134" s="20"/>
      <c r="H134" s="5">
        <f t="shared" si="22"/>
        <v>7118000</v>
      </c>
      <c r="I134" s="5">
        <f t="shared" si="23"/>
        <v>0</v>
      </c>
      <c r="J134" s="37" t="str">
        <f t="shared" si="25"/>
        <v/>
      </c>
      <c r="K134" s="212"/>
      <c r="N134" s="93"/>
      <c r="O134" s="51"/>
      <c r="P134" s="54"/>
      <c r="Q134" s="110"/>
      <c r="R134" s="117"/>
      <c r="S134" s="61"/>
    </row>
    <row r="135" spans="1:19" ht="17.25" customHeight="1">
      <c r="A135" s="14"/>
      <c r="B135" s="24"/>
      <c r="C135" s="11"/>
      <c r="D135" s="17"/>
      <c r="E135" s="38"/>
      <c r="F135" s="60"/>
      <c r="G135" s="20"/>
      <c r="H135" s="5">
        <f t="shared" si="22"/>
        <v>7118000</v>
      </c>
      <c r="I135" s="5">
        <f t="shared" si="23"/>
        <v>0</v>
      </c>
      <c r="J135" s="37" t="str">
        <f t="shared" si="25"/>
        <v/>
      </c>
      <c r="K135" s="212"/>
      <c r="N135" s="93"/>
      <c r="O135" s="51"/>
      <c r="P135" s="54"/>
      <c r="Q135" s="110"/>
      <c r="R135" s="117"/>
      <c r="S135" s="61"/>
    </row>
    <row r="136" spans="1:19" ht="17.25" customHeight="1">
      <c r="A136" s="11"/>
      <c r="B136" s="11"/>
      <c r="C136" s="11"/>
      <c r="D136" s="17"/>
      <c r="E136" s="38"/>
      <c r="F136" s="60"/>
      <c r="G136" s="20"/>
      <c r="H136" s="5">
        <f t="shared" si="22"/>
        <v>7118000</v>
      </c>
      <c r="I136" s="5">
        <f t="shared" si="23"/>
        <v>0</v>
      </c>
      <c r="J136" s="37" t="str">
        <f t="shared" si="25"/>
        <v/>
      </c>
      <c r="N136" s="51"/>
      <c r="O136" s="51"/>
      <c r="P136" s="54"/>
      <c r="Q136" s="110"/>
      <c r="R136" s="117"/>
      <c r="S136" s="61"/>
    </row>
    <row r="137" spans="1:19" ht="17.25" customHeight="1">
      <c r="A137" s="11"/>
      <c r="B137" s="11"/>
      <c r="C137" s="11"/>
      <c r="D137" s="17"/>
      <c r="E137" s="38"/>
      <c r="F137" s="60"/>
      <c r="G137" s="20"/>
      <c r="H137" s="5">
        <f t="shared" si="22"/>
        <v>7118000</v>
      </c>
      <c r="I137" s="5">
        <f t="shared" si="23"/>
        <v>0</v>
      </c>
      <c r="J137" s="37" t="str">
        <f t="shared" si="25"/>
        <v/>
      </c>
      <c r="N137" s="51"/>
      <c r="O137" s="51"/>
      <c r="P137" s="54"/>
      <c r="Q137" s="110"/>
      <c r="R137" s="117"/>
      <c r="S137" s="61"/>
    </row>
    <row r="138" spans="1:19" ht="17.25" customHeight="1">
      <c r="A138" s="11"/>
      <c r="B138" s="11"/>
      <c r="C138" s="11"/>
      <c r="D138" s="17"/>
      <c r="E138" s="38"/>
      <c r="F138" s="60"/>
      <c r="G138" s="20"/>
      <c r="H138" s="5">
        <f t="shared" si="22"/>
        <v>7118000</v>
      </c>
      <c r="I138" s="5">
        <f t="shared" si="23"/>
        <v>0</v>
      </c>
      <c r="J138" s="37" t="str">
        <f t="shared" si="25"/>
        <v/>
      </c>
      <c r="N138" s="51"/>
      <c r="O138" s="51"/>
      <c r="P138" s="54"/>
      <c r="Q138" s="110"/>
      <c r="R138" s="117"/>
      <c r="S138" s="61"/>
    </row>
    <row r="139" spans="1:19" ht="17.25" customHeight="1">
      <c r="A139" s="11"/>
      <c r="B139" s="26"/>
      <c r="C139" s="11"/>
      <c r="D139" s="17"/>
      <c r="E139" s="26"/>
      <c r="F139" s="4"/>
      <c r="G139" s="5"/>
      <c r="H139" s="5"/>
      <c r="I139" s="5"/>
      <c r="J139" s="37" t="str">
        <f t="shared" si="25"/>
        <v/>
      </c>
      <c r="N139" s="19"/>
      <c r="O139" s="51"/>
      <c r="P139" s="54"/>
      <c r="Q139" s="19"/>
      <c r="R139" s="108"/>
      <c r="S139" s="62"/>
    </row>
    <row r="140" spans="1:19" ht="17.25" customHeight="1">
      <c r="A140" s="11"/>
      <c r="B140" s="26"/>
      <c r="C140" s="11"/>
      <c r="D140" s="49" t="s">
        <v>22</v>
      </c>
      <c r="E140" s="50" t="s">
        <v>23</v>
      </c>
      <c r="F140" s="7">
        <f>SUM(F16:F139)</f>
        <v>14850000000</v>
      </c>
      <c r="G140" s="7">
        <f>SUM(G16:G139)</f>
        <v>14842882000</v>
      </c>
      <c r="H140" s="7" t="s">
        <v>23</v>
      </c>
      <c r="I140" s="7" t="s">
        <v>23</v>
      </c>
      <c r="J140" s="37" t="str">
        <f t="shared" si="25"/>
        <v/>
      </c>
      <c r="N140" s="19"/>
      <c r="O140" s="51"/>
      <c r="P140" s="107"/>
      <c r="Q140" s="19"/>
      <c r="R140" s="108"/>
      <c r="S140" s="108"/>
    </row>
    <row r="141" spans="1:19" ht="17.25" customHeight="1">
      <c r="A141" s="41"/>
      <c r="B141" s="44"/>
      <c r="C141" s="41"/>
      <c r="D141" s="43" t="s">
        <v>24</v>
      </c>
      <c r="E141" s="44" t="s">
        <v>23</v>
      </c>
      <c r="F141" s="6" t="s">
        <v>23</v>
      </c>
      <c r="G141" s="8" t="s">
        <v>23</v>
      </c>
      <c r="H141" s="8">
        <f>IF(H15-I15+F140-G140&gt;0,H15-I15+F140-G140,0)</f>
        <v>7118000</v>
      </c>
      <c r="I141" s="8">
        <f>IF(I15-H15+G140-F140&gt;0,I15-H15+G140-F140,0)</f>
        <v>0</v>
      </c>
      <c r="J141" s="37" t="str">
        <f t="shared" si="25"/>
        <v/>
      </c>
      <c r="N141" s="19"/>
      <c r="O141" s="51"/>
      <c r="P141" s="107"/>
      <c r="Q141" s="19"/>
      <c r="R141" s="108"/>
      <c r="S141" s="62"/>
    </row>
    <row r="142" spans="1:19">
      <c r="A142" s="28"/>
      <c r="B142" s="28"/>
      <c r="C142" s="28"/>
      <c r="D142" s="29"/>
      <c r="E142" s="28"/>
      <c r="F142" s="28"/>
      <c r="G142" s="45"/>
      <c r="H142" s="57"/>
      <c r="I142" s="46"/>
      <c r="N142" s="19"/>
      <c r="O142" s="19"/>
      <c r="P142" s="54"/>
      <c r="Q142" s="19"/>
      <c r="R142" s="19"/>
      <c r="S142" s="62"/>
    </row>
    <row r="143" spans="1:19">
      <c r="A143" s="28"/>
      <c r="B143" s="28"/>
      <c r="C143" s="47" t="s">
        <v>48</v>
      </c>
      <c r="D143" s="29"/>
      <c r="E143" s="28"/>
      <c r="F143" s="28"/>
      <c r="G143" s="45"/>
      <c r="H143" s="56"/>
      <c r="I143" s="45"/>
      <c r="N143" s="19"/>
      <c r="O143" s="120"/>
      <c r="P143" s="54"/>
      <c r="Q143" s="19"/>
      <c r="R143" s="19"/>
      <c r="S143" s="62"/>
    </row>
    <row r="144" spans="1:19">
      <c r="A144" s="28"/>
      <c r="B144" s="28"/>
      <c r="C144" s="47" t="s">
        <v>151</v>
      </c>
      <c r="D144" s="29"/>
      <c r="E144" s="28"/>
      <c r="F144" s="28"/>
      <c r="G144" s="45"/>
      <c r="H144" s="28"/>
      <c r="I144" s="46"/>
      <c r="J144" s="23"/>
      <c r="N144" s="19"/>
      <c r="O144" s="120"/>
      <c r="P144" s="54"/>
      <c r="Q144" s="19"/>
      <c r="R144" s="19"/>
      <c r="S144" s="62"/>
    </row>
    <row r="145" spans="1:19">
      <c r="A145" s="28"/>
      <c r="B145" s="28"/>
      <c r="C145" s="28"/>
      <c r="D145" s="29"/>
      <c r="E145" s="303" t="s">
        <v>167</v>
      </c>
      <c r="F145" s="303"/>
      <c r="G145" s="303"/>
      <c r="H145" s="303"/>
      <c r="I145" s="303"/>
      <c r="J145" s="51"/>
      <c r="L145" s="59"/>
      <c r="M145" s="59"/>
      <c r="N145" s="19"/>
      <c r="O145" s="19"/>
      <c r="P145" s="54"/>
      <c r="Q145" s="118"/>
      <c r="R145" s="59"/>
      <c r="S145" s="59"/>
    </row>
    <row r="146" spans="1:19">
      <c r="A146" s="303" t="s">
        <v>25</v>
      </c>
      <c r="B146" s="303"/>
      <c r="C146" s="303"/>
      <c r="D146" s="303"/>
      <c r="E146" s="303" t="s">
        <v>26</v>
      </c>
      <c r="F146" s="303"/>
      <c r="G146" s="303"/>
      <c r="H146" s="303"/>
      <c r="I146" s="303"/>
      <c r="J146" s="51"/>
      <c r="L146" s="59"/>
      <c r="M146" s="59"/>
      <c r="N146" s="59"/>
      <c r="O146" s="59"/>
      <c r="P146" s="59"/>
      <c r="Q146" s="118"/>
      <c r="R146" s="59"/>
      <c r="S146" s="59"/>
    </row>
    <row r="147" spans="1:19">
      <c r="A147" s="303" t="s">
        <v>27</v>
      </c>
      <c r="B147" s="303"/>
      <c r="C147" s="303"/>
      <c r="D147" s="303"/>
      <c r="E147" s="303" t="s">
        <v>27</v>
      </c>
      <c r="F147" s="303"/>
      <c r="G147" s="303"/>
      <c r="H147" s="303"/>
      <c r="I147" s="303"/>
      <c r="J147" s="61"/>
      <c r="K147" s="207"/>
      <c r="L147" s="61"/>
      <c r="M147" s="59"/>
      <c r="N147" s="59"/>
      <c r="O147" s="59"/>
      <c r="P147" s="59"/>
      <c r="Q147" s="118"/>
      <c r="R147" s="59"/>
      <c r="S147" s="59"/>
    </row>
    <row r="148" spans="1:19">
      <c r="A148" s="28"/>
      <c r="B148" s="28"/>
      <c r="C148" s="28"/>
      <c r="D148" s="29"/>
      <c r="E148" s="28"/>
      <c r="F148" s="28"/>
      <c r="G148" s="45"/>
      <c r="H148" s="28"/>
      <c r="I148" s="28"/>
      <c r="J148" s="61"/>
      <c r="L148" s="61"/>
      <c r="M148" s="59"/>
      <c r="N148" s="28"/>
      <c r="O148" s="28"/>
      <c r="P148" s="29"/>
      <c r="Q148" s="28"/>
      <c r="R148" s="28"/>
      <c r="S148" s="45"/>
    </row>
    <row r="149" spans="1:19">
      <c r="J149" s="61"/>
      <c r="L149" s="61"/>
      <c r="M149" s="59"/>
    </row>
    <row r="150" spans="1:19">
      <c r="C150" s="52"/>
      <c r="F150" s="13"/>
      <c r="J150" s="61"/>
      <c r="L150" s="61"/>
      <c r="M150" s="59"/>
      <c r="O150" s="52"/>
      <c r="R150" s="13"/>
    </row>
    <row r="151" spans="1:19">
      <c r="C151" s="52"/>
      <c r="F151" s="13"/>
      <c r="J151" s="61"/>
      <c r="K151" s="210"/>
      <c r="L151" s="61"/>
      <c r="M151" s="59"/>
      <c r="O151" s="52"/>
      <c r="R151" s="13"/>
    </row>
    <row r="152" spans="1:19">
      <c r="C152" s="52"/>
      <c r="F152" s="13"/>
      <c r="J152" s="61"/>
      <c r="K152" s="210"/>
      <c r="L152" s="61"/>
      <c r="M152" s="59"/>
      <c r="O152" s="52"/>
      <c r="R152" s="13"/>
    </row>
    <row r="153" spans="1:19">
      <c r="C153" s="52"/>
      <c r="F153" s="13"/>
      <c r="J153" s="61"/>
      <c r="K153" s="210"/>
      <c r="L153" s="61"/>
      <c r="M153" s="59"/>
      <c r="O153" s="52"/>
      <c r="R153" s="13"/>
    </row>
    <row r="154" spans="1:19">
      <c r="C154" s="52"/>
      <c r="F154" s="13"/>
      <c r="J154" s="61"/>
      <c r="K154" s="210"/>
      <c r="L154" s="61"/>
      <c r="M154" s="59"/>
      <c r="O154" s="52"/>
      <c r="R154" s="13"/>
    </row>
    <row r="155" spans="1:19">
      <c r="C155" s="52"/>
      <c r="F155" s="13"/>
      <c r="J155" s="61"/>
      <c r="K155" s="210"/>
      <c r="L155" s="62"/>
      <c r="M155" s="59"/>
      <c r="O155" s="52"/>
      <c r="R155" s="13"/>
    </row>
    <row r="156" spans="1:19">
      <c r="C156" s="52"/>
      <c r="F156" s="13"/>
      <c r="J156" s="59"/>
      <c r="K156" s="211"/>
      <c r="L156" s="59"/>
      <c r="M156" s="59"/>
      <c r="O156" s="52"/>
      <c r="R156" s="13"/>
    </row>
    <row r="157" spans="1:19">
      <c r="C157" s="52"/>
      <c r="F157" s="13"/>
      <c r="J157" s="59"/>
      <c r="K157" s="211"/>
      <c r="L157" s="59"/>
      <c r="M157" s="59"/>
      <c r="O157" s="52"/>
      <c r="R157" s="13"/>
    </row>
    <row r="158" spans="1:19">
      <c r="C158" s="52"/>
      <c r="F158" s="13"/>
      <c r="J158" s="59"/>
      <c r="K158" s="211"/>
      <c r="L158" s="59"/>
      <c r="M158" s="59"/>
      <c r="O158" s="52"/>
      <c r="R158" s="13"/>
    </row>
    <row r="159" spans="1:19">
      <c r="K159" s="211"/>
    </row>
    <row r="160" spans="1:19">
      <c r="K160" s="211"/>
    </row>
    <row r="161" spans="11:11">
      <c r="K161" s="211"/>
    </row>
    <row r="162" spans="11:11">
      <c r="K162" s="211"/>
    </row>
    <row r="163" spans="11:11">
      <c r="K163" s="211"/>
    </row>
    <row r="164" spans="11:11">
      <c r="K164" s="211"/>
    </row>
    <row r="165" spans="11:11">
      <c r="K165" s="211"/>
    </row>
  </sheetData>
  <autoFilter ref="A14:Q138"/>
  <mergeCells count="33">
    <mergeCell ref="G2:I2"/>
    <mergeCell ref="G3:I4"/>
    <mergeCell ref="N11:O11"/>
    <mergeCell ref="P11:P13"/>
    <mergeCell ref="Q11:Q13"/>
    <mergeCell ref="A7:I7"/>
    <mergeCell ref="A8:I8"/>
    <mergeCell ref="A9:I9"/>
    <mergeCell ref="C10:I10"/>
    <mergeCell ref="A5:I5"/>
    <mergeCell ref="A6:I6"/>
    <mergeCell ref="H11:I11"/>
    <mergeCell ref="B11:C11"/>
    <mergeCell ref="B12:B13"/>
    <mergeCell ref="C12:C13"/>
    <mergeCell ref="A11:A13"/>
    <mergeCell ref="R11:S11"/>
    <mergeCell ref="N12:N13"/>
    <mergeCell ref="O12:O13"/>
    <mergeCell ref="R12:R13"/>
    <mergeCell ref="S12:S13"/>
    <mergeCell ref="A147:D147"/>
    <mergeCell ref="E147:I147"/>
    <mergeCell ref="E145:I145"/>
    <mergeCell ref="G12:G13"/>
    <mergeCell ref="H12:H13"/>
    <mergeCell ref="I12:I13"/>
    <mergeCell ref="F12:F13"/>
    <mergeCell ref="D11:D13"/>
    <mergeCell ref="E11:E13"/>
    <mergeCell ref="F11:G11"/>
    <mergeCell ref="A146:D146"/>
    <mergeCell ref="E146:I146"/>
  </mergeCells>
  <phoneticPr fontId="29" type="noConversion"/>
  <pageMargins left="0.7" right="0.13" top="0.16" bottom="0.39" header="0.16" footer="0.15"/>
  <pageSetup scale="85" orientation="portrait" verticalDpi="0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G115"/>
  <sheetViews>
    <sheetView topLeftCell="A2" workbookViewId="0">
      <pane ySplit="11" topLeftCell="A13" activePane="bottomLeft" state="frozen"/>
      <selection activeCell="A2" sqref="A2"/>
      <selection pane="bottomLeft" activeCell="D4" sqref="D4"/>
    </sheetView>
  </sheetViews>
  <sheetFormatPr defaultRowHeight="16.5"/>
  <cols>
    <col min="1" max="1" width="83.28515625" style="68" customWidth="1"/>
    <col min="2" max="2" width="18.42578125" style="68" customWidth="1"/>
    <col min="3" max="3" width="9.140625" style="127"/>
    <col min="4" max="4" width="10.5703125" style="127" customWidth="1"/>
    <col min="5" max="5" width="5.5703125" style="127" customWidth="1"/>
    <col min="6" max="6" width="4.85546875" style="127" customWidth="1"/>
    <col min="7" max="7" width="9.140625" style="127"/>
    <col min="8" max="16384" width="9.140625" style="68"/>
  </cols>
  <sheetData>
    <row r="1" spans="1:7" s="66" customFormat="1" ht="12.75" customHeight="1">
      <c r="A1" s="15" t="s">
        <v>0</v>
      </c>
      <c r="B1" s="65"/>
      <c r="C1" s="123"/>
      <c r="D1" s="123"/>
      <c r="E1" s="124"/>
      <c r="F1" s="125"/>
      <c r="G1" s="125"/>
    </row>
    <row r="2" spans="1:7" s="66" customFormat="1" ht="12.75" customHeight="1">
      <c r="A2" s="15" t="s">
        <v>1</v>
      </c>
      <c r="B2" s="67"/>
      <c r="C2" s="123"/>
      <c r="D2" s="126" t="s">
        <v>106</v>
      </c>
      <c r="E2" s="124"/>
      <c r="F2" s="125"/>
      <c r="G2" s="125"/>
    </row>
    <row r="3" spans="1:7" ht="24" customHeight="1">
      <c r="A3" s="321" t="s">
        <v>76</v>
      </c>
      <c r="B3" s="321"/>
      <c r="D3" s="94">
        <v>8</v>
      </c>
    </row>
    <row r="4" spans="1:7" ht="12" customHeight="1">
      <c r="A4" s="303" t="str">
        <f ca="1">IF(ROWS($1:1)&gt;COUNT(Dong02),"","Ngày  "&amp;DAY(OFFSET('141-BH'!O$1,SMALL(Dong02,ROWS($1:1)),))&amp;"  tháng  "&amp;MONTH(OFFSET('141-BH'!O$1,SMALL(Dong02,ROWS($1:1)),))&amp;"   năm   "&amp;YEAR(OFFSET('141-BH'!O$1,SMALL(Dong02,ROWS($1:1)),)))</f>
        <v>Ngày  31  tháng  8   năm   2015</v>
      </c>
      <c r="B4" s="303"/>
      <c r="C4" s="54"/>
      <c r="D4" s="54"/>
    </row>
    <row r="5" spans="1:7" ht="12" customHeight="1">
      <c r="A5" s="322"/>
      <c r="B5" s="69" t="str">
        <f ca="1">IF(ROWS($1:1)&gt;COUNT(Dong02),"","Số:   "&amp;OFFSET('141-BH'!P$1,SMALL(Dong02,ROWS($1:1)),))</f>
        <v>Số:   0</v>
      </c>
    </row>
    <row r="6" spans="1:7" ht="12" customHeight="1">
      <c r="A6" s="322"/>
      <c r="B6" s="69" t="s">
        <v>77</v>
      </c>
    </row>
    <row r="7" spans="1:7" ht="12" customHeight="1">
      <c r="A7" s="322"/>
      <c r="B7" s="69" t="s">
        <v>78</v>
      </c>
    </row>
    <row r="8" spans="1:7" ht="13.5" customHeight="1">
      <c r="A8" s="70" t="s">
        <v>79</v>
      </c>
    </row>
    <row r="9" spans="1:7" ht="13.5" customHeight="1">
      <c r="A9" s="70" t="s">
        <v>80</v>
      </c>
    </row>
    <row r="10" spans="1:7" ht="13.5" customHeight="1">
      <c r="A10" s="71" t="s">
        <v>81</v>
      </c>
    </row>
    <row r="11" spans="1:7" s="73" customFormat="1" ht="19.5" customHeight="1">
      <c r="A11" s="72" t="s">
        <v>8</v>
      </c>
      <c r="B11" s="72" t="s">
        <v>82</v>
      </c>
      <c r="C11" s="83"/>
      <c r="D11" s="83"/>
      <c r="E11" s="83"/>
      <c r="F11" s="83"/>
      <c r="G11" s="83"/>
    </row>
    <row r="12" spans="1:7" ht="12.75" customHeight="1">
      <c r="A12" s="74" t="s">
        <v>16</v>
      </c>
      <c r="B12" s="74" t="s">
        <v>83</v>
      </c>
    </row>
    <row r="13" spans="1:7" s="73" customFormat="1" ht="18.75" customHeight="1">
      <c r="A13" s="75" t="s">
        <v>84</v>
      </c>
      <c r="B13" s="76">
        <f ca="1">B14+B15</f>
        <v>17787000</v>
      </c>
      <c r="C13" s="83"/>
      <c r="D13" s="83"/>
      <c r="E13" s="83"/>
      <c r="F13" s="83"/>
      <c r="G13" s="83"/>
    </row>
    <row r="14" spans="1:7" ht="18.75" customHeight="1">
      <c r="A14" s="77" t="s">
        <v>85</v>
      </c>
      <c r="B14" s="78">
        <f ca="1">IF(ROWS($1:1)&gt;COUNT(Dau),"",OFFSET('141-BH'!H$1,SMALL(Dau,COUNT(Dau)),))</f>
        <v>17787000</v>
      </c>
    </row>
    <row r="15" spans="1:7" ht="18.75" customHeight="1">
      <c r="A15" s="77" t="s">
        <v>86</v>
      </c>
      <c r="B15" s="78">
        <f ca="1">SUM(B16:B22)</f>
        <v>0</v>
      </c>
    </row>
    <row r="16" spans="1:7" s="82" customFormat="1" ht="18.75" customHeight="1">
      <c r="A16" s="79" t="str">
        <f ca="1">IF(ROWS($1:1)&gt;COUNT(Dong01),"","- Phiếu chi số: ........"&amp;OFFSET('141-BH'!P$1,SMALL(Dong01,ROWS($1:1)),)&amp;".....ngày...."&amp;DAY(OFFSET('141-BH'!O$1,SMALL(Dong01,ROWS($1:1)),))&amp;"/"&amp;MONTH(OFFSET('141-BH'!O$1,SMALL(Dong01,ROWS($1:1)),))&amp;"/"&amp;YEAR(OFFSET('141-BH'!O$1,SMALL(Dong01,ROWS($1:1)),)))</f>
        <v/>
      </c>
      <c r="B16" s="80" t="str">
        <f ca="1">IF(ROWS($1:1)&gt;COUNT(Dong01),"",OFFSET('141-BH'!S$1,SMALL(Dong01,ROWS($1:1)),))</f>
        <v/>
      </c>
      <c r="C16" s="128"/>
      <c r="D16" s="129"/>
      <c r="E16" s="81"/>
      <c r="F16" s="130"/>
      <c r="G16" s="131"/>
    </row>
    <row r="17" spans="1:7" s="82" customFormat="1" ht="18.75" customHeight="1">
      <c r="A17" s="79" t="str">
        <f ca="1">IF(ROWS($1:2)&gt;COUNT(Dong01),"","- Phiếu chi số: ........"&amp;OFFSET('141-BH'!P$1,SMALL(Dong01,ROWS($1:2)),)&amp;".....ngày...."&amp;DAY(OFFSET('141-BH'!O$1,SMALL(Dong01,ROWS($1:2)),))&amp;"/"&amp;MONTH(OFFSET('141-BH'!O$1,SMALL(Dong01,ROWS($1:2)),))&amp;"/"&amp;YEAR(OFFSET('141-BH'!O$1,SMALL(Dong01,ROWS($1:2)),)))</f>
        <v/>
      </c>
      <c r="B17" s="80" t="str">
        <f ca="1">IF(ROWS($1:2)&gt;COUNT(Dong01),"",OFFSET('141-BH'!S$1,SMALL(Dong01,ROWS($1:2)),))</f>
        <v/>
      </c>
      <c r="C17" s="128"/>
      <c r="D17" s="129"/>
      <c r="E17" s="81"/>
      <c r="F17" s="130"/>
      <c r="G17" s="131"/>
    </row>
    <row r="18" spans="1:7" s="82" customFormat="1" ht="18.75" customHeight="1">
      <c r="A18" s="79" t="str">
        <f ca="1">IF(ROWS($1:3)&gt;COUNT(Dong01),"","- Phiếu chi số: ........"&amp;OFFSET('141-BH'!P$1,SMALL(Dong01,ROWS($1:3)),)&amp;".....ngày...."&amp;DAY(OFFSET('141-BH'!O$1,SMALL(Dong01,ROWS($1:3)),))&amp;"/"&amp;MONTH(OFFSET('141-BH'!O$1,SMALL(Dong01,ROWS($1:3)),))&amp;"/"&amp;YEAR(OFFSET('141-BH'!O$1,SMALL(Dong01,ROWS($1:3)),)))</f>
        <v/>
      </c>
      <c r="B18" s="80" t="str">
        <f ca="1">IF(ROWS($1:3)&gt;COUNT(Dong01),"",OFFSET('141-BH'!S$1,SMALL(Dong01,ROWS($1:3)),))</f>
        <v/>
      </c>
      <c r="C18" s="128"/>
      <c r="D18" s="129"/>
      <c r="E18" s="81"/>
      <c r="F18" s="130"/>
      <c r="G18" s="131"/>
    </row>
    <row r="19" spans="1:7" s="82" customFormat="1" ht="18.75" customHeight="1">
      <c r="A19" s="79" t="str">
        <f ca="1">IF(ROWS($1:4)&gt;COUNT(Dong01),"","- Phiếu chi số: ........"&amp;OFFSET('141-BH'!P$1,SMALL(Dong01,ROWS($1:4)),)&amp;".....ngày...."&amp;DAY(OFFSET('141-BH'!O$1,SMALL(Dong01,ROWS($1:4)),))&amp;"/"&amp;MONTH(OFFSET('141-BH'!O$1,SMALL(Dong01,ROWS($1:4)),))&amp;"/"&amp;YEAR(OFFSET('141-BH'!O$1,SMALL(Dong01,ROWS($1:4)),)))</f>
        <v/>
      </c>
      <c r="B19" s="80" t="str">
        <f ca="1">IF(ROWS($1:4)&gt;COUNT(Dong01),"",OFFSET('141-BH'!S$1,SMALL(Dong01,ROWS($1:4)),))</f>
        <v/>
      </c>
      <c r="C19" s="128"/>
      <c r="D19" s="129"/>
      <c r="E19" s="81"/>
      <c r="F19" s="130"/>
      <c r="G19" s="131"/>
    </row>
    <row r="20" spans="1:7" s="82" customFormat="1" ht="18.75" customHeight="1">
      <c r="A20" s="79" t="str">
        <f ca="1">IF(ROWS($1:5)&gt;COUNT(Dong01),"","- Phiếu chi số: ........"&amp;OFFSET('141-BH'!P$1,SMALL(Dong01,ROWS($1:5)),)&amp;".....ngày...."&amp;DAY(OFFSET('141-BH'!O$1,SMALL(Dong01,ROWS($1:5)),))&amp;"/"&amp;MONTH(OFFSET('141-BH'!O$1,SMALL(Dong01,ROWS($1:5)),))&amp;"/"&amp;YEAR(OFFSET('141-BH'!O$1,SMALL(Dong01,ROWS($1:5)),)))</f>
        <v/>
      </c>
      <c r="B20" s="80" t="str">
        <f ca="1">IF(ROWS($1:5)&gt;COUNT(Dong01),"",OFFSET('141-BH'!S$1,SMALL(Dong01,ROWS($1:5)),))</f>
        <v/>
      </c>
      <c r="C20" s="128"/>
      <c r="D20" s="129"/>
      <c r="E20" s="81"/>
      <c r="F20" s="130"/>
      <c r="G20" s="131"/>
    </row>
    <row r="21" spans="1:7" s="82" customFormat="1" ht="18.75" customHeight="1">
      <c r="A21" s="79" t="str">
        <f ca="1">IF(ROWS($1:6)&gt;COUNT(Dong01),"","- Phiếu chi số: ........"&amp;OFFSET('141-BH'!P$1,SMALL(Dong01,ROWS($1:6)),)&amp;".....ngày...."&amp;DAY(OFFSET('141-BH'!O$1,SMALL(Dong01,ROWS($1:6)),))&amp;"/"&amp;MONTH(OFFSET('141-BH'!O$1,SMALL(Dong01,ROWS($1:6)),))&amp;"/"&amp;YEAR(OFFSET('141-BH'!O$1,SMALL(Dong01,ROWS($1:6)),)))</f>
        <v/>
      </c>
      <c r="B21" s="80" t="str">
        <f ca="1">IF(ROWS($1:6)&gt;COUNT(Dong01),"",OFFSET('141-BH'!S$1,SMALL(Dong01,ROWS($1:6)),))</f>
        <v/>
      </c>
      <c r="C21" s="128"/>
      <c r="D21" s="129"/>
      <c r="E21" s="81"/>
      <c r="F21" s="130"/>
      <c r="G21" s="131"/>
    </row>
    <row r="22" spans="1:7" s="82" customFormat="1" ht="18.75" customHeight="1">
      <c r="A22" s="79" t="str">
        <f ca="1">IF(ROWS($1:7)&gt;COUNT(Dong01),"","- Phiếu chi số: ........"&amp;OFFSET('141-BH'!P$1,SMALL(Dong01,ROWS($1:7)),)&amp;".....ngày...."&amp;DAY(OFFSET('141-BH'!O$1,SMALL(Dong01,ROWS($1:7)),))&amp;"/"&amp;MONTH(OFFSET('141-BH'!O$1,SMALL(Dong01,ROWS($1:7)),))&amp;"/"&amp;YEAR(OFFSET('141-BH'!O$1,SMALL(Dong01,ROWS($1:7)),)))</f>
        <v/>
      </c>
      <c r="B22" s="80" t="str">
        <f ca="1">IF(ROWS($1:7)&gt;COUNT(Dong01),"",OFFSET('141-BH'!S$1,SMALL(Dong01,ROWS($1:7)),))</f>
        <v/>
      </c>
      <c r="C22" s="128"/>
      <c r="D22" s="129"/>
      <c r="E22" s="81"/>
      <c r="F22" s="130"/>
      <c r="G22" s="131"/>
    </row>
    <row r="23" spans="1:7" s="73" customFormat="1" ht="18.75" customHeight="1">
      <c r="A23" s="75" t="s">
        <v>87</v>
      </c>
      <c r="B23" s="76">
        <f ca="1">SUM(B24:B37)</f>
        <v>629760000</v>
      </c>
      <c r="C23" s="81"/>
      <c r="D23" s="132"/>
      <c r="E23" s="83"/>
      <c r="F23" s="83"/>
      <c r="G23" s="83"/>
    </row>
    <row r="24" spans="1:7" s="82" customFormat="1" ht="18.75" customHeight="1">
      <c r="A24" s="84" t="str">
        <f ca="1">IF(ROWS($1:1)&gt;COUNT(Dong02),"","- "&amp;OFFSET('141-BH'!Q$1,SMALL(Dong02,ROWS($1:1)),)&amp;" - PNK số: " &amp;OFFSET('141-BH'!U$1,SMALL(Dong02,ROWS($1:1)),)&amp; " Tháng "&amp;$D$3&amp;"/2015")</f>
        <v>- Nguyễn Thị Tuyết Đang - PNK số: N10 &amp; N22 Tháng 8/2015</v>
      </c>
      <c r="B24" s="85">
        <f ca="1">IF(ROWS($1:1)&gt;COUNT(Dong02),"",OFFSET('141-BH'!T$1,SMALL(Dong02,ROWS($1:1)),))</f>
        <v>205168000</v>
      </c>
      <c r="C24" s="133"/>
      <c r="D24" s="134"/>
      <c r="E24" s="135"/>
      <c r="F24" s="108"/>
      <c r="G24" s="131"/>
    </row>
    <row r="25" spans="1:7" s="82" customFormat="1" ht="18.75" customHeight="1">
      <c r="A25" s="84" t="str">
        <f ca="1">IF(ROWS($1:2)&gt;COUNT(Dong02),"","- "&amp;OFFSET('141-BH'!Q$1,SMALL(Dong02,ROWS($1:2)),)&amp;" - PNK số: " &amp;OFFSET('141-BH'!U$1,SMALL(Dong02,ROWS($1:2)),)&amp; " Tháng "&amp;$D$3&amp;"/2015")</f>
        <v>- Võ Văn Thắng - PNK số: N11 &amp; N21 Tháng 8/2015</v>
      </c>
      <c r="B25" s="85">
        <f ca="1">IF(ROWS($1:2)&gt;COUNT(Dong02),"",OFFSET('141-BH'!T$1,SMALL(Dong02,ROWS($1:2)),))</f>
        <v>218560000</v>
      </c>
      <c r="C25" s="136"/>
      <c r="D25" s="137"/>
      <c r="E25" s="135"/>
      <c r="F25" s="108"/>
      <c r="G25" s="131"/>
    </row>
    <row r="26" spans="1:7" s="82" customFormat="1" ht="18.75" customHeight="1">
      <c r="A26" s="84" t="str">
        <f ca="1">IF(ROWS($1:3)&gt;COUNT(Dong02),"","- "&amp;OFFSET('141-BH'!Q$1,SMALL(Dong02,ROWS($1:3)),)&amp;" - PNK số: " &amp;OFFSET('141-BH'!U$1,SMALL(Dong02,ROWS($1:3)),)&amp; " Tháng "&amp;$D$3&amp;"/2015")</f>
        <v>- Nguyễn Văn Phong - PNK số: N12 &amp; N23 Tháng 8/2015</v>
      </c>
      <c r="B26" s="85">
        <f ca="1">IF(ROWS($1:3)&gt;COUNT(Dong02),"",OFFSET('141-BH'!T$1,SMALL(Dong02,ROWS($1:3)),))</f>
        <v>206032000</v>
      </c>
      <c r="C26" s="138"/>
      <c r="D26" s="137"/>
      <c r="E26" s="135"/>
      <c r="F26" s="108"/>
      <c r="G26" s="131"/>
    </row>
    <row r="27" spans="1:7" s="82" customFormat="1" ht="18.75" customHeight="1">
      <c r="A27" s="84" t="str">
        <f ca="1">IF(ROWS($1:4)&gt;COUNT(Dong02),"","- "&amp;OFFSET('141-BH'!Q$1,SMALL(Dong02,ROWS($1:4)),)&amp;" - PNK số: " &amp;OFFSET('141-BH'!U$1,SMALL(Dong02,ROWS($1:4)),)&amp; " Tháng "&amp;$D$3&amp;"/2015")</f>
        <v/>
      </c>
      <c r="B27" s="85" t="str">
        <f ca="1">IF(ROWS($1:4)&gt;COUNT(Dong02),"",OFFSET('141-BH'!T$1,SMALL(Dong02,ROWS($1:4)),))</f>
        <v/>
      </c>
      <c r="C27" s="51"/>
      <c r="D27" s="137"/>
      <c r="E27" s="135"/>
      <c r="F27" s="108"/>
      <c r="G27" s="131"/>
    </row>
    <row r="28" spans="1:7" s="82" customFormat="1" ht="18.75" customHeight="1">
      <c r="A28" s="84" t="str">
        <f ca="1">IF(ROWS($1:5)&gt;COUNT(Dong02),"","- "&amp;OFFSET('141-BH'!Q$1,SMALL(Dong02,ROWS($1:5)),)&amp;" - PNK số: " &amp;OFFSET('141-BH'!U$1,SMALL(Dong02,ROWS($1:5)),)&amp; " Tháng "&amp;$D$3&amp;"/2015")</f>
        <v/>
      </c>
      <c r="B28" s="85" t="str">
        <f ca="1">IF(ROWS($1:5)&gt;COUNT(Dong02),"",OFFSET('141-BH'!T$1,SMALL(Dong02,ROWS($1:5)),))</f>
        <v/>
      </c>
      <c r="C28" s="92"/>
      <c r="D28" s="134"/>
      <c r="E28" s="135"/>
      <c r="F28" s="108"/>
      <c r="G28" s="131"/>
    </row>
    <row r="29" spans="1:7" s="82" customFormat="1" ht="18.75" customHeight="1">
      <c r="A29" s="84" t="str">
        <f ca="1">IF(ROWS($1:6)&gt;COUNT(Dong02),"","- "&amp;OFFSET('141-BH'!Q$1,SMALL(Dong02,ROWS($1:6)),)&amp;" - PNK số: " &amp;OFFSET('141-BH'!U$1,SMALL(Dong02,ROWS($1:6)),)&amp; " Tháng "&amp;$D$3&amp;"/2015")</f>
        <v/>
      </c>
      <c r="B29" s="85" t="str">
        <f ca="1">IF(ROWS($1:6)&gt;COUNT(Dong02),"",OFFSET('141-BH'!T$1,SMALL(Dong02,ROWS($1:6)),))</f>
        <v/>
      </c>
      <c r="C29" s="92"/>
      <c r="D29" s="137"/>
      <c r="E29" s="135"/>
      <c r="F29" s="108"/>
      <c r="G29" s="131"/>
    </row>
    <row r="30" spans="1:7" s="82" customFormat="1" ht="18.75" customHeight="1">
      <c r="A30" s="84" t="str">
        <f ca="1">IF(ROWS($1:7)&gt;COUNT(Dong02),"","- "&amp;OFFSET('141-BH'!Q$1,SMALL(Dong02,ROWS($1:7)),)&amp;" - PNK số: " &amp;OFFSET('141-BH'!U$1,SMALL(Dong02,ROWS($1:7)),)&amp; " Tháng "&amp;$D$3&amp;"/2015")</f>
        <v/>
      </c>
      <c r="B30" s="85" t="str">
        <f ca="1">IF(ROWS($1:7)&gt;COUNT(Dong02),"",OFFSET('141-BH'!T$1,SMALL(Dong02,ROWS($1:7)),))</f>
        <v/>
      </c>
      <c r="C30" s="51"/>
      <c r="D30" s="137"/>
      <c r="E30" s="135"/>
      <c r="F30" s="108"/>
      <c r="G30" s="131"/>
    </row>
    <row r="31" spans="1:7" s="82" customFormat="1" ht="18.75" customHeight="1">
      <c r="A31" s="84" t="str">
        <f ca="1">IF(ROWS($1:8)&gt;COUNT(Dong02),"","- "&amp;OFFSET('141-BH'!Q$1,SMALL(Dong02,ROWS($1:8)),)&amp;" - PNK số: " &amp;OFFSET('141-BH'!U$1,SMALL(Dong02,ROWS($1:8)),)&amp; " Tháng "&amp;$D$3&amp;"/2015")</f>
        <v/>
      </c>
      <c r="B31" s="85" t="str">
        <f ca="1">IF(ROWS($1:8)&gt;COUNT(Dong02),"",OFFSET('141-BH'!T$1,SMALL(Dong02,ROWS($1:8)),))</f>
        <v/>
      </c>
      <c r="C31" s="92"/>
      <c r="D31" s="137"/>
      <c r="E31" s="135"/>
      <c r="F31" s="108"/>
      <c r="G31" s="131"/>
    </row>
    <row r="32" spans="1:7" s="82" customFormat="1" ht="18.75" customHeight="1">
      <c r="A32" s="84" t="str">
        <f ca="1">IF(ROWS($1:9)&gt;COUNT(Dong02),"","- "&amp;OFFSET('141-BH'!Q$1,SMALL(Dong02,ROWS($1:9)),)&amp;" - PNK số: " &amp;OFFSET('141-BH'!U$1,SMALL(Dong02,ROWS($1:9)),)&amp; " Tháng "&amp;$D$3&amp;"/2015")</f>
        <v/>
      </c>
      <c r="B32" s="85" t="str">
        <f ca="1">IF(ROWS($1:9)&gt;COUNT(Dong02),"",OFFSET('141-BH'!T$1,SMALL(Dong02,ROWS($1:9)),))</f>
        <v/>
      </c>
      <c r="C32" s="92"/>
      <c r="D32" s="134"/>
      <c r="E32" s="135"/>
      <c r="F32" s="108"/>
      <c r="G32" s="131"/>
    </row>
    <row r="33" spans="1:7" s="82" customFormat="1" ht="18.75" customHeight="1">
      <c r="A33" s="84" t="str">
        <f ca="1">IF(ROWS($1:10)&gt;COUNT(Dong02),"","- "&amp;OFFSET('141-BH'!Q$1,SMALL(Dong02,ROWS($1:10)),)&amp;" - PNK số: " &amp;OFFSET('141-BH'!U$1,SMALL(Dong02,ROWS($1:10)),)&amp; " Tháng "&amp;$D$3&amp;"/2015")</f>
        <v/>
      </c>
      <c r="B33" s="85" t="str">
        <f ca="1">IF(ROWS($1:10)&gt;COUNT(Dong02),"",OFFSET('141-BH'!T$1,SMALL(Dong02,ROWS($1:10)),))</f>
        <v/>
      </c>
      <c r="C33" s="92"/>
      <c r="D33" s="137"/>
      <c r="E33" s="135"/>
      <c r="F33" s="108"/>
      <c r="G33" s="131"/>
    </row>
    <row r="34" spans="1:7" s="82" customFormat="1" ht="18.75" customHeight="1">
      <c r="A34" s="84" t="str">
        <f ca="1">IF(ROWS($1:11)&gt;COUNT(Dong02),"","- "&amp;OFFSET('141-BH'!Q$1,SMALL(Dong02,ROWS($1:11)),)&amp;" - PNK số: " &amp;OFFSET('141-BH'!U$1,SMALL(Dong02,ROWS($1:11)),)&amp; " Tháng "&amp;$D$3&amp;"/2015")</f>
        <v/>
      </c>
      <c r="B34" s="85" t="str">
        <f ca="1">IF(ROWS($1:11)&gt;COUNT(Dong02),"",OFFSET('141-BH'!T$1,SMALL(Dong02,ROWS($1:11)),))</f>
        <v/>
      </c>
      <c r="C34" s="92"/>
      <c r="D34" s="137"/>
      <c r="E34" s="135"/>
      <c r="F34" s="108"/>
      <c r="G34" s="131"/>
    </row>
    <row r="35" spans="1:7" s="82" customFormat="1" ht="18.75" customHeight="1">
      <c r="A35" s="84" t="str">
        <f ca="1">IF(ROWS($1:12)&gt;COUNT(Dong02),"","- "&amp;OFFSET('141-BH'!Q$1,SMALL(Dong02,ROWS($1:12)),)&amp;" - PNK số: " &amp;OFFSET('141-BH'!U$1,SMALL(Dong02,ROWS($1:12)),)&amp; " Tháng "&amp;$D$3&amp;"/2015")</f>
        <v/>
      </c>
      <c r="B35" s="85" t="str">
        <f ca="1">IF(ROWS($1:12)&gt;COUNT(Dong02),"",OFFSET('141-BH'!T$1,SMALL(Dong02,ROWS($1:12)),))</f>
        <v/>
      </c>
      <c r="C35" s="92"/>
      <c r="D35" s="134"/>
      <c r="E35" s="135"/>
      <c r="F35" s="108"/>
      <c r="G35" s="131"/>
    </row>
    <row r="36" spans="1:7" s="82" customFormat="1" ht="18.75" customHeight="1">
      <c r="A36" s="84" t="str">
        <f ca="1">IF(ROWS($1:13)&gt;COUNT(Dong02),"","- "&amp;OFFSET('141-BH'!Q$1,SMALL(Dong02,ROWS($1:13)),)&amp;" - PNK số: " &amp;OFFSET('141-BH'!U$1,SMALL(Dong02,ROWS($1:13)),)&amp; " Tháng "&amp;$D$3&amp;"/2015")</f>
        <v/>
      </c>
      <c r="B36" s="85" t="str">
        <f ca="1">IF(ROWS($1:13)&gt;COUNT(Dong02),"",OFFSET('141-BH'!T$1,SMALL(Dong02,ROWS($1:13)),))</f>
        <v/>
      </c>
      <c r="C36" s="92"/>
      <c r="D36" s="137"/>
      <c r="E36" s="135"/>
      <c r="F36" s="108"/>
      <c r="G36" s="131"/>
    </row>
    <row r="37" spans="1:7" s="82" customFormat="1" ht="18.75" customHeight="1">
      <c r="A37" s="84" t="str">
        <f ca="1">IF(ROWS($1:14)&gt;COUNT(Dong02),"","- "&amp;OFFSET('141-BH'!Q$1,SMALL(Dong02,ROWS($1:14)),)&amp;" - PNK số: " &amp;OFFSET('141-BH'!U$1,SMALL(Dong02,ROWS($1:14)),)&amp; " Tháng "&amp;$D$3&amp;"/2015")</f>
        <v/>
      </c>
      <c r="B37" s="85" t="str">
        <f ca="1">IF(ROWS($1:14)&gt;COUNT(Dong02),"",OFFSET('141-BH'!T$1,SMALL(Dong02,ROWS($1:14)),))</f>
        <v/>
      </c>
      <c r="C37" s="92"/>
      <c r="D37" s="137"/>
      <c r="E37" s="135"/>
      <c r="F37" s="108"/>
      <c r="G37" s="131"/>
    </row>
    <row r="38" spans="1:7" s="73" customFormat="1" ht="18.75" customHeight="1">
      <c r="A38" s="75" t="s">
        <v>88</v>
      </c>
      <c r="B38" s="76">
        <f ca="1">B13-B23</f>
        <v>-611973000</v>
      </c>
      <c r="C38" s="137"/>
      <c r="D38" s="139"/>
      <c r="E38" s="135"/>
      <c r="F38" s="83"/>
      <c r="G38" s="83"/>
    </row>
    <row r="39" spans="1:7" ht="18.75" customHeight="1">
      <c r="A39" s="77" t="s">
        <v>89</v>
      </c>
      <c r="B39" s="78">
        <f ca="1">B38</f>
        <v>-611973000</v>
      </c>
      <c r="C39" s="137"/>
      <c r="D39" s="139"/>
      <c r="E39" s="135"/>
    </row>
    <row r="40" spans="1:7" ht="18.75" customHeight="1">
      <c r="A40" s="77" t="s">
        <v>90</v>
      </c>
      <c r="B40" s="78"/>
      <c r="C40" s="137"/>
      <c r="D40" s="139"/>
      <c r="E40" s="135"/>
    </row>
    <row r="41" spans="1:7" ht="25.5" customHeight="1">
      <c r="A41" s="86" t="s">
        <v>91</v>
      </c>
      <c r="B41" s="86" t="s">
        <v>92</v>
      </c>
      <c r="C41" s="134"/>
      <c r="D41" s="139"/>
    </row>
    <row r="42" spans="1:7" ht="19.5" customHeight="1">
      <c r="A42" s="69" t="s">
        <v>93</v>
      </c>
      <c r="B42" s="87" t="s">
        <v>27</v>
      </c>
      <c r="C42" s="134"/>
      <c r="D42" s="134"/>
    </row>
    <row r="43" spans="1:7">
      <c r="A43" s="88"/>
      <c r="B43" s="88"/>
      <c r="C43" s="134"/>
      <c r="D43" s="134"/>
    </row>
    <row r="44" spans="1:7">
      <c r="A44" s="89"/>
      <c r="B44" s="89"/>
      <c r="C44" s="134"/>
      <c r="D44" s="134"/>
    </row>
    <row r="45" spans="1:7">
      <c r="A45" s="90"/>
      <c r="B45" s="90"/>
      <c r="C45" s="134"/>
      <c r="D45" s="134"/>
    </row>
    <row r="46" spans="1:7">
      <c r="C46" s="134"/>
      <c r="D46" s="134"/>
    </row>
    <row r="47" spans="1:7">
      <c r="C47" s="134"/>
      <c r="D47" s="134"/>
    </row>
    <row r="48" spans="1:7">
      <c r="C48" s="137"/>
      <c r="D48" s="137"/>
    </row>
    <row r="78" spans="4:4">
      <c r="D78" s="127" t="str">
        <f ca="1">IF(ROWS($1:24)&gt;COUNT(Dong),"",OFFSET('141-BH'!B$1,SMALL(Dong,ROWS($1:24)),))</f>
        <v/>
      </c>
    </row>
    <row r="79" spans="4:4">
      <c r="D79" s="127" t="str">
        <f ca="1">IF(ROWS($1:25)&gt;COUNT(Dong),"",OFFSET('141-BH'!B$1,SMALL(Dong,ROWS($1:25)),))</f>
        <v/>
      </c>
    </row>
    <row r="80" spans="4:4">
      <c r="D80" s="127" t="str">
        <f ca="1">IF(ROWS($1:26)&gt;COUNT(Dong),"",OFFSET('141-BH'!B$1,SMALL(Dong,ROWS($1:26)),))</f>
        <v/>
      </c>
    </row>
    <row r="81" spans="4:4">
      <c r="D81" s="127" t="str">
        <f ca="1">IF(ROWS($1:27)&gt;COUNT(Dong),"",OFFSET('141-BH'!B$1,SMALL(Dong,ROWS($1:27)),))</f>
        <v/>
      </c>
    </row>
    <row r="82" spans="4:4">
      <c r="D82" s="127" t="str">
        <f ca="1">IF(ROWS($1:28)&gt;COUNT(Dong),"",OFFSET('141-BH'!B$1,SMALL(Dong,ROWS($1:28)),))</f>
        <v/>
      </c>
    </row>
    <row r="83" spans="4:4">
      <c r="D83" s="127" t="str">
        <f ca="1">IF(ROWS($1:29)&gt;COUNT(Dong),"",OFFSET('141-BH'!B$1,SMALL(Dong,ROWS($1:29)),))</f>
        <v/>
      </c>
    </row>
    <row r="84" spans="4:4">
      <c r="D84" s="127" t="str">
        <f ca="1">IF(ROWS($1:30)&gt;COUNT(Dong),"",OFFSET('141-BH'!B$1,SMALL(Dong,ROWS($1:30)),))</f>
        <v/>
      </c>
    </row>
    <row r="85" spans="4:4">
      <c r="D85" s="127" t="str">
        <f ca="1">IF(ROWS($1:31)&gt;COUNT(Dong),"",OFFSET('141-BH'!B$1,SMALL(Dong,ROWS($1:31)),))</f>
        <v/>
      </c>
    </row>
    <row r="86" spans="4:4">
      <c r="D86" s="127" t="str">
        <f ca="1">IF(ROWS($1:32)&gt;COUNT(Dong),"",OFFSET('141-BH'!B$1,SMALL(Dong,ROWS($1:32)),))</f>
        <v/>
      </c>
    </row>
    <row r="87" spans="4:4">
      <c r="D87" s="127" t="str">
        <f ca="1">IF(ROWS($1:33)&gt;COUNT(Dong),"",OFFSET('141-BH'!B$1,SMALL(Dong,ROWS($1:33)),))</f>
        <v/>
      </c>
    </row>
    <row r="88" spans="4:4">
      <c r="D88" s="127" t="str">
        <f ca="1">IF(ROWS($1:34)&gt;COUNT(Dong),"",OFFSET('141-BH'!B$1,SMALL(Dong,ROWS($1:34)),))</f>
        <v/>
      </c>
    </row>
    <row r="89" spans="4:4">
      <c r="D89" s="127" t="str">
        <f ca="1">IF(ROWS($1:35)&gt;COUNT(Dong),"",OFFSET('141-BH'!B$1,SMALL(Dong,ROWS($1:35)),))</f>
        <v/>
      </c>
    </row>
    <row r="90" spans="4:4">
      <c r="D90" s="127" t="str">
        <f ca="1">IF(ROWS($1:36)&gt;COUNT(Dong),"",OFFSET('141-BH'!B$1,SMALL(Dong,ROWS($1:36)),))</f>
        <v/>
      </c>
    </row>
    <row r="91" spans="4:4">
      <c r="D91" s="127" t="str">
        <f ca="1">IF(ROWS($1:38)&gt;COUNT(Dong),"",OFFSET('141-BH'!B$1,SMALL(Dong,ROWS($1:38)),))</f>
        <v/>
      </c>
    </row>
    <row r="92" spans="4:4">
      <c r="D92" s="127" t="str">
        <f ca="1">IF(ROWS($1:39)&gt;COUNT(Dong),"",OFFSET('141-BH'!B$1,SMALL(Dong,ROWS($1:39)),))</f>
        <v/>
      </c>
    </row>
    <row r="93" spans="4:4">
      <c r="D93" s="127" t="str">
        <f ca="1">IF(ROWS($1:40)&gt;COUNT(Dong),"",OFFSET('141-BH'!B$1,SMALL(Dong,ROWS($1:40)),))</f>
        <v/>
      </c>
    </row>
    <row r="94" spans="4:4">
      <c r="D94" s="127" t="str">
        <f ca="1">IF(ROWS($1:41)&gt;COUNT(Dong),"",OFFSET('141-BH'!B$1,SMALL(Dong,ROWS($1:41)),))</f>
        <v/>
      </c>
    </row>
    <row r="95" spans="4:4">
      <c r="D95" s="127" t="str">
        <f ca="1">IF(ROWS($1:42)&gt;COUNT(Dong),"",OFFSET('141-BH'!B$1,SMALL(Dong,ROWS($1:42)),))</f>
        <v/>
      </c>
    </row>
    <row r="96" spans="4:4">
      <c r="D96" s="127" t="str">
        <f ca="1">IF(ROWS($1:43)&gt;COUNT(Dong),"",OFFSET('141-BH'!B$1,SMALL(Dong,ROWS($1:43)),))</f>
        <v/>
      </c>
    </row>
    <row r="97" spans="4:4">
      <c r="D97" s="127" t="str">
        <f ca="1">IF(ROWS($1:44)&gt;COUNT(Dong),"",OFFSET('141-BH'!B$1,SMALL(Dong,ROWS($1:44)),))</f>
        <v/>
      </c>
    </row>
    <row r="98" spans="4:4">
      <c r="D98" s="127" t="str">
        <f ca="1">IF(ROWS($1:45)&gt;COUNT(Dong),"",OFFSET('141-BH'!B$1,SMALL(Dong,ROWS($1:45)),))</f>
        <v/>
      </c>
    </row>
    <row r="99" spans="4:4">
      <c r="D99" s="127" t="str">
        <f ca="1">IF(ROWS($1:46)&gt;COUNT(Dong),"",OFFSET('141-BH'!B$1,SMALL(Dong,ROWS($1:46)),))</f>
        <v/>
      </c>
    </row>
    <row r="100" spans="4:4">
      <c r="D100" s="127" t="str">
        <f ca="1">IF(ROWS($1:47)&gt;COUNT(Dong),"",OFFSET('141-BH'!B$1,SMALL(Dong,ROWS($1:47)),))</f>
        <v/>
      </c>
    </row>
    <row r="101" spans="4:4">
      <c r="D101" s="127" t="str">
        <f ca="1">IF(ROWS($1:48)&gt;COUNT(Dong),"",OFFSET('141-BH'!B$1,SMALL(Dong,ROWS($1:48)),))</f>
        <v/>
      </c>
    </row>
    <row r="102" spans="4:4">
      <c r="D102" s="127" t="str">
        <f ca="1">IF(ROWS($1:49)&gt;COUNT(Dong),"",OFFSET('141-BH'!B$1,SMALL(Dong,ROWS($1:49)),))</f>
        <v/>
      </c>
    </row>
    <row r="103" spans="4:4">
      <c r="D103" s="127" t="str">
        <f ca="1">IF(ROWS($1:50)&gt;COUNT(Dong),"",OFFSET('141-BH'!B$1,SMALL(Dong,ROWS($1:50)),))</f>
        <v/>
      </c>
    </row>
    <row r="104" spans="4:4">
      <c r="D104" s="127" t="str">
        <f ca="1">IF(ROWS($1:51)&gt;COUNT(Dong),"",OFFSET('141-BH'!B$1,SMALL(Dong,ROWS($1:51)),))</f>
        <v/>
      </c>
    </row>
    <row r="105" spans="4:4">
      <c r="D105" s="127" t="str">
        <f ca="1">IF(ROWS($1:52)&gt;COUNT(Dong),"",OFFSET('141-BH'!B$1,SMALL(Dong,ROWS($1:52)),))</f>
        <v/>
      </c>
    </row>
    <row r="106" spans="4:4">
      <c r="D106" s="127" t="str">
        <f ca="1">IF(ROWS($1:53)&gt;COUNT(Dong),"",OFFSET('141-BH'!B$1,SMALL(Dong,ROWS($1:53)),))</f>
        <v/>
      </c>
    </row>
    <row r="107" spans="4:4">
      <c r="D107" s="127" t="str">
        <f ca="1">IF(ROWS($1:54)&gt;COUNT(Dong),"",OFFSET('141-BH'!B$1,SMALL(Dong,ROWS($1:54)),))</f>
        <v/>
      </c>
    </row>
    <row r="108" spans="4:4">
      <c r="D108" s="127" t="str">
        <f ca="1">IF(ROWS($1:55)&gt;COUNT(Dong),"",OFFSET('141-BH'!B$1,SMALL(Dong,ROWS($1:55)),))</f>
        <v/>
      </c>
    </row>
    <row r="109" spans="4:4">
      <c r="D109" s="127" t="str">
        <f ca="1">IF(ROWS($1:56)&gt;COUNT(Dong),"",OFFSET('141-BH'!B$1,SMALL(Dong,ROWS($1:56)),))</f>
        <v/>
      </c>
    </row>
    <row r="110" spans="4:4">
      <c r="D110" s="127" t="str">
        <f ca="1">IF(ROWS($1:57)&gt;COUNT(Dong),"",OFFSET('141-BH'!B$1,SMALL(Dong,ROWS($1:57)),))</f>
        <v/>
      </c>
    </row>
    <row r="111" spans="4:4">
      <c r="D111" s="127" t="str">
        <f ca="1">IF(ROWS($1:58)&gt;COUNT(Dong),"",OFFSET('141-BH'!B$1,SMALL(Dong,ROWS($1:58)),))</f>
        <v/>
      </c>
    </row>
    <row r="112" spans="4:4">
      <c r="D112" s="127" t="str">
        <f ca="1">IF(ROWS($1:59)&gt;COUNT(Dong),"",OFFSET('141-BH'!B$1,SMALL(Dong,ROWS($1:59)),))</f>
        <v/>
      </c>
    </row>
    <row r="113" spans="4:4">
      <c r="D113" s="127" t="str">
        <f ca="1">IF(ROWS($1:60)&gt;COUNT(Dong),"",OFFSET('141-BH'!B$1,SMALL(Dong,ROWS($1:60)),))</f>
        <v/>
      </c>
    </row>
    <row r="114" spans="4:4">
      <c r="D114" s="127" t="str">
        <f ca="1">IF(ROWS($1:61)&gt;COUNT(Dong),"",OFFSET('141-BH'!B$1,SMALL(Dong,ROWS($1:61)),))</f>
        <v/>
      </c>
    </row>
    <row r="115" spans="4:4">
      <c r="D115" s="127" t="str">
        <f ca="1">IF(ROWS($1:62)&gt;COUNT(Dong),"",OFFSET('141-BH'!B$1,SMALL(Dong,ROWS($1:62)),))</f>
        <v/>
      </c>
    </row>
  </sheetData>
  <mergeCells count="3">
    <mergeCell ref="A3:B3"/>
    <mergeCell ref="A4:B4"/>
    <mergeCell ref="A5:A7"/>
  </mergeCells>
  <phoneticPr fontId="39" type="noConversion"/>
  <dataValidations count="1">
    <dataValidation type="list" allowBlank="1" showInputMessage="1" showErrorMessage="1" sqref="D3">
      <formula1>"1,2,3,4,5,6,7,8,9,10,11,12"</formula1>
    </dataValidation>
  </dataValidations>
  <printOptions horizontalCentered="1"/>
  <pageMargins left="0.53" right="0.21" top="0.39" bottom="0.17" header="0.41" footer="0.15"/>
  <pageSetup paperSize="9" scale="90" orientation="portrait" verticalDpi="0" r:id="rId1"/>
  <headerFooter alignWithMargins="0">
    <oddFooter>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K53"/>
  <sheetViews>
    <sheetView topLeftCell="A3" workbookViewId="0">
      <pane ySplit="10" topLeftCell="A13" activePane="bottomLeft" state="frozen"/>
      <selection activeCell="B23" sqref="B23"/>
      <selection pane="bottomLeft" activeCell="B23" sqref="B23"/>
    </sheetView>
  </sheetViews>
  <sheetFormatPr defaultRowHeight="16.5"/>
  <cols>
    <col min="1" max="1" width="82.5703125" style="68" customWidth="1"/>
    <col min="2" max="2" width="19.28515625" style="68" customWidth="1"/>
    <col min="3" max="3" width="9.140625" style="127"/>
    <col min="4" max="4" width="10.5703125" style="127" customWidth="1"/>
    <col min="5" max="5" width="5.5703125" style="127" customWidth="1"/>
    <col min="6" max="6" width="4.85546875" style="127" customWidth="1"/>
    <col min="7" max="11" width="9.140625" style="127"/>
    <col min="12" max="16384" width="9.140625" style="68"/>
  </cols>
  <sheetData>
    <row r="1" spans="1:11" s="66" customFormat="1" ht="15">
      <c r="A1" s="15" t="s">
        <v>0</v>
      </c>
      <c r="B1" s="65"/>
      <c r="C1" s="123"/>
      <c r="D1" s="123"/>
      <c r="E1" s="124"/>
      <c r="F1" s="125"/>
      <c r="G1" s="125"/>
      <c r="H1" s="125"/>
      <c r="I1" s="125"/>
      <c r="J1" s="125"/>
      <c r="K1" s="125"/>
    </row>
    <row r="2" spans="1:11" s="66" customFormat="1" ht="15" customHeight="1">
      <c r="A2" s="15" t="s">
        <v>1</v>
      </c>
      <c r="B2" s="67"/>
      <c r="C2" s="123"/>
      <c r="D2" s="126" t="s">
        <v>106</v>
      </c>
      <c r="E2" s="124"/>
      <c r="F2" s="125"/>
      <c r="G2" s="125"/>
      <c r="H2" s="125"/>
      <c r="I2" s="125"/>
      <c r="J2" s="125"/>
      <c r="K2" s="125"/>
    </row>
    <row r="3" spans="1:11" ht="28.5" customHeight="1">
      <c r="A3" s="321" t="s">
        <v>76</v>
      </c>
      <c r="B3" s="321"/>
      <c r="D3" s="94">
        <v>7</v>
      </c>
    </row>
    <row r="4" spans="1:11" ht="14.25" customHeight="1">
      <c r="A4" s="303" t="str">
        <f ca="1">IF(ROWS($1:1)&gt;COUNT(Dong04),"","Ngày  "&amp;DAY(OFFSET('141-TT'!O$1,SMALL(Dong04,ROWS($1:1)),))&amp;"  tháng  "&amp;MONTH(OFFSET('141-TT'!O$1,SMALL(Dong04,ROWS($1:1)),))&amp;"   năm   "&amp;YEAR(OFFSET('141-TT'!O$1,SMALL(Dong04,ROWS($1:1)),)))</f>
        <v>Ngày  31  tháng  7   năm   2015</v>
      </c>
      <c r="B4" s="303"/>
      <c r="C4" s="54"/>
      <c r="D4" s="54"/>
    </row>
    <row r="5" spans="1:11" ht="14.25" customHeight="1">
      <c r="A5" s="322"/>
      <c r="B5" s="69" t="str">
        <f ca="1">IF(ROWS($1:1)&gt;COUNT(Dong04),"","Số:   "&amp;OFFSET('141-TT'!N$1,SMALL(Dong04,ROWS($1:1)),))</f>
        <v>Số:   0</v>
      </c>
    </row>
    <row r="6" spans="1:11" ht="14.25" customHeight="1">
      <c r="A6" s="322"/>
      <c r="B6" s="69" t="s">
        <v>77</v>
      </c>
    </row>
    <row r="7" spans="1:11" ht="14.25" customHeight="1">
      <c r="A7" s="322"/>
      <c r="B7" s="69" t="s">
        <v>78</v>
      </c>
    </row>
    <row r="8" spans="1:11" ht="15.75" customHeight="1">
      <c r="A8" s="70" t="s">
        <v>94</v>
      </c>
    </row>
    <row r="9" spans="1:11" ht="15.75" customHeight="1">
      <c r="A9" s="70" t="s">
        <v>80</v>
      </c>
    </row>
    <row r="10" spans="1:11" ht="15.75" customHeight="1">
      <c r="A10" s="71" t="s">
        <v>81</v>
      </c>
    </row>
    <row r="11" spans="1:11" s="73" customFormat="1" ht="24.75" customHeight="1">
      <c r="A11" s="72" t="s">
        <v>8</v>
      </c>
      <c r="B11" s="72" t="s">
        <v>82</v>
      </c>
      <c r="C11" s="83"/>
      <c r="D11" s="83"/>
      <c r="E11" s="83"/>
      <c r="F11" s="83"/>
      <c r="G11" s="83"/>
      <c r="H11" s="83"/>
      <c r="I11" s="83"/>
      <c r="J11" s="83"/>
      <c r="K11" s="83"/>
    </row>
    <row r="12" spans="1:11" ht="12.75" customHeight="1">
      <c r="A12" s="74" t="s">
        <v>16</v>
      </c>
      <c r="B12" s="74" t="s">
        <v>83</v>
      </c>
    </row>
    <row r="13" spans="1:11" s="73" customFormat="1" ht="20.25" customHeight="1">
      <c r="A13" s="75" t="s">
        <v>84</v>
      </c>
      <c r="B13" s="76">
        <f ca="1">B14+B15</f>
        <v>3668000</v>
      </c>
      <c r="C13" s="83"/>
      <c r="D13" s="83"/>
      <c r="E13" s="83"/>
      <c r="F13" s="83"/>
      <c r="G13" s="83"/>
      <c r="H13" s="83"/>
      <c r="I13" s="83"/>
      <c r="J13" s="83"/>
      <c r="K13" s="83"/>
    </row>
    <row r="14" spans="1:11" ht="20.25" customHeight="1">
      <c r="A14" s="77" t="s">
        <v>85</v>
      </c>
      <c r="B14" s="78">
        <f ca="1">IF(ROWS($1:1)&gt;COUNT(_Dau1),"",OFFSET('141-TT'!H$1,SMALL(_Dau1,COUNT(_Dau1)),))</f>
        <v>3668000</v>
      </c>
    </row>
    <row r="15" spans="1:11" ht="20.25" customHeight="1">
      <c r="A15" s="77" t="s">
        <v>86</v>
      </c>
      <c r="B15" s="78">
        <f ca="1">SUM(B16:B22)</f>
        <v>0</v>
      </c>
    </row>
    <row r="16" spans="1:11" s="82" customFormat="1" ht="20.25" customHeight="1">
      <c r="A16" s="79" t="str">
        <f ca="1">IF(ROWS($1:1)&gt;COUNT(Dong03),"","- Phiếu chi số: ........"&amp;OFFSET('141-TT'!N$1,SMALL(Dong03,ROWS($1:1)),)&amp;".....ngày...."&amp;DAY(OFFSET('141-TT'!O$1,SMALL(Dong03,ROWS($1:1)),))&amp;"/"&amp;MONTH(OFFSET('141-TT'!O$1,SMALL(Dong03,ROWS($1:1)),))&amp;"/"&amp;YEAR(OFFSET('141-TT'!O$1,SMALL(Dong03,ROWS($1:1)),)))</f>
        <v/>
      </c>
      <c r="B16" s="80" t="str">
        <f ca="1">IF(ROWS($1:1)&gt;COUNT(Dong03),"",OFFSET('141-TT'!R$1,SMALL(Dong03,ROWS($1:1)),))</f>
        <v/>
      </c>
      <c r="C16" s="128"/>
      <c r="D16" s="152"/>
      <c r="E16" s="81"/>
      <c r="F16" s="130"/>
      <c r="G16" s="131"/>
      <c r="H16" s="131"/>
      <c r="I16" s="131"/>
      <c r="J16" s="131"/>
      <c r="K16" s="131"/>
    </row>
    <row r="17" spans="1:11" s="82" customFormat="1" ht="20.25" customHeight="1">
      <c r="A17" s="79" t="str">
        <f ca="1">IF(ROWS($1:2)&gt;COUNT(Dong03),"","- Phiếu chi số: ........"&amp;OFFSET('141-TT'!N$1,SMALL(Dong03,ROWS($1:2)),)&amp;".....ngày...."&amp;DAY(OFFSET('141-TT'!O$1,SMALL(Dong03,ROWS($1:2)),))&amp;"/"&amp;MONTH(OFFSET('141-TT'!O$1,SMALL(Dong03,ROWS($1:2)),))&amp;"/"&amp;YEAR(OFFSET('141-TT'!O$1,SMALL(Dong03,ROWS($1:2)),)))</f>
        <v/>
      </c>
      <c r="B17" s="80" t="str">
        <f ca="1">IF(ROWS($1:2)&gt;COUNT(Dong03),"",OFFSET('141-TT'!R$1,SMALL(Dong03,ROWS($1:2)),))</f>
        <v/>
      </c>
      <c r="C17" s="128"/>
      <c r="D17" s="152"/>
      <c r="E17" s="81"/>
      <c r="F17" s="130"/>
      <c r="G17" s="131"/>
      <c r="H17" s="131"/>
      <c r="I17" s="131"/>
      <c r="J17" s="131"/>
      <c r="K17" s="131"/>
    </row>
    <row r="18" spans="1:11" s="82" customFormat="1" ht="20.25" customHeight="1">
      <c r="A18" s="79" t="str">
        <f ca="1">IF(ROWS($1:3)&gt;COUNT(Dong03),"","- Phiếu chi số: ........"&amp;OFFSET('141-TT'!N$1,SMALL(Dong03,ROWS($1:3)),)&amp;".....ngày...."&amp;DAY(OFFSET('141-TT'!O$1,SMALL(Dong03,ROWS($1:3)),))&amp;"/"&amp;MONTH(OFFSET('141-TT'!O$1,SMALL(Dong03,ROWS($1:3)),))&amp;"/"&amp;YEAR(OFFSET('141-TT'!O$1,SMALL(Dong03,ROWS($1:3)),)))</f>
        <v/>
      </c>
      <c r="B18" s="80" t="str">
        <f ca="1">IF(ROWS($1:3)&gt;COUNT(Dong03),"",OFFSET('141-TT'!R$1,SMALL(Dong03,ROWS($1:3)),))</f>
        <v/>
      </c>
      <c r="C18" s="132"/>
      <c r="D18" s="132"/>
      <c r="E18" s="81"/>
      <c r="F18" s="130"/>
      <c r="G18" s="131"/>
      <c r="H18" s="131"/>
      <c r="I18" s="131"/>
      <c r="J18" s="131"/>
      <c r="K18" s="131"/>
    </row>
    <row r="19" spans="1:11" s="82" customFormat="1" ht="20.25" customHeight="1">
      <c r="A19" s="79" t="str">
        <f ca="1">IF(ROWS($1:4)&gt;COUNT(Dong03),"","- Phiếu chi số: ........"&amp;OFFSET('141-TT'!N$1,SMALL(Dong03,ROWS($1:4)),)&amp;".....ngày...."&amp;DAY(OFFSET('141-TT'!O$1,SMALL(Dong03,ROWS($1:4)),))&amp;"/"&amp;MONTH(OFFSET('141-TT'!O$1,SMALL(Dong03,ROWS($1:4)),))&amp;"/"&amp;YEAR(OFFSET('141-TT'!O$1,SMALL(Dong03,ROWS($1:4)),)))</f>
        <v/>
      </c>
      <c r="B19" s="80" t="str">
        <f ca="1">IF(ROWS($1:4)&gt;COUNT(Dong03),"",OFFSET('141-TT'!R$1,SMALL(Dong03,ROWS($1:4)),))</f>
        <v/>
      </c>
      <c r="C19" s="128"/>
      <c r="D19" s="152"/>
      <c r="E19" s="81"/>
      <c r="F19" s="130"/>
      <c r="G19" s="131"/>
      <c r="H19" s="131"/>
      <c r="I19" s="131"/>
      <c r="J19" s="131"/>
      <c r="K19" s="131"/>
    </row>
    <row r="20" spans="1:11" s="82" customFormat="1" ht="20.25" customHeight="1">
      <c r="A20" s="79" t="str">
        <f ca="1">IF(ROWS($1:5)&gt;COUNT(Dong03),"","- Phiếu chi số: ........"&amp;OFFSET('141-TT'!N$1,SMALL(Dong03,ROWS($1:5)),)&amp;".....ngày...."&amp;DAY(OFFSET('141-TT'!O$1,SMALL(Dong03,ROWS($1:5)),))&amp;"/"&amp;MONTH(OFFSET('141-TT'!O$1,SMALL(Dong03,ROWS($1:5)),))&amp;"/"&amp;YEAR(OFFSET('141-TT'!O$1,SMALL(Dong03,ROWS($1:5)),)))</f>
        <v/>
      </c>
      <c r="B20" s="80" t="str">
        <f ca="1">IF(ROWS($1:5)&gt;COUNT(Dong03),"",OFFSET('141-TT'!R$1,SMALL(Dong03,ROWS($1:5)),))</f>
        <v/>
      </c>
      <c r="C20" s="128"/>
      <c r="D20" s="152"/>
      <c r="E20" s="81"/>
      <c r="F20" s="130"/>
      <c r="G20" s="131"/>
      <c r="H20" s="131"/>
      <c r="I20" s="131"/>
      <c r="J20" s="131"/>
      <c r="K20" s="131"/>
    </row>
    <row r="21" spans="1:11" s="82" customFormat="1" ht="20.25" customHeight="1">
      <c r="A21" s="79" t="str">
        <f ca="1">IF(ROWS($1:6)&gt;COUNT(Dong03),"","- Phiếu chi số: ........"&amp;OFFSET('141-TT'!N$1,SMALL(Dong03,ROWS($1:6)),)&amp;".....ngày...."&amp;DAY(OFFSET('141-TT'!O$1,SMALL(Dong03,ROWS($1:6)),))&amp;"/"&amp;MONTH(OFFSET('141-TT'!O$1,SMALL(Dong03,ROWS($1:6)),))&amp;"/"&amp;YEAR(OFFSET('141-TT'!O$1,SMALL(Dong03,ROWS($1:6)),)))</f>
        <v/>
      </c>
      <c r="B21" s="80" t="str">
        <f ca="1">IF(ROWS($1:6)&gt;COUNT(Dong03),"",OFFSET('141-TT'!R$1,SMALL(Dong03,ROWS($1:6)),))</f>
        <v/>
      </c>
      <c r="C21" s="128"/>
      <c r="D21" s="152"/>
      <c r="E21" s="81"/>
      <c r="F21" s="130"/>
      <c r="G21" s="131"/>
      <c r="H21" s="131"/>
      <c r="I21" s="131"/>
      <c r="J21" s="131"/>
      <c r="K21" s="131"/>
    </row>
    <row r="22" spans="1:11" s="82" customFormat="1" ht="20.25" customHeight="1">
      <c r="A22" s="79" t="str">
        <f ca="1">IF(ROWS($1:7)&gt;COUNT(Dong03),"","- Phiếu chi số: ........"&amp;OFFSET('141-TT'!N$1,SMALL(Dong03,ROWS($1:7)),)&amp;".....ngày...."&amp;DAY(OFFSET('141-TT'!O$1,SMALL(Dong03,ROWS($1:7)),))&amp;"/"&amp;MONTH(OFFSET('141-TT'!O$1,SMALL(Dong03,ROWS($1:7)),))&amp;"/"&amp;YEAR(OFFSET('141-TT'!O$1,SMALL(Dong03,ROWS($1:7)),)))</f>
        <v/>
      </c>
      <c r="B22" s="80" t="str">
        <f ca="1">IF(ROWS($1:7)&gt;COUNT(Dong03),"",OFFSET('141-TT'!R$1,SMALL(Dong03,ROWS($1:7)),))</f>
        <v/>
      </c>
      <c r="C22" s="128"/>
      <c r="D22" s="152"/>
      <c r="E22" s="81"/>
      <c r="F22" s="130"/>
      <c r="G22" s="131"/>
      <c r="H22" s="131"/>
      <c r="I22" s="131"/>
      <c r="J22" s="131"/>
      <c r="K22" s="131"/>
    </row>
    <row r="23" spans="1:11" s="73" customFormat="1" ht="20.25" customHeight="1">
      <c r="A23" s="75" t="s">
        <v>87</v>
      </c>
      <c r="B23" s="76">
        <f ca="1">SUM(B24:B41)</f>
        <v>1295250000</v>
      </c>
      <c r="C23" s="81"/>
      <c r="D23" s="132"/>
      <c r="E23" s="83"/>
      <c r="F23" s="83"/>
      <c r="G23" s="83"/>
      <c r="H23" s="83"/>
      <c r="I23" s="83"/>
      <c r="J23" s="83"/>
      <c r="K23" s="83"/>
    </row>
    <row r="24" spans="1:11" s="82" customFormat="1" ht="20.25" customHeight="1">
      <c r="A24" s="84" t="str">
        <f ca="1">IF(ROWS($1:1)&gt;COUNT(Dong04),"","- "&amp;OFFSET('141-TT'!P$1,SMALL(Dong04,ROWS($1:1)),)&amp;" - PNK số: " &amp;OFFSET('141-TT'!T$1,SMALL(Dong04,ROWS($1:1)),)&amp; " Tháng "&amp;$D$3&amp;"/2015")</f>
        <v>- Đỗ Văn Tâm - PNK số: N15 Tháng 7/2015</v>
      </c>
      <c r="B24" s="85">
        <f ca="1">IF(ROWS($1:1)&gt;COUNT(Dong04),"",OFFSET('141-TT'!S$1,SMALL(Dong04,ROWS($1:1)),))</f>
        <v>86130000</v>
      </c>
      <c r="C24" s="128"/>
      <c r="D24" s="59"/>
      <c r="E24" s="54"/>
      <c r="F24" s="108"/>
      <c r="G24" s="131"/>
      <c r="H24" s="131"/>
      <c r="I24" s="131"/>
      <c r="J24" s="131"/>
      <c r="K24" s="131"/>
    </row>
    <row r="25" spans="1:11" s="82" customFormat="1" ht="20.25" customHeight="1">
      <c r="A25" s="84" t="str">
        <f ca="1">IF(ROWS($1:2)&gt;COUNT(Dong04),"","- "&amp;OFFSET('141-TT'!P$1,SMALL(Dong04,ROWS($1:2)),)&amp;" - PNK số: " &amp;OFFSET('141-TT'!T$1,SMALL(Dong04,ROWS($1:2)),)&amp; " Tháng "&amp;$D$3&amp;"/2015")</f>
        <v>- Hồ Thị Mỹ - PNK số: N16 &amp; N12 Tháng 7/2015</v>
      </c>
      <c r="B25" s="85">
        <f ca="1">IF(ROWS($1:2)&gt;COUNT(Dong04),"",OFFSET('141-TT'!S$1,SMALL(Dong04,ROWS($1:2)),))</f>
        <v>147515000</v>
      </c>
      <c r="C25" s="92"/>
      <c r="D25" s="59"/>
      <c r="E25" s="54"/>
      <c r="F25" s="108"/>
      <c r="G25" s="131"/>
      <c r="H25" s="131"/>
      <c r="I25" s="131"/>
      <c r="J25" s="131"/>
      <c r="K25" s="131"/>
    </row>
    <row r="26" spans="1:11" s="82" customFormat="1" ht="20.25" customHeight="1">
      <c r="A26" s="84" t="str">
        <f ca="1">IF(ROWS($1:3)&gt;COUNT(Dong04),"","- "&amp;OFFSET('141-TT'!P$1,SMALL(Dong04,ROWS($1:3)),)&amp;" - PNK số: " &amp;OFFSET('141-TT'!T$1,SMALL(Dong04,ROWS($1:3)),)&amp; " Tháng "&amp;$D$3&amp;"/2015")</f>
        <v>- Nguyễn Đức Tiến - PNK số: N18 &amp; N14 Tháng 7/2015</v>
      </c>
      <c r="B26" s="85">
        <f ca="1">IF(ROWS($1:3)&gt;COUNT(Dong04),"",OFFSET('141-TT'!S$1,SMALL(Dong04,ROWS($1:3)),))</f>
        <v>147725000</v>
      </c>
      <c r="C26" s="92"/>
      <c r="D26" s="59"/>
      <c r="E26" s="54"/>
      <c r="F26" s="108"/>
      <c r="G26" s="131"/>
      <c r="H26" s="131"/>
      <c r="I26" s="131"/>
      <c r="J26" s="131"/>
      <c r="K26" s="131"/>
    </row>
    <row r="27" spans="1:11" s="82" customFormat="1" ht="20.25" customHeight="1">
      <c r="A27" s="84" t="str">
        <f ca="1">IF(ROWS($1:4)&gt;COUNT(Dong04),"","- "&amp;OFFSET('141-TT'!P$1,SMALL(Dong04,ROWS($1:4)),)&amp;" - PNK số: " &amp;OFFSET('141-TT'!T$1,SMALL(Dong04,ROWS($1:4)),)&amp; " Tháng "&amp;$D$3&amp;"/2015")</f>
        <v>- Nguyễn Thanh Vân - PNK số: N03 &amp; N07 &amp; N20 Tháng 7/2015</v>
      </c>
      <c r="B27" s="85">
        <f ca="1">IF(ROWS($1:4)&gt;COUNT(Dong04),"",OFFSET('141-TT'!S$1,SMALL(Dong04,ROWS($1:4)),))</f>
        <v>235724500</v>
      </c>
      <c r="C27" s="92"/>
      <c r="D27" s="59"/>
      <c r="E27" s="54"/>
      <c r="F27" s="108"/>
      <c r="G27" s="131"/>
      <c r="H27" s="131"/>
      <c r="I27" s="131"/>
      <c r="J27" s="131"/>
      <c r="K27" s="131"/>
    </row>
    <row r="28" spans="1:11" s="82" customFormat="1" ht="20.25" customHeight="1">
      <c r="A28" s="84" t="str">
        <f ca="1">IF(ROWS($1:5)&gt;COUNT(Dong04),"","- "&amp;OFFSET('141-TT'!P$1,SMALL(Dong04,ROWS($1:5)),)&amp;" - PNK số: " &amp;OFFSET('141-TT'!T$1,SMALL(Dong04,ROWS($1:5)),)&amp; " Tháng "&amp;$D$3&amp;"/2015")</f>
        <v>- Nguyễn Thanh Vinh - PNK số: N08 &amp; N04 Tháng 7/2015</v>
      </c>
      <c r="B28" s="85">
        <f ca="1">IF(ROWS($1:5)&gt;COUNT(Dong04),"",OFFSET('141-TT'!S$1,SMALL(Dong04,ROWS($1:5)),))</f>
        <v>149449500</v>
      </c>
      <c r="C28" s="92"/>
      <c r="D28" s="59"/>
      <c r="E28" s="54"/>
      <c r="F28" s="108"/>
      <c r="G28" s="131"/>
      <c r="H28" s="131"/>
      <c r="I28" s="131"/>
      <c r="J28" s="131"/>
      <c r="K28" s="131"/>
    </row>
    <row r="29" spans="1:11" s="82" customFormat="1" ht="20.25" customHeight="1">
      <c r="A29" s="84" t="str">
        <f ca="1">IF(ROWS($1:6)&gt;COUNT(Dong04),"","- "&amp;OFFSET('141-TT'!P$1,SMALL(Dong04,ROWS($1:6)),)&amp;" - PNK số: " &amp;OFFSET('141-TT'!T$1,SMALL(Dong04,ROWS($1:6)),)&amp; " Tháng "&amp;$D$3&amp;"/2015")</f>
        <v>- Phạm Thị Ngọc - PNK số: N17 &amp; N13 Tháng 7/2015</v>
      </c>
      <c r="B29" s="85">
        <f ca="1">IF(ROWS($1:6)&gt;COUNT(Dong04),"",OFFSET('141-TT'!S$1,SMALL(Dong04,ROWS($1:6)),))</f>
        <v>158411500</v>
      </c>
      <c r="C29" s="92"/>
      <c r="D29" s="59"/>
      <c r="E29" s="54"/>
      <c r="F29" s="108"/>
      <c r="G29" s="131"/>
      <c r="H29" s="131"/>
      <c r="I29" s="131"/>
      <c r="J29" s="131"/>
      <c r="K29" s="131"/>
    </row>
    <row r="30" spans="1:11" s="82" customFormat="1" ht="20.25" customHeight="1">
      <c r="A30" s="84" t="str">
        <f ca="1">IF(ROWS($1:7)&gt;COUNT(Dong04),"","- "&amp;OFFSET('141-TT'!P$1,SMALL(Dong04,ROWS($1:7)),)&amp;" - PNK số: " &amp;OFFSET('141-TT'!T$1,SMALL(Dong04,ROWS($1:7)),)&amp; " Tháng "&amp;$D$3&amp;"/2015")</f>
        <v>- Võ Thị Bảy - PNK số: N01 &amp; N05 Tháng 7/2015</v>
      </c>
      <c r="B30" s="85">
        <f ca="1">IF(ROWS($1:7)&gt;COUNT(Dong04),"",OFFSET('141-TT'!S$1,SMALL(Dong04,ROWS($1:7)),))</f>
        <v>150486000</v>
      </c>
      <c r="C30" s="92"/>
      <c r="D30" s="59"/>
      <c r="E30" s="54"/>
      <c r="F30" s="108"/>
      <c r="G30" s="131"/>
      <c r="H30" s="131"/>
      <c r="I30" s="131"/>
      <c r="J30" s="131"/>
      <c r="K30" s="131"/>
    </row>
    <row r="31" spans="1:11" s="82" customFormat="1" ht="20.25" customHeight="1">
      <c r="A31" s="84" t="str">
        <f ca="1">IF(ROWS($1:8)&gt;COUNT(Dong04),"","- "&amp;OFFSET('141-TT'!P$1,SMALL(Dong04,ROWS($1:8)),)&amp;" - PNK số: " &amp;OFFSET('141-TT'!T$1,SMALL(Dong04,ROWS($1:8)),)&amp; " Tháng "&amp;$D$3&amp;"/2015")</f>
        <v>- Võ Văn Bá - PNK số: N02 &amp; N06 &amp; N19 Tháng 7/2015</v>
      </c>
      <c r="B31" s="85">
        <f ca="1">IF(ROWS($1:8)&gt;COUNT(Dong04),"",OFFSET('141-TT'!S$1,SMALL(Dong04,ROWS($1:8)),))</f>
        <v>219808500</v>
      </c>
      <c r="C31" s="92"/>
      <c r="D31" s="59"/>
      <c r="E31" s="54"/>
      <c r="F31" s="108"/>
      <c r="G31" s="131"/>
      <c r="H31" s="131"/>
      <c r="I31" s="131"/>
      <c r="J31" s="131"/>
      <c r="K31" s="131"/>
    </row>
    <row r="32" spans="1:11" s="82" customFormat="1" ht="20.25" customHeight="1">
      <c r="A32" s="84" t="str">
        <f ca="1">IF(ROWS($1:9)&gt;COUNT(Dong04),"","- "&amp;OFFSET('141-TT'!P$1,SMALL(Dong04,ROWS($1:9)),)&amp;" - PNK số: " &amp;OFFSET('141-TT'!T$1,SMALL(Dong04,ROWS($1:9)),)&amp; " Tháng "&amp;$D$3&amp;"/2015")</f>
        <v/>
      </c>
      <c r="B32" s="85" t="str">
        <f ca="1">IF(ROWS($1:9)&gt;COUNT(Dong04),"",OFFSET('141-TT'!S$1,SMALL(Dong04,ROWS($1:9)),))</f>
        <v/>
      </c>
      <c r="C32" s="92"/>
      <c r="D32" s="59"/>
      <c r="E32" s="54"/>
      <c r="F32" s="108"/>
      <c r="G32" s="131"/>
      <c r="H32" s="131"/>
      <c r="I32" s="131"/>
      <c r="J32" s="131"/>
      <c r="K32" s="131"/>
    </row>
    <row r="33" spans="1:11" s="82" customFormat="1" ht="20.25" customHeight="1">
      <c r="A33" s="84" t="str">
        <f ca="1">IF(ROWS($1:10)&gt;COUNT(Dong04),"","- "&amp;OFFSET('141-TT'!P$1,SMALL(Dong04,ROWS($1:10)),)&amp;" - PNK số: " &amp;OFFSET('141-TT'!T$1,SMALL(Dong04,ROWS($1:10)),)&amp; " Tháng "&amp;$D$3&amp;"/2015")</f>
        <v/>
      </c>
      <c r="B33" s="85" t="str">
        <f ca="1">IF(ROWS($1:10)&gt;COUNT(Dong04),"",OFFSET('141-TT'!S$1,SMALL(Dong04,ROWS($1:10)),))</f>
        <v/>
      </c>
      <c r="C33" s="92"/>
      <c r="D33" s="59"/>
      <c r="E33" s="54"/>
      <c r="F33" s="108"/>
      <c r="G33" s="131"/>
      <c r="H33" s="131"/>
      <c r="I33" s="131"/>
      <c r="J33" s="131"/>
      <c r="K33" s="131"/>
    </row>
    <row r="34" spans="1:11" s="82" customFormat="1" ht="20.25" customHeight="1">
      <c r="A34" s="84" t="str">
        <f ca="1">IF(ROWS($1:11)&gt;COUNT(Dong04),"","- "&amp;OFFSET('141-TT'!P$1,SMALL(Dong04,ROWS($1:11)),)&amp;" - PNK số: " &amp;OFFSET('141-TT'!T$1,SMALL(Dong04,ROWS($1:11)),)&amp; " Tháng "&amp;$D$3&amp;"/2015")</f>
        <v/>
      </c>
      <c r="B34" s="85" t="str">
        <f ca="1">IF(ROWS($1:11)&gt;COUNT(Dong04),"",OFFSET('141-TT'!S$1,SMALL(Dong04,ROWS($1:11)),))</f>
        <v/>
      </c>
      <c r="C34" s="92"/>
      <c r="D34" s="59"/>
      <c r="E34" s="54"/>
      <c r="F34" s="108"/>
      <c r="G34" s="131"/>
      <c r="H34" s="131"/>
      <c r="I34" s="131"/>
      <c r="J34" s="131"/>
      <c r="K34" s="131"/>
    </row>
    <row r="35" spans="1:11" s="82" customFormat="1" ht="20.25" customHeight="1">
      <c r="A35" s="84" t="str">
        <f ca="1">IF(ROWS($1:12)&gt;COUNT(Dong04),"","- "&amp;OFFSET('141-TT'!P$1,SMALL(Dong04,ROWS($1:12)),)&amp;" - PNK số: " &amp;OFFSET('141-TT'!T$1,SMALL(Dong04,ROWS($1:12)),)&amp; " Tháng "&amp;$D$3&amp;"/2015")</f>
        <v/>
      </c>
      <c r="B35" s="85" t="str">
        <f ca="1">IF(ROWS($1:12)&gt;COUNT(Dong04),"",OFFSET('141-TT'!S$1,SMALL(Dong04,ROWS($1:12)),))</f>
        <v/>
      </c>
      <c r="C35" s="92"/>
      <c r="D35" s="59"/>
      <c r="E35" s="54"/>
      <c r="F35" s="108"/>
      <c r="G35" s="131"/>
      <c r="H35" s="131"/>
      <c r="I35" s="131"/>
      <c r="J35" s="131"/>
      <c r="K35" s="131"/>
    </row>
    <row r="36" spans="1:11" s="82" customFormat="1" ht="20.25" customHeight="1">
      <c r="A36" s="84" t="str">
        <f ca="1">IF(ROWS($1:13)&gt;COUNT(Dong04),"","- "&amp;OFFSET('141-TT'!P$1,SMALL(Dong04,ROWS($1:13)),)&amp;" - PNK số: " &amp;OFFSET('141-TT'!T$1,SMALL(Dong04,ROWS($1:13)),)&amp; " Tháng "&amp;$D$3&amp;"/2015")</f>
        <v/>
      </c>
      <c r="B36" s="85" t="str">
        <f ca="1">IF(ROWS($1:13)&gt;COUNT(Dong04),"",OFFSET('141-TT'!S$1,SMALL(Dong04,ROWS($1:13)),))</f>
        <v/>
      </c>
      <c r="C36" s="92"/>
      <c r="D36" s="59"/>
      <c r="E36" s="54"/>
      <c r="F36" s="108"/>
      <c r="G36" s="131"/>
      <c r="H36" s="131"/>
      <c r="I36" s="131"/>
      <c r="J36" s="131"/>
      <c r="K36" s="131"/>
    </row>
    <row r="37" spans="1:11" s="82" customFormat="1" ht="20.25" customHeight="1">
      <c r="A37" s="84" t="str">
        <f ca="1">IF(ROWS($1:14)&gt;COUNT(Dong04),"","- "&amp;OFFSET('141-TT'!P$1,SMALL(Dong04,ROWS($1:14)),)&amp;" - PNK số: " &amp;OFFSET('141-TT'!T$1,SMALL(Dong04,ROWS($1:14)),)&amp; " Tháng "&amp;$D$3&amp;"/2015")</f>
        <v/>
      </c>
      <c r="B37" s="85" t="str">
        <f ca="1">IF(ROWS($1:14)&gt;COUNT(Dong04),"",OFFSET('141-TT'!S$1,SMALL(Dong04,ROWS($1:14)),))</f>
        <v/>
      </c>
      <c r="C37" s="92"/>
      <c r="D37" s="59"/>
      <c r="E37" s="54"/>
      <c r="F37" s="108"/>
      <c r="G37" s="131"/>
      <c r="H37" s="131"/>
      <c r="I37" s="131"/>
      <c r="J37" s="131"/>
      <c r="K37" s="131"/>
    </row>
    <row r="38" spans="1:11" s="82" customFormat="1" ht="20.25" customHeight="1">
      <c r="A38" s="84" t="str">
        <f ca="1">IF(ROWS($1:15)&gt;COUNT(Dong04),"","- "&amp;OFFSET('141-TT'!P$1,SMALL(Dong04,ROWS($1:15)),)&amp;" - PNK số: " &amp;OFFSET('141-TT'!T$1,SMALL(Dong04,ROWS($1:15)),)&amp; " Tháng "&amp;$D$3&amp;"/2015")</f>
        <v/>
      </c>
      <c r="B38" s="85" t="str">
        <f ca="1">IF(ROWS($1:15)&gt;COUNT(Dong04),"",OFFSET('141-TT'!S$1,SMALL(Dong04,ROWS($1:15)),))</f>
        <v/>
      </c>
      <c r="C38" s="92"/>
      <c r="D38" s="59"/>
      <c r="E38" s="54"/>
      <c r="F38" s="108"/>
      <c r="G38" s="131"/>
      <c r="H38" s="131"/>
      <c r="I38" s="131"/>
      <c r="J38" s="131"/>
      <c r="K38" s="131"/>
    </row>
    <row r="39" spans="1:11" s="82" customFormat="1" ht="20.25" customHeight="1">
      <c r="A39" s="84" t="str">
        <f ca="1">IF(ROWS($1:16)&gt;COUNT(Dong04),"","- "&amp;OFFSET('141-TT'!P$1,SMALL(Dong04,ROWS($1:16)),)&amp;" - PNK số: " &amp;OFFSET('141-TT'!T$1,SMALL(Dong04,ROWS($1:16)),)&amp; " Tháng "&amp;$D$3&amp;"/2015")</f>
        <v/>
      </c>
      <c r="B39" s="85" t="str">
        <f ca="1">IF(ROWS($1:16)&gt;COUNT(Dong04),"",OFFSET('141-TT'!S$1,SMALL(Dong04,ROWS($1:16)),))</f>
        <v/>
      </c>
      <c r="C39" s="92"/>
      <c r="D39" s="59"/>
      <c r="E39" s="54"/>
      <c r="F39" s="108"/>
      <c r="G39" s="131"/>
      <c r="H39" s="131"/>
      <c r="I39" s="131"/>
      <c r="J39" s="131"/>
      <c r="K39" s="131"/>
    </row>
    <row r="40" spans="1:11" s="82" customFormat="1" ht="20.25" customHeight="1">
      <c r="A40" s="84" t="str">
        <f ca="1">IF(ROWS($1:17)&gt;COUNT(Dong04),"","- "&amp;OFFSET('141-TT'!P$1,SMALL(Dong04,ROWS($1:17)),)&amp;" - PNK số: " &amp;OFFSET('141-TT'!T$1,SMALL(Dong04,ROWS($1:17)),)&amp; " Tháng "&amp;$D$3&amp;"/2015")</f>
        <v/>
      </c>
      <c r="B40" s="85" t="str">
        <f ca="1">IF(ROWS($1:17)&gt;COUNT(Dong04),"",OFFSET('141-TT'!S$1,SMALL(Dong04,ROWS($1:17)),))</f>
        <v/>
      </c>
      <c r="C40" s="92"/>
      <c r="D40" s="59"/>
      <c r="E40" s="54"/>
      <c r="F40" s="108"/>
      <c r="G40" s="131"/>
      <c r="H40" s="131"/>
      <c r="I40" s="131"/>
      <c r="J40" s="131"/>
      <c r="K40" s="131"/>
    </row>
    <row r="41" spans="1:11" s="82" customFormat="1" ht="20.25" customHeight="1">
      <c r="A41" s="84" t="str">
        <f ca="1">IF(ROWS($1:18)&gt;COUNT(Dong04),"","- "&amp;OFFSET('141-TT'!P$1,SMALL(Dong04,ROWS($1:18)),)&amp;" - PNK số: " &amp;OFFSET('141-TT'!T$1,SMALL(Dong04,ROWS($1:18)),)&amp; " Tháng "&amp;$D$3&amp;"/2015")</f>
        <v/>
      </c>
      <c r="B41" s="85" t="str">
        <f ca="1">IF(ROWS($1:18)&gt;COUNT(Dong04),"",OFFSET('141-TT'!S$1,SMALL(Dong04,ROWS($1:18)),))</f>
        <v/>
      </c>
      <c r="C41" s="92"/>
      <c r="D41" s="59"/>
      <c r="E41" s="54"/>
      <c r="F41" s="108"/>
      <c r="G41" s="131"/>
      <c r="H41" s="131"/>
      <c r="I41" s="131"/>
      <c r="J41" s="131"/>
      <c r="K41" s="131"/>
    </row>
    <row r="42" spans="1:11" s="73" customFormat="1" ht="20.25" customHeight="1">
      <c r="A42" s="75" t="s">
        <v>88</v>
      </c>
      <c r="B42" s="76">
        <f ca="1">B13-B23</f>
        <v>-1291582000</v>
      </c>
      <c r="C42" s="137"/>
      <c r="D42" s="139"/>
      <c r="E42" s="127"/>
      <c r="F42" s="83"/>
      <c r="G42" s="83"/>
      <c r="H42" s="83"/>
      <c r="I42" s="83"/>
      <c r="J42" s="83"/>
      <c r="K42" s="83"/>
    </row>
    <row r="43" spans="1:11" ht="20.25" customHeight="1">
      <c r="A43" s="77" t="s">
        <v>89</v>
      </c>
      <c r="B43" s="78">
        <f ca="1">B42</f>
        <v>-1291582000</v>
      </c>
      <c r="C43" s="137"/>
      <c r="D43" s="139"/>
    </row>
    <row r="44" spans="1:11" ht="20.25" customHeight="1">
      <c r="A44" s="77" t="s">
        <v>90</v>
      </c>
      <c r="B44" s="78"/>
      <c r="C44" s="137"/>
      <c r="D44" s="139"/>
    </row>
    <row r="45" spans="1:11" ht="14.25" customHeight="1">
      <c r="A45" s="91"/>
      <c r="C45" s="137"/>
      <c r="D45" s="139"/>
    </row>
    <row r="46" spans="1:11" ht="33" customHeight="1">
      <c r="A46" s="86" t="s">
        <v>91</v>
      </c>
      <c r="B46" s="86" t="s">
        <v>92</v>
      </c>
      <c r="C46" s="134"/>
      <c r="D46" s="139"/>
    </row>
    <row r="47" spans="1:11">
      <c r="A47" s="69" t="s">
        <v>95</v>
      </c>
      <c r="B47" s="87" t="s">
        <v>27</v>
      </c>
      <c r="C47" s="134"/>
      <c r="D47" s="134"/>
    </row>
    <row r="48" spans="1:11">
      <c r="A48" s="88"/>
      <c r="B48" s="88"/>
      <c r="C48" s="134"/>
      <c r="D48" s="134"/>
    </row>
    <row r="49" spans="1:4">
      <c r="A49" s="89"/>
      <c r="B49" s="89"/>
      <c r="C49" s="134"/>
      <c r="D49" s="134"/>
    </row>
    <row r="50" spans="1:4">
      <c r="A50" s="90"/>
      <c r="B50" s="90"/>
      <c r="C50" s="134"/>
      <c r="D50" s="134"/>
    </row>
    <row r="51" spans="1:4">
      <c r="C51" s="134"/>
      <c r="D51" s="134"/>
    </row>
    <row r="52" spans="1:4">
      <c r="C52" s="134"/>
      <c r="D52" s="134"/>
    </row>
    <row r="53" spans="1:4">
      <c r="C53" s="137"/>
      <c r="D53" s="137"/>
    </row>
  </sheetData>
  <mergeCells count="3">
    <mergeCell ref="A3:B3"/>
    <mergeCell ref="A4:B4"/>
    <mergeCell ref="A5:A7"/>
  </mergeCells>
  <phoneticPr fontId="39" type="noConversion"/>
  <dataValidations count="1">
    <dataValidation type="list" allowBlank="1" showInputMessage="1" showErrorMessage="1" sqref="D3">
      <formula1>"1,2,3,4,5,6,7,8,9,10,11,12"</formula1>
    </dataValidation>
  </dataValidations>
  <pageMargins left="0.75" right="0.21" top="0.39" bottom="0.17" header="0.5" footer="0.15"/>
  <pageSetup paperSize="9" scale="9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341</vt:lpstr>
      <vt:lpstr>TH-341</vt:lpstr>
      <vt:lpstr>CT-341</vt:lpstr>
      <vt:lpstr>141-BH</vt:lpstr>
      <vt:lpstr>141-TT</vt:lpstr>
      <vt:lpstr>141-TT-BH</vt:lpstr>
      <vt:lpstr>141-TT-TT</vt:lpstr>
      <vt:lpstr>_TH1</vt:lpstr>
      <vt:lpstr>_TH2</vt:lpstr>
      <vt:lpstr>_TH3</vt:lpstr>
      <vt:lpstr>_TH4</vt:lpstr>
      <vt:lpstr>DSKU</vt:lpstr>
      <vt:lpstr>KUTH</vt:lpstr>
      <vt:lpstr>'341'!Print_Area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</cp:lastModifiedBy>
  <cp:lastPrinted>2015-09-09T04:18:04Z</cp:lastPrinted>
  <dcterms:created xsi:type="dcterms:W3CDTF">1996-10-14T23:33:28Z</dcterms:created>
  <dcterms:modified xsi:type="dcterms:W3CDTF">2016-01-12T06:57:12Z</dcterms:modified>
</cp:coreProperties>
</file>